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4_screen_length/"/>
    </mc:Choice>
  </mc:AlternateContent>
  <xr:revisionPtr revIDLastSave="0" documentId="8_{7A323E2D-8702-4E03-8958-9AF8E107F681}" xr6:coauthVersionLast="47" xr6:coauthVersionMax="47" xr10:uidLastSave="{00000000-0000-0000-0000-000000000000}"/>
  <bookViews>
    <workbookView xWindow="1140" yWindow="960" windowWidth="18915" windowHeight="9960" xr2:uid="{53BC53A8-8964-4BBA-B1CE-48E89C29E9D6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49" i="1" l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<sst xmlns="http://schemas.openxmlformats.org/spreadsheetml/2006/main" count="15" uniqueCount="15">
  <si>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MODEL\SCENARIOS\2022\S4_screen_length\S4_screen_length.sr3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</si>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</sst>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5B03F-895E-465C-8120-C14569C179E3}" name="Table1" displayName="Table1" ref="A3:N2349" totalsRowShown="0">
  <autoFilter ref="A3:N2349" xr:uid="{F4C5B03F-895E-465C-8120-C14569C179E3}"/>
  <tableColumns count="14">
    <tableColumn id="1" xr3:uid="{9BFE0465-5535-47FD-AF63-A0C7F94415C6}" name="Time (day)"/>
    <tableColumn id="2" xr3:uid="{E4264AA9-0021-44B6-ADE7-C4D573A2FBFD}" name="Date" dataDxfId="0"/>
    <tableColumn id="3" xr3:uid="{01E2977A-3E85-434E-96CD-5E92155BE062}" name="Hot well INJ-Well bottom hole temperature (C)"/>
    <tableColumn id="4" xr3:uid="{5B8C2D13-B935-4FEF-A1F2-E11C041E8CFB}" name="Hot well PROD-Well bottom hole temperature (C)"/>
    <tableColumn id="5" xr3:uid="{66103D4E-FA95-4D51-B4CD-61769E78EE99}" name="Warm well INJ-Well bottom hole temperature (C)"/>
    <tableColumn id="6" xr3:uid="{DB58C459-62DF-42AA-B2DC-5C9ECCE8C755}" name="Warm well PROD-Well bottom hole temperature (C)"/>
    <tableColumn id="7" xr3:uid="{7198C5BF-7B03-47A7-85F9-85C9A545257F}" name="Hot well INJ-Well Bottom-hole Pressure (kPa)"/>
    <tableColumn id="8" xr3:uid="{282DC34C-DE09-464E-A251-64A854211C64}" name="Hot well PROD-Well Bottom-hole Pressure (kPa)"/>
    <tableColumn id="9" xr3:uid="{E8170D24-D723-4EED-8FBE-D28147AAE4B8}" name="Warm well INJ-Well Bottom-hole Pressure (kPa)"/>
    <tableColumn id="10" xr3:uid="{8F291F97-9647-47B3-B21B-20325EEB33F2}" name="Warm well PROD-Well Bottom-hole Pressure (kPa)"/>
    <tableColumn id="11" xr3:uid="{E2CBE9F9-F8E1-49F1-90A6-77CF5D64FD6F}" name="Hot well INJ-Fluid Rate SC (m³/day)"/>
    <tableColumn id="12" xr3:uid="{E0A15B82-109D-4DDA-B65C-61A3778BE552}" name="Hot well PROD-Fluid Rate SC (m³/day)"/>
    <tableColumn id="13" xr3:uid="{8BC54E41-6AC0-4B43-A286-A1517E86A870}" name="Warm well INJ-Fluid Rate SC (m³/day)"/>
    <tableColumn id="14" xr3:uid="{1423AA72-6A0E-40C4-804A-BB2A04BC9E2E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E4DF-0523-4BDE-840E-48A0126E2FFD}">
  <dimension ref="A1:N2349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15.000237465</v>
      </c>
      <c r="E4">
        <v>50</v>
      </c>
      <c r="F4">
        <v>14.999910355000001</v>
      </c>
      <c r="G4">
        <v>1409.1455077999999</v>
      </c>
      <c r="H4">
        <v>1330.2882079999999</v>
      </c>
      <c r="I4">
        <v>1328.5349120999999</v>
      </c>
      <c r="J4">
        <v>1249.6768798999999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15.000932692999999</v>
      </c>
      <c r="E5">
        <v>50</v>
      </c>
      <c r="F5">
        <v>14.999655724</v>
      </c>
      <c r="G5">
        <v>1411.6248779</v>
      </c>
      <c r="H5">
        <v>1332.7723389</v>
      </c>
      <c r="I5">
        <v>1326.0617675999999</v>
      </c>
      <c r="J5">
        <v>1247.2061768000001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15.002905846000001</v>
      </c>
      <c r="E6">
        <v>50</v>
      </c>
      <c r="F6">
        <v>14.999005318</v>
      </c>
      <c r="G6">
        <v>1417.9476318</v>
      </c>
      <c r="H6">
        <v>1339.1223144999999</v>
      </c>
      <c r="I6">
        <v>1319.7392577999999</v>
      </c>
      <c r="J6">
        <v>1240.9051514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15.008205414000001</v>
      </c>
      <c r="E7">
        <v>50</v>
      </c>
      <c r="F7">
        <v>14.997665404999999</v>
      </c>
      <c r="G7">
        <v>1430.9206543</v>
      </c>
      <c r="H7">
        <v>1352.2150879000001</v>
      </c>
      <c r="I7">
        <v>1306.7030029</v>
      </c>
      <c r="J7">
        <v>1227.9733887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15.022027015999999</v>
      </c>
      <c r="E8">
        <v>50</v>
      </c>
      <c r="F8">
        <v>14.995664596999999</v>
      </c>
      <c r="G8">
        <v>1450.1191406</v>
      </c>
      <c r="H8">
        <v>1371.7569579999999</v>
      </c>
      <c r="I8">
        <v>1287.2384033000001</v>
      </c>
      <c r="J8">
        <v>1208.8172606999999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15.059390068000001</v>
      </c>
      <c r="E9">
        <v>50</v>
      </c>
      <c r="F9">
        <v>14.993436813000001</v>
      </c>
      <c r="G9">
        <v>1471.1604004000001</v>
      </c>
      <c r="H9">
        <v>1393.5139160000001</v>
      </c>
      <c r="I9">
        <v>1265.5393065999999</v>
      </c>
      <c r="J9">
        <v>1187.7486572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15.165354729000001</v>
      </c>
      <c r="E10">
        <v>50</v>
      </c>
      <c r="F10">
        <v>14.991283417</v>
      </c>
      <c r="G10">
        <v>1490.9132079999999</v>
      </c>
      <c r="H10">
        <v>1414.5198975000001</v>
      </c>
      <c r="I10">
        <v>1244.4993896000001</v>
      </c>
      <c r="J10">
        <v>1167.7318115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15.472182274</v>
      </c>
      <c r="E11">
        <v>50</v>
      </c>
      <c r="F11">
        <v>14.989346504</v>
      </c>
      <c r="G11">
        <v>1507.8829346</v>
      </c>
      <c r="H11">
        <v>1433.3527832</v>
      </c>
      <c r="I11">
        <v>1225.3629149999999</v>
      </c>
      <c r="J11">
        <v>1149.809082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6.3590000000000001E-3</v>
      </c>
      <c r="B12" s="1">
        <f>DATE(2010,5,1) + TIME(0,9,9)</f>
        <v>40299.006354166668</v>
      </c>
      <c r="C12">
        <v>80</v>
      </c>
      <c r="D12">
        <v>15.895867347999999</v>
      </c>
      <c r="E12">
        <v>50</v>
      </c>
      <c r="F12">
        <v>14.988254547</v>
      </c>
      <c r="G12">
        <v>1516.8126221</v>
      </c>
      <c r="H12">
        <v>1443.8253173999999</v>
      </c>
      <c r="I12">
        <v>1214.4007568</v>
      </c>
      <c r="J12">
        <v>1139.5141602000001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1.2485E-2</v>
      </c>
      <c r="B13" s="1">
        <f>DATE(2010,5,1) + TIME(0,17,58)</f>
        <v>40299.012476851851</v>
      </c>
      <c r="C13">
        <v>80</v>
      </c>
      <c r="D13">
        <v>16.722049713000001</v>
      </c>
      <c r="E13">
        <v>50</v>
      </c>
      <c r="F13">
        <v>14.987405776999999</v>
      </c>
      <c r="G13">
        <v>1522.7150879000001</v>
      </c>
      <c r="H13">
        <v>1451.7802733999999</v>
      </c>
      <c r="I13">
        <v>1205.5041504000001</v>
      </c>
      <c r="J13">
        <v>1131.0072021000001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1.8631000000000002E-2</v>
      </c>
      <c r="B14" s="1">
        <f>DATE(2010,5,1) + TIME(0,26,49)</f>
        <v>40299.018622685187</v>
      </c>
      <c r="C14">
        <v>80</v>
      </c>
      <c r="D14">
        <v>17.538236617999999</v>
      </c>
      <c r="E14">
        <v>50</v>
      </c>
      <c r="F14">
        <v>14.986978531</v>
      </c>
      <c r="G14">
        <v>1524.8444824000001</v>
      </c>
      <c r="H14">
        <v>1455.6219481999999</v>
      </c>
      <c r="I14">
        <v>1200.7751464999999</v>
      </c>
      <c r="J14">
        <v>1126.4073486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2.4827999999999999E-2</v>
      </c>
      <c r="B15" s="1">
        <f>DATE(2010,5,1) + TIME(0,35,45)</f>
        <v>40299.024826388886</v>
      </c>
      <c r="C15">
        <v>80</v>
      </c>
      <c r="D15">
        <v>18.349590301999999</v>
      </c>
      <c r="E15">
        <v>50</v>
      </c>
      <c r="F15">
        <v>14.986736298</v>
      </c>
      <c r="G15">
        <v>1525.3607178</v>
      </c>
      <c r="H15">
        <v>1457.7033690999999</v>
      </c>
      <c r="I15">
        <v>1197.8665771000001</v>
      </c>
      <c r="J15">
        <v>1123.5446777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3.1081999999999999E-2</v>
      </c>
      <c r="B16" s="1">
        <f>DATE(2010,5,1) + TIME(0,44,45)</f>
        <v>40299.031076388892</v>
      </c>
      <c r="C16">
        <v>80</v>
      </c>
      <c r="D16">
        <v>19.157529831000002</v>
      </c>
      <c r="E16">
        <v>50</v>
      </c>
      <c r="F16">
        <v>14.986592292999999</v>
      </c>
      <c r="G16">
        <v>1525.0388184000001</v>
      </c>
      <c r="H16">
        <v>1458.8591309000001</v>
      </c>
      <c r="I16">
        <v>1195.9334716999999</v>
      </c>
      <c r="J16">
        <v>1121.6285399999999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3.7401999999999998E-2</v>
      </c>
      <c r="B17" s="1">
        <f>DATE(2010,5,1) + TIME(0,53,51)</f>
        <v>40299.037395833337</v>
      </c>
      <c r="C17">
        <v>80</v>
      </c>
      <c r="D17">
        <v>19.962774277000001</v>
      </c>
      <c r="E17">
        <v>50</v>
      </c>
      <c r="F17">
        <v>14.986508368999999</v>
      </c>
      <c r="G17">
        <v>1524.2281493999999</v>
      </c>
      <c r="H17">
        <v>1459.4609375</v>
      </c>
      <c r="I17">
        <v>1194.5942382999999</v>
      </c>
      <c r="J17">
        <v>1120.2956543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4.3783000000000002E-2</v>
      </c>
      <c r="B18" s="1">
        <f>DATE(2010,5,1) + TIME(1,3,2)</f>
        <v>40299.043773148151</v>
      </c>
      <c r="C18">
        <v>80</v>
      </c>
      <c r="D18">
        <v>20.765699387000002</v>
      </c>
      <c r="E18">
        <v>50</v>
      </c>
      <c r="F18">
        <v>14.986463547</v>
      </c>
      <c r="G18">
        <v>1523.1136475000001</v>
      </c>
      <c r="H18">
        <v>1459.7033690999999</v>
      </c>
      <c r="I18">
        <v>1193.6468506000001</v>
      </c>
      <c r="J18">
        <v>1119.3507079999999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5.0236999999999997E-2</v>
      </c>
      <c r="B19" s="1">
        <f>DATE(2010,5,1) + TIME(1,12,20)</f>
        <v>40299.05023148148</v>
      </c>
      <c r="C19">
        <v>80</v>
      </c>
      <c r="D19">
        <v>21.566648483000002</v>
      </c>
      <c r="E19">
        <v>50</v>
      </c>
      <c r="F19">
        <v>14.986446381</v>
      </c>
      <c r="G19">
        <v>1521.8039550999999</v>
      </c>
      <c r="H19">
        <v>1459.7003173999999</v>
      </c>
      <c r="I19">
        <v>1192.9694824000001</v>
      </c>
      <c r="J19">
        <v>1118.6743164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5.6765000000000003E-2</v>
      </c>
      <c r="B20" s="1">
        <f>DATE(2010,5,1) + TIME(1,21,44)</f>
        <v>40299.056759259256</v>
      </c>
      <c r="C20">
        <v>80</v>
      </c>
      <c r="D20">
        <v>22.365823746</v>
      </c>
      <c r="E20">
        <v>50</v>
      </c>
      <c r="F20">
        <v>14.986449242000001</v>
      </c>
      <c r="G20">
        <v>1520.3687743999999</v>
      </c>
      <c r="H20">
        <v>1459.5251464999999</v>
      </c>
      <c r="I20">
        <v>1192.4838867000001</v>
      </c>
      <c r="J20">
        <v>1118.1890868999999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6.3372999999999999E-2</v>
      </c>
      <c r="B21" s="1">
        <f>DATE(2010,5,1) + TIME(1,31,15)</f>
        <v>40299.063368055555</v>
      </c>
      <c r="C21">
        <v>80</v>
      </c>
      <c r="D21">
        <v>23.163446426</v>
      </c>
      <c r="E21">
        <v>50</v>
      </c>
      <c r="F21">
        <v>14.986465453999999</v>
      </c>
      <c r="G21">
        <v>1518.8552245999999</v>
      </c>
      <c r="H21">
        <v>1459.2276611</v>
      </c>
      <c r="I21">
        <v>1192.1363524999999</v>
      </c>
      <c r="J21">
        <v>1117.8417969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7.0064000000000001E-2</v>
      </c>
      <c r="B22" s="1">
        <f>DATE(2010,5,1) + TIME(1,40,53)</f>
        <v>40299.070057870369</v>
      </c>
      <c r="C22">
        <v>80</v>
      </c>
      <c r="D22">
        <v>23.959730147999998</v>
      </c>
      <c r="E22">
        <v>50</v>
      </c>
      <c r="F22">
        <v>14.986492157000001</v>
      </c>
      <c r="G22">
        <v>1517.2957764</v>
      </c>
      <c r="H22">
        <v>1458.8430175999999</v>
      </c>
      <c r="I22">
        <v>1191.8891602000001</v>
      </c>
      <c r="J22">
        <v>1117.5947266000001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7.6837000000000003E-2</v>
      </c>
      <c r="B23" s="1">
        <f>DATE(2010,5,1) + TIME(1,50,38)</f>
        <v>40299.076828703706</v>
      </c>
      <c r="C23">
        <v>80</v>
      </c>
      <c r="D23">
        <v>24.75437355</v>
      </c>
      <c r="E23">
        <v>50</v>
      </c>
      <c r="F23">
        <v>14.986526488999999</v>
      </c>
      <c r="G23">
        <v>1515.7150879000001</v>
      </c>
      <c r="H23">
        <v>1458.3969727000001</v>
      </c>
      <c r="I23">
        <v>1191.7150879000001</v>
      </c>
      <c r="J23">
        <v>1117.4206543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8.3700999999999998E-2</v>
      </c>
      <c r="B24" s="1">
        <f>DATE(2010,5,1) + TIME(2,0,31)</f>
        <v>40299.083692129629</v>
      </c>
      <c r="C24">
        <v>80</v>
      </c>
      <c r="D24">
        <v>25.548421860000001</v>
      </c>
      <c r="E24">
        <v>50</v>
      </c>
      <c r="F24">
        <v>14.98656559</v>
      </c>
      <c r="G24">
        <v>1514.1287841999999</v>
      </c>
      <c r="H24">
        <v>1457.9084473</v>
      </c>
      <c r="I24">
        <v>1191.5938721</v>
      </c>
      <c r="J24">
        <v>1117.2995605000001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9.0659000000000003E-2</v>
      </c>
      <c r="B25" s="1">
        <f>DATE(2010,5,1) + TIME(2,10,32)</f>
        <v>40299.090648148151</v>
      </c>
      <c r="C25">
        <v>80</v>
      </c>
      <c r="D25">
        <v>26.341922759999999</v>
      </c>
      <c r="E25">
        <v>50</v>
      </c>
      <c r="F25">
        <v>14.986608505</v>
      </c>
      <c r="G25">
        <v>1512.5489502</v>
      </c>
      <c r="H25">
        <v>1457.3909911999999</v>
      </c>
      <c r="I25">
        <v>1191.5109863</v>
      </c>
      <c r="J25">
        <v>1117.2167969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9.7717999999999999E-2</v>
      </c>
      <c r="B26" s="1">
        <f>DATE(2010,5,1) + TIME(2,20,42)</f>
        <v>40299.097708333335</v>
      </c>
      <c r="C26">
        <v>80</v>
      </c>
      <c r="D26">
        <v>27.134925842000001</v>
      </c>
      <c r="E26">
        <v>50</v>
      </c>
      <c r="F26">
        <v>14.986655235000001</v>
      </c>
      <c r="G26">
        <v>1510.9842529</v>
      </c>
      <c r="H26">
        <v>1456.8551024999999</v>
      </c>
      <c r="I26">
        <v>1191.4556885</v>
      </c>
      <c r="J26">
        <v>1117.1616211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0.104881</v>
      </c>
      <c r="B27" s="1">
        <f>DATE(2010,5,1) + TIME(2,31,1)</f>
        <v>40299.104872685188</v>
      </c>
      <c r="C27">
        <v>80</v>
      </c>
      <c r="D27">
        <v>27.927650452000002</v>
      </c>
      <c r="E27">
        <v>50</v>
      </c>
      <c r="F27">
        <v>14.986703873</v>
      </c>
      <c r="G27">
        <v>1509.440918</v>
      </c>
      <c r="H27">
        <v>1456.3082274999999</v>
      </c>
      <c r="I27">
        <v>1191.4200439000001</v>
      </c>
      <c r="J27">
        <v>1117.1260986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0.112152</v>
      </c>
      <c r="B28" s="1">
        <f>DATE(2010,5,1) + TIME(2,41,29)</f>
        <v>40299.112141203703</v>
      </c>
      <c r="C28">
        <v>80</v>
      </c>
      <c r="D28">
        <v>28.720151901000001</v>
      </c>
      <c r="E28">
        <v>50</v>
      </c>
      <c r="F28">
        <v>14.986753464</v>
      </c>
      <c r="G28">
        <v>1507.9232178</v>
      </c>
      <c r="H28">
        <v>1455.7562256000001</v>
      </c>
      <c r="I28">
        <v>1191.3981934000001</v>
      </c>
      <c r="J28">
        <v>1117.1043701000001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0.11953800000000001</v>
      </c>
      <c r="B29" s="1">
        <f>DATE(2010,5,1) + TIME(2,52,8)</f>
        <v>40299.119537037041</v>
      </c>
      <c r="C29">
        <v>80</v>
      </c>
      <c r="D29">
        <v>29.512781143000002</v>
      </c>
      <c r="E29">
        <v>50</v>
      </c>
      <c r="F29">
        <v>14.986804008</v>
      </c>
      <c r="G29">
        <v>1506.4334716999999</v>
      </c>
      <c r="H29">
        <v>1455.203125</v>
      </c>
      <c r="I29">
        <v>1191.3861084</v>
      </c>
      <c r="J29">
        <v>1117.0924072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0.12704499999999999</v>
      </c>
      <c r="B30" s="1">
        <f>DATE(2010,5,1) + TIME(3,2,56)</f>
        <v>40299.12703703704</v>
      </c>
      <c r="C30">
        <v>80</v>
      </c>
      <c r="D30">
        <v>30.305849075000001</v>
      </c>
      <c r="E30">
        <v>50</v>
      </c>
      <c r="F30">
        <v>14.986856461</v>
      </c>
      <c r="G30">
        <v>1504.9733887</v>
      </c>
      <c r="H30">
        <v>1454.6518555</v>
      </c>
      <c r="I30">
        <v>1191.3804932</v>
      </c>
      <c r="J30">
        <v>1117.0869141000001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0.13467899999999999</v>
      </c>
      <c r="B31" s="1">
        <f>DATE(2010,5,1) + TIME(3,13,56)</f>
        <v>40299.134675925925</v>
      </c>
      <c r="C31">
        <v>80</v>
      </c>
      <c r="D31">
        <v>31.099626540999999</v>
      </c>
      <c r="E31">
        <v>50</v>
      </c>
      <c r="F31">
        <v>14.986908913000001</v>
      </c>
      <c r="G31">
        <v>1503.5435791</v>
      </c>
      <c r="H31">
        <v>1454.1044922000001</v>
      </c>
      <c r="I31">
        <v>1191.3793945</v>
      </c>
      <c r="J31">
        <v>1117.0859375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0.14244599999999999</v>
      </c>
      <c r="B32" s="1">
        <f>DATE(2010,5,1) + TIME(3,25,7)</f>
        <v>40299.142442129632</v>
      </c>
      <c r="C32">
        <v>80</v>
      </c>
      <c r="D32">
        <v>31.894231796</v>
      </c>
      <c r="E32">
        <v>50</v>
      </c>
      <c r="F32">
        <v>14.986961365000001</v>
      </c>
      <c r="G32">
        <v>1502.1445312000001</v>
      </c>
      <c r="H32">
        <v>1453.5626221</v>
      </c>
      <c r="I32">
        <v>1191.3809814000001</v>
      </c>
      <c r="J32">
        <v>1117.0876464999999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0.15035299999999999</v>
      </c>
      <c r="B33" s="1">
        <f>DATE(2010,5,1) + TIME(3,36,30)</f>
        <v>40299.150347222225</v>
      </c>
      <c r="C33">
        <v>80</v>
      </c>
      <c r="D33">
        <v>32.689899445000002</v>
      </c>
      <c r="E33">
        <v>50</v>
      </c>
      <c r="F33">
        <v>14.987014771</v>
      </c>
      <c r="G33">
        <v>1500.7758789</v>
      </c>
      <c r="H33">
        <v>1453.0270995999999</v>
      </c>
      <c r="I33">
        <v>1191.3842772999999</v>
      </c>
      <c r="J33">
        <v>1117.0910644999999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0.15840799999999999</v>
      </c>
      <c r="B34" s="1">
        <f>DATE(2010,5,1) + TIME(3,48,6)</f>
        <v>40299.158402777779</v>
      </c>
      <c r="C34">
        <v>80</v>
      </c>
      <c r="D34">
        <v>33.486865997000002</v>
      </c>
      <c r="E34">
        <v>50</v>
      </c>
      <c r="F34">
        <v>14.98706913</v>
      </c>
      <c r="G34">
        <v>1499.4373779</v>
      </c>
      <c r="H34">
        <v>1452.4985352000001</v>
      </c>
      <c r="I34">
        <v>1191.3885498</v>
      </c>
      <c r="J34">
        <v>1117.0954589999999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0.16661799999999999</v>
      </c>
      <c r="B35" s="1">
        <f>DATE(2010,5,1) + TIME(3,59,55)</f>
        <v>40299.166608796295</v>
      </c>
      <c r="C35">
        <v>80</v>
      </c>
      <c r="D35">
        <v>34.285369873</v>
      </c>
      <c r="E35">
        <v>50</v>
      </c>
      <c r="F35">
        <v>14.987122535999999</v>
      </c>
      <c r="G35">
        <v>1498.1282959</v>
      </c>
      <c r="H35">
        <v>1451.9772949000001</v>
      </c>
      <c r="I35">
        <v>1191.3931885</v>
      </c>
      <c r="J35">
        <v>1117.1002197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0.17499100000000001</v>
      </c>
      <c r="B36" s="1">
        <f>DATE(2010,5,1) + TIME(4,11,59)</f>
        <v>40299.174988425926</v>
      </c>
      <c r="C36">
        <v>80</v>
      </c>
      <c r="D36">
        <v>35.085655211999999</v>
      </c>
      <c r="E36">
        <v>50</v>
      </c>
      <c r="F36">
        <v>14.987176894999999</v>
      </c>
      <c r="G36">
        <v>1496.8477783000001</v>
      </c>
      <c r="H36">
        <v>1451.4637451000001</v>
      </c>
      <c r="I36">
        <v>1191.3978271000001</v>
      </c>
      <c r="J36">
        <v>1117.1049805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0.183536</v>
      </c>
      <c r="B37" s="1">
        <f>DATE(2010,5,1) + TIME(4,24,17)</f>
        <v>40299.183530092596</v>
      </c>
      <c r="C37">
        <v>80</v>
      </c>
      <c r="D37">
        <v>35.887981414999999</v>
      </c>
      <c r="E37">
        <v>50</v>
      </c>
      <c r="F37">
        <v>14.987232208</v>
      </c>
      <c r="G37">
        <v>1495.5948486</v>
      </c>
      <c r="H37">
        <v>1450.9576416</v>
      </c>
      <c r="I37">
        <v>1191.4024658000001</v>
      </c>
      <c r="J37">
        <v>1117.1097411999999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0.19226199999999999</v>
      </c>
      <c r="B38" s="1">
        <f>DATE(2010,5,1) + TIME(4,36,51)</f>
        <v>40299.192256944443</v>
      </c>
      <c r="C38">
        <v>80</v>
      </c>
      <c r="D38">
        <v>36.692474365000002</v>
      </c>
      <c r="E38">
        <v>50</v>
      </c>
      <c r="F38">
        <v>14.987286568</v>
      </c>
      <c r="G38">
        <v>1494.3687743999999</v>
      </c>
      <c r="H38">
        <v>1450.4589844</v>
      </c>
      <c r="I38">
        <v>1191.4067382999999</v>
      </c>
      <c r="J38">
        <v>1117.1141356999999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0.201179</v>
      </c>
      <c r="B39" s="1">
        <f>DATE(2010,5,1) + TIME(4,49,41)</f>
        <v>40299.201168981483</v>
      </c>
      <c r="C39">
        <v>80</v>
      </c>
      <c r="D39">
        <v>37.499465942</v>
      </c>
      <c r="E39">
        <v>50</v>
      </c>
      <c r="F39">
        <v>14.987341881000001</v>
      </c>
      <c r="G39">
        <v>1493.168457</v>
      </c>
      <c r="H39">
        <v>1449.9676514</v>
      </c>
      <c r="I39">
        <v>1191.4106445</v>
      </c>
      <c r="J39">
        <v>1117.1181641000001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0.21029900000000001</v>
      </c>
      <c r="B40" s="1">
        <f>DATE(2010,5,1) + TIME(5,2,49)</f>
        <v>40299.210289351853</v>
      </c>
      <c r="C40">
        <v>80</v>
      </c>
      <c r="D40">
        <v>38.309288025000001</v>
      </c>
      <c r="E40">
        <v>50</v>
      </c>
      <c r="F40">
        <v>14.987397194</v>
      </c>
      <c r="G40">
        <v>1491.9926757999999</v>
      </c>
      <c r="H40">
        <v>1449.4832764</v>
      </c>
      <c r="I40">
        <v>1191.4141846</v>
      </c>
      <c r="J40">
        <v>1117.1218262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0.219634</v>
      </c>
      <c r="B41" s="1">
        <f>DATE(2010,5,1) + TIME(5,16,16)</f>
        <v>40299.219629629632</v>
      </c>
      <c r="C41">
        <v>80</v>
      </c>
      <c r="D41">
        <v>39.122215271000002</v>
      </c>
      <c r="E41">
        <v>50</v>
      </c>
      <c r="F41">
        <v>14.987453460999999</v>
      </c>
      <c r="G41">
        <v>1490.8405762</v>
      </c>
      <c r="H41">
        <v>1449.0056152</v>
      </c>
      <c r="I41">
        <v>1191.4172363</v>
      </c>
      <c r="J41">
        <v>1117.125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0.22919600000000001</v>
      </c>
      <c r="B42" s="1">
        <f>DATE(2010,5,1) + TIME(5,30,2)</f>
        <v>40299.229189814818</v>
      </c>
      <c r="C42">
        <v>80</v>
      </c>
      <c r="D42">
        <v>39.938545226999999</v>
      </c>
      <c r="E42">
        <v>50</v>
      </c>
      <c r="F42">
        <v>14.987509727000001</v>
      </c>
      <c r="G42">
        <v>1489.7109375</v>
      </c>
      <c r="H42">
        <v>1448.5344238</v>
      </c>
      <c r="I42">
        <v>1191.4200439000001</v>
      </c>
      <c r="J42">
        <v>1117.1279297000001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0.23899899999999999</v>
      </c>
      <c r="B43" s="1">
        <f>DATE(2010,5,1) + TIME(5,44,9)</f>
        <v>40299.238993055558</v>
      </c>
      <c r="C43">
        <v>80</v>
      </c>
      <c r="D43">
        <v>40.75875473</v>
      </c>
      <c r="E43">
        <v>50</v>
      </c>
      <c r="F43">
        <v>14.987566948</v>
      </c>
      <c r="G43">
        <v>1488.6029053</v>
      </c>
      <c r="H43">
        <v>1448.0693358999999</v>
      </c>
      <c r="I43">
        <v>1191.4224853999999</v>
      </c>
      <c r="J43">
        <v>1117.1304932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0.249058</v>
      </c>
      <c r="B44" s="1">
        <f>DATE(2010,5,1) + TIME(5,58,38)</f>
        <v>40299.249050925922</v>
      </c>
      <c r="C44">
        <v>80</v>
      </c>
      <c r="D44">
        <v>41.583007811999998</v>
      </c>
      <c r="E44">
        <v>50</v>
      </c>
      <c r="F44">
        <v>14.987624168</v>
      </c>
      <c r="G44">
        <v>1487.5152588000001</v>
      </c>
      <c r="H44">
        <v>1447.6098632999999</v>
      </c>
      <c r="I44">
        <v>1191.4245605000001</v>
      </c>
      <c r="J44">
        <v>1117.1328125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0.25938899999999998</v>
      </c>
      <c r="B45" s="1">
        <f>DATE(2010,5,1) + TIME(6,13,31)</f>
        <v>40299.259386574071</v>
      </c>
      <c r="C45">
        <v>80</v>
      </c>
      <c r="D45">
        <v>42.411613463999998</v>
      </c>
      <c r="E45">
        <v>50</v>
      </c>
      <c r="F45">
        <v>14.987681389</v>
      </c>
      <c r="G45">
        <v>1486.4471435999999</v>
      </c>
      <c r="H45">
        <v>1447.1556396000001</v>
      </c>
      <c r="I45">
        <v>1191.4263916</v>
      </c>
      <c r="J45">
        <v>1117.1347656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0.27000999999999997</v>
      </c>
      <c r="B46" s="1">
        <f>DATE(2010,5,1) + TIME(6,28,48)</f>
        <v>40299.269999999997</v>
      </c>
      <c r="C46">
        <v>80</v>
      </c>
      <c r="D46">
        <v>43.244911193999997</v>
      </c>
      <c r="E46">
        <v>50</v>
      </c>
      <c r="F46">
        <v>14.987740517000001</v>
      </c>
      <c r="G46">
        <v>1485.3974608999999</v>
      </c>
      <c r="H46">
        <v>1446.7064209</v>
      </c>
      <c r="I46">
        <v>1191.4279785000001</v>
      </c>
      <c r="J46">
        <v>1117.1364745999999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0.280941</v>
      </c>
      <c r="B47" s="1">
        <f>DATE(2010,5,1) + TIME(6,44,33)</f>
        <v>40299.2809375</v>
      </c>
      <c r="C47">
        <v>80</v>
      </c>
      <c r="D47">
        <v>44.083267212000003</v>
      </c>
      <c r="E47">
        <v>50</v>
      </c>
      <c r="F47">
        <v>14.987798691</v>
      </c>
      <c r="G47">
        <v>1484.3654785000001</v>
      </c>
      <c r="H47">
        <v>1446.2618408000001</v>
      </c>
      <c r="I47">
        <v>1191.4293213000001</v>
      </c>
      <c r="J47">
        <v>1117.1379394999999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0.29220400000000002</v>
      </c>
      <c r="B48" s="1">
        <f>DATE(2010,5,1) + TIME(7,0,46)</f>
        <v>40299.292199074072</v>
      </c>
      <c r="C48">
        <v>80</v>
      </c>
      <c r="D48">
        <v>44.927227019999997</v>
      </c>
      <c r="E48">
        <v>50</v>
      </c>
      <c r="F48">
        <v>14.987858771999999</v>
      </c>
      <c r="G48">
        <v>1483.3499756000001</v>
      </c>
      <c r="H48">
        <v>1445.8212891000001</v>
      </c>
      <c r="I48">
        <v>1191.4305420000001</v>
      </c>
      <c r="J48">
        <v>1117.1391602000001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0.30382500000000001</v>
      </c>
      <c r="B49" s="1">
        <f>DATE(2010,5,1) + TIME(7,17,30)</f>
        <v>40299.303819444445</v>
      </c>
      <c r="C49">
        <v>80</v>
      </c>
      <c r="D49">
        <v>45.777240753000001</v>
      </c>
      <c r="E49">
        <v>50</v>
      </c>
      <c r="F49">
        <v>14.987918854</v>
      </c>
      <c r="G49">
        <v>1482.3499756000001</v>
      </c>
      <c r="H49">
        <v>1445.3842772999999</v>
      </c>
      <c r="I49">
        <v>1191.4315185999999</v>
      </c>
      <c r="J49">
        <v>1117.1403809000001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0.315826</v>
      </c>
      <c r="B50" s="1">
        <f>DATE(2010,5,1) + TIME(7,34,47)</f>
        <v>40299.315821759257</v>
      </c>
      <c r="C50">
        <v>80</v>
      </c>
      <c r="D50">
        <v>46.633518219000003</v>
      </c>
      <c r="E50">
        <v>50</v>
      </c>
      <c r="F50">
        <v>14.987979889</v>
      </c>
      <c r="G50">
        <v>1481.364624</v>
      </c>
      <c r="H50">
        <v>1444.9506836</v>
      </c>
      <c r="I50">
        <v>1191.4323730000001</v>
      </c>
      <c r="J50">
        <v>1117.1413574000001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0.32823600000000003</v>
      </c>
      <c r="B51" s="1">
        <f>DATE(2010,5,1) + TIME(7,52,39)</f>
        <v>40299.328229166669</v>
      </c>
      <c r="C51">
        <v>80</v>
      </c>
      <c r="D51">
        <v>47.496494292999998</v>
      </c>
      <c r="E51">
        <v>50</v>
      </c>
      <c r="F51">
        <v>14.988041878000001</v>
      </c>
      <c r="G51">
        <v>1480.3931885</v>
      </c>
      <c r="H51">
        <v>1444.5197754000001</v>
      </c>
      <c r="I51">
        <v>1191.4331055</v>
      </c>
      <c r="J51">
        <v>1117.1422118999999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0.34108500000000003</v>
      </c>
      <c r="B52" s="1">
        <f>DATE(2010,5,1) + TIME(8,11,9)</f>
        <v>40299.34107638889</v>
      </c>
      <c r="C52">
        <v>80</v>
      </c>
      <c r="D52">
        <v>48.366641997999999</v>
      </c>
      <c r="E52">
        <v>50</v>
      </c>
      <c r="F52">
        <v>14.98810482</v>
      </c>
      <c r="G52">
        <v>1479.4345702999999</v>
      </c>
      <c r="H52">
        <v>1444.0914307</v>
      </c>
      <c r="I52">
        <v>1191.4337158000001</v>
      </c>
      <c r="J52">
        <v>1117.1429443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0.35441099999999998</v>
      </c>
      <c r="B53" s="1">
        <f>DATE(2010,5,1) + TIME(8,30,21)</f>
        <v>40299.354409722226</v>
      </c>
      <c r="C53">
        <v>80</v>
      </c>
      <c r="D53">
        <v>49.244449615000001</v>
      </c>
      <c r="E53">
        <v>50</v>
      </c>
      <c r="F53">
        <v>14.988168716000001</v>
      </c>
      <c r="G53">
        <v>1478.4879149999999</v>
      </c>
      <c r="H53">
        <v>1443.6647949000001</v>
      </c>
      <c r="I53">
        <v>1191.4343262</v>
      </c>
      <c r="J53">
        <v>1117.1436768000001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0.368251</v>
      </c>
      <c r="B54" s="1">
        <f>DATE(2010,5,1) + TIME(8,50,16)</f>
        <v>40299.36824074074</v>
      </c>
      <c r="C54">
        <v>80</v>
      </c>
      <c r="D54">
        <v>50.130378723</v>
      </c>
      <c r="E54">
        <v>50</v>
      </c>
      <c r="F54">
        <v>14.988233566</v>
      </c>
      <c r="G54">
        <v>1477.5523682</v>
      </c>
      <c r="H54">
        <v>1443.2397461</v>
      </c>
      <c r="I54">
        <v>1191.4346923999999</v>
      </c>
      <c r="J54">
        <v>1117.1441649999999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0.38264999999999999</v>
      </c>
      <c r="B55" s="1">
        <f>DATE(2010,5,1) + TIME(9,11,0)</f>
        <v>40299.382638888892</v>
      </c>
      <c r="C55">
        <v>80</v>
      </c>
      <c r="D55">
        <v>51.024692535</v>
      </c>
      <c r="E55">
        <v>50</v>
      </c>
      <c r="F55">
        <v>14.98829937</v>
      </c>
      <c r="G55">
        <v>1476.6269531</v>
      </c>
      <c r="H55">
        <v>1442.8154297000001</v>
      </c>
      <c r="I55">
        <v>1191.4350586</v>
      </c>
      <c r="J55">
        <v>1117.1447754000001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0.39765899999999998</v>
      </c>
      <c r="B56" s="1">
        <f>DATE(2010,5,1) + TIME(9,32,37)</f>
        <v>40299.397650462961</v>
      </c>
      <c r="C56">
        <v>80</v>
      </c>
      <c r="D56">
        <v>51.928333281999997</v>
      </c>
      <c r="E56">
        <v>50</v>
      </c>
      <c r="F56">
        <v>14.988366127000001</v>
      </c>
      <c r="G56">
        <v>1475.7108154</v>
      </c>
      <c r="H56">
        <v>1442.3914795000001</v>
      </c>
      <c r="I56">
        <v>1191.4354248</v>
      </c>
      <c r="J56">
        <v>1117.1452637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0.41333199999999998</v>
      </c>
      <c r="B57" s="1">
        <f>DATE(2010,5,1) + TIME(9,55,11)</f>
        <v>40299.413321759261</v>
      </c>
      <c r="C57">
        <v>80</v>
      </c>
      <c r="D57">
        <v>52.841938018999997</v>
      </c>
      <c r="E57">
        <v>50</v>
      </c>
      <c r="F57">
        <v>14.988433838000001</v>
      </c>
      <c r="G57">
        <v>1474.8027344</v>
      </c>
      <c r="H57">
        <v>1441.9674072</v>
      </c>
      <c r="I57">
        <v>1191.4356689000001</v>
      </c>
      <c r="J57">
        <v>1117.1456298999999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0.42973699999999998</v>
      </c>
      <c r="B58" s="1">
        <f>DATE(2010,5,1) + TIME(10,18,49)</f>
        <v>40299.4297337963</v>
      </c>
      <c r="C58">
        <v>80</v>
      </c>
      <c r="D58">
        <v>53.766246795999997</v>
      </c>
      <c r="E58">
        <v>50</v>
      </c>
      <c r="F58">
        <v>14.988503456</v>
      </c>
      <c r="G58">
        <v>1473.9018555</v>
      </c>
      <c r="H58">
        <v>1441.5423584</v>
      </c>
      <c r="I58">
        <v>1191.4359131000001</v>
      </c>
      <c r="J58">
        <v>1117.1459961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0.44695800000000002</v>
      </c>
      <c r="B59" s="1">
        <f>DATE(2010,5,1) + TIME(10,43,37)</f>
        <v>40299.446956018517</v>
      </c>
      <c r="C59">
        <v>80</v>
      </c>
      <c r="D59">
        <v>54.702587127999998</v>
      </c>
      <c r="E59">
        <v>50</v>
      </c>
      <c r="F59">
        <v>14.988574981999999</v>
      </c>
      <c r="G59">
        <v>1473.0065918</v>
      </c>
      <c r="H59">
        <v>1441.1156006000001</v>
      </c>
      <c r="I59">
        <v>1191.4361572</v>
      </c>
      <c r="J59">
        <v>1117.1463623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0.46506999999999998</v>
      </c>
      <c r="B60" s="1">
        <f>DATE(2010,5,1) + TIME(11,9,42)</f>
        <v>40299.465069444443</v>
      </c>
      <c r="C60">
        <v>80</v>
      </c>
      <c r="D60">
        <v>55.651199341000002</v>
      </c>
      <c r="E60">
        <v>50</v>
      </c>
      <c r="F60">
        <v>14.988647460999999</v>
      </c>
      <c r="G60">
        <v>1472.1163329999999</v>
      </c>
      <c r="H60">
        <v>1440.6865233999999</v>
      </c>
      <c r="I60">
        <v>1191.4364014</v>
      </c>
      <c r="J60">
        <v>1117.1467285000001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0.483983</v>
      </c>
      <c r="B61" s="1">
        <f>DATE(2010,5,1) + TIME(11,36,56)</f>
        <v>40299.483981481484</v>
      </c>
      <c r="C61">
        <v>80</v>
      </c>
      <c r="D61">
        <v>56.603801726999997</v>
      </c>
      <c r="E61">
        <v>50</v>
      </c>
      <c r="F61">
        <v>14.988720894</v>
      </c>
      <c r="G61">
        <v>1471.2368164</v>
      </c>
      <c r="H61">
        <v>1440.2570800999999</v>
      </c>
      <c r="I61">
        <v>1191.4365233999999</v>
      </c>
      <c r="J61">
        <v>1117.1470947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0.50374099999999999</v>
      </c>
      <c r="B62" s="1">
        <f>DATE(2010,5,1) + TIME(12,5,23)</f>
        <v>40299.503738425927</v>
      </c>
      <c r="C62">
        <v>80</v>
      </c>
      <c r="D62">
        <v>57.559089661000002</v>
      </c>
      <c r="E62">
        <v>50</v>
      </c>
      <c r="F62">
        <v>14.988796234</v>
      </c>
      <c r="G62">
        <v>1470.3693848</v>
      </c>
      <c r="H62">
        <v>1439.828125</v>
      </c>
      <c r="I62">
        <v>1191.4366454999999</v>
      </c>
      <c r="J62">
        <v>1117.1473389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0.52442100000000003</v>
      </c>
      <c r="B63" s="1">
        <f>DATE(2010,5,1) + TIME(12,35,9)</f>
        <v>40299.524409722224</v>
      </c>
      <c r="C63">
        <v>80</v>
      </c>
      <c r="D63">
        <v>58.517135619999998</v>
      </c>
      <c r="E63">
        <v>50</v>
      </c>
      <c r="F63">
        <v>14.988872528</v>
      </c>
      <c r="G63">
        <v>1469.5133057</v>
      </c>
      <c r="H63">
        <v>1439.3994141000001</v>
      </c>
      <c r="I63">
        <v>1191.4367675999999</v>
      </c>
      <c r="J63">
        <v>1117.1477050999999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0.54600599999999999</v>
      </c>
      <c r="B64" s="1">
        <f>DATE(2010,5,1) + TIME(13,6,14)</f>
        <v>40299.545995370368</v>
      </c>
      <c r="C64">
        <v>80</v>
      </c>
      <c r="D64">
        <v>59.473484038999999</v>
      </c>
      <c r="E64">
        <v>50</v>
      </c>
      <c r="F64">
        <v>14.988948821999999</v>
      </c>
      <c r="G64">
        <v>1468.6707764</v>
      </c>
      <c r="H64">
        <v>1438.9713135</v>
      </c>
      <c r="I64">
        <v>1191.4368896000001</v>
      </c>
      <c r="J64">
        <v>1117.1479492000001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0.568577</v>
      </c>
      <c r="B65" s="1">
        <f>DATE(2010,5,1) + TIME(13,38,45)</f>
        <v>40299.568576388891</v>
      </c>
      <c r="C65">
        <v>80</v>
      </c>
      <c r="D65">
        <v>60.427562713999997</v>
      </c>
      <c r="E65">
        <v>50</v>
      </c>
      <c r="F65">
        <v>14.989027023</v>
      </c>
      <c r="G65">
        <v>1467.8414307</v>
      </c>
      <c r="H65">
        <v>1438.5441894999999</v>
      </c>
      <c r="I65">
        <v>1191.4371338000001</v>
      </c>
      <c r="J65">
        <v>1117.1483154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0.59223499999999996</v>
      </c>
      <c r="B66" s="1">
        <f>DATE(2010,5,1) + TIME(14,12,49)</f>
        <v>40299.592233796298</v>
      </c>
      <c r="C66">
        <v>80</v>
      </c>
      <c r="D66">
        <v>61.379398346000002</v>
      </c>
      <c r="E66">
        <v>50</v>
      </c>
      <c r="F66">
        <v>14.989105224999999</v>
      </c>
      <c r="G66">
        <v>1467.0242920000001</v>
      </c>
      <c r="H66">
        <v>1438.1169434000001</v>
      </c>
      <c r="I66">
        <v>1191.4372559000001</v>
      </c>
      <c r="J66">
        <v>1117.1485596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0.617089</v>
      </c>
      <c r="B67" s="1">
        <f>DATE(2010,5,1) + TIME(14,48,36)</f>
        <v>40299.617083333331</v>
      </c>
      <c r="C67">
        <v>80</v>
      </c>
      <c r="D67">
        <v>62.329235077</v>
      </c>
      <c r="E67">
        <v>50</v>
      </c>
      <c r="F67">
        <v>14.989185333</v>
      </c>
      <c r="G67">
        <v>1466.2178954999999</v>
      </c>
      <c r="H67">
        <v>1437.6892089999999</v>
      </c>
      <c r="I67">
        <v>1191.4373779</v>
      </c>
      <c r="J67">
        <v>1117.1489257999999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0.64325600000000005</v>
      </c>
      <c r="B68" s="1">
        <f>DATE(2010,5,1) + TIME(15,26,17)</f>
        <v>40299.643252314818</v>
      </c>
      <c r="C68">
        <v>80</v>
      </c>
      <c r="D68">
        <v>63.276481627999999</v>
      </c>
      <c r="E68">
        <v>50</v>
      </c>
      <c r="F68">
        <v>14.989266396</v>
      </c>
      <c r="G68">
        <v>1465.4215088000001</v>
      </c>
      <c r="H68">
        <v>1437.2600098</v>
      </c>
      <c r="I68">
        <v>1191.4375</v>
      </c>
      <c r="J68">
        <v>1117.1491699000001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0.67022700000000002</v>
      </c>
      <c r="B69" s="1">
        <f>DATE(2010,5,1) + TIME(16,5,7)</f>
        <v>40299.670219907406</v>
      </c>
      <c r="C69">
        <v>80</v>
      </c>
      <c r="D69">
        <v>64.199752808</v>
      </c>
      <c r="E69">
        <v>50</v>
      </c>
      <c r="F69">
        <v>14.989346504</v>
      </c>
      <c r="G69">
        <v>1464.6468506000001</v>
      </c>
      <c r="H69">
        <v>1436.8331298999999</v>
      </c>
      <c r="I69">
        <v>1191.4377440999999</v>
      </c>
      <c r="J69">
        <v>1117.1495361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0.69731699999999996</v>
      </c>
      <c r="B70" s="1">
        <f>DATE(2010,5,1) + TIME(16,44,8)</f>
        <v>40299.697314814817</v>
      </c>
      <c r="C70">
        <v>80</v>
      </c>
      <c r="D70">
        <v>65.076477050999998</v>
      </c>
      <c r="E70">
        <v>50</v>
      </c>
      <c r="F70">
        <v>14.989424705999999</v>
      </c>
      <c r="G70">
        <v>1463.9097899999999</v>
      </c>
      <c r="H70">
        <v>1436.4174805</v>
      </c>
      <c r="I70">
        <v>1191.4378661999999</v>
      </c>
      <c r="J70">
        <v>1117.1499022999999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0.72459099999999999</v>
      </c>
      <c r="B71" s="1">
        <f>DATE(2010,5,1) + TIME(17,23,24)</f>
        <v>40299.724583333336</v>
      </c>
      <c r="C71">
        <v>80</v>
      </c>
      <c r="D71">
        <v>65.910713196000003</v>
      </c>
      <c r="E71">
        <v>50</v>
      </c>
      <c r="F71">
        <v>14.989500046</v>
      </c>
      <c r="G71">
        <v>1463.2111815999999</v>
      </c>
      <c r="H71">
        <v>1436.0172118999999</v>
      </c>
      <c r="I71">
        <v>1191.4381103999999</v>
      </c>
      <c r="J71">
        <v>1117.1502685999999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0.75209199999999998</v>
      </c>
      <c r="B72" s="1">
        <f>DATE(2010,5,1) + TIME(18,3,0)</f>
        <v>40299.752083333333</v>
      </c>
      <c r="C72">
        <v>80</v>
      </c>
      <c r="D72">
        <v>66.705123900999993</v>
      </c>
      <c r="E72">
        <v>50</v>
      </c>
      <c r="F72">
        <v>14.989573479000001</v>
      </c>
      <c r="G72">
        <v>1462.5471190999999</v>
      </c>
      <c r="H72">
        <v>1435.6304932</v>
      </c>
      <c r="I72">
        <v>1191.4383545000001</v>
      </c>
      <c r="J72">
        <v>1117.1506348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0.77986100000000003</v>
      </c>
      <c r="B73" s="1">
        <f>DATE(2010,5,1) + TIME(18,42,59)</f>
        <v>40299.779849537037</v>
      </c>
      <c r="C73">
        <v>80</v>
      </c>
      <c r="D73">
        <v>67.462211608999993</v>
      </c>
      <c r="E73">
        <v>50</v>
      </c>
      <c r="F73">
        <v>14.989645004</v>
      </c>
      <c r="G73">
        <v>1461.9141846</v>
      </c>
      <c r="H73">
        <v>1435.2559814000001</v>
      </c>
      <c r="I73">
        <v>1191.4384766000001</v>
      </c>
      <c r="J73">
        <v>1117.151001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0.80793899999999996</v>
      </c>
      <c r="B74" s="1">
        <f>DATE(2010,5,1) + TIME(19,23,25)</f>
        <v>40299.807928240742</v>
      </c>
      <c r="C74">
        <v>80</v>
      </c>
      <c r="D74">
        <v>68.184181213000002</v>
      </c>
      <c r="E74">
        <v>50</v>
      </c>
      <c r="F74">
        <v>14.989715576</v>
      </c>
      <c r="G74">
        <v>1461.3094481999999</v>
      </c>
      <c r="H74">
        <v>1434.8922118999999</v>
      </c>
      <c r="I74">
        <v>1191.4387207</v>
      </c>
      <c r="J74">
        <v>1117.1513672000001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0.836368</v>
      </c>
      <c r="B75" s="1">
        <f>DATE(2010,5,1) + TIME(20,4,22)</f>
        <v>40299.836365740739</v>
      </c>
      <c r="C75">
        <v>80</v>
      </c>
      <c r="D75">
        <v>68.873023986999996</v>
      </c>
      <c r="E75">
        <v>50</v>
      </c>
      <c r="F75">
        <v>14.989783287</v>
      </c>
      <c r="G75">
        <v>1460.7302245999999</v>
      </c>
      <c r="H75">
        <v>1434.5382079999999</v>
      </c>
      <c r="I75">
        <v>1191.4389647999999</v>
      </c>
      <c r="J75">
        <v>1117.1517334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0.86518700000000004</v>
      </c>
      <c r="B76" s="1">
        <f>DATE(2010,5,1) + TIME(20,45,52)</f>
        <v>40299.865185185183</v>
      </c>
      <c r="C76">
        <v>80</v>
      </c>
      <c r="D76">
        <v>69.530502318999993</v>
      </c>
      <c r="E76">
        <v>50</v>
      </c>
      <c r="F76">
        <v>14.989850998</v>
      </c>
      <c r="G76">
        <v>1460.1741943</v>
      </c>
      <c r="H76">
        <v>1434.1929932</v>
      </c>
      <c r="I76">
        <v>1191.4392089999999</v>
      </c>
      <c r="J76">
        <v>1117.1522216999999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0.89443600000000001</v>
      </c>
      <c r="B77" s="1">
        <f>DATE(2010,5,1) + TIME(21,27,59)</f>
        <v>40299.894432870373</v>
      </c>
      <c r="C77">
        <v>80</v>
      </c>
      <c r="D77">
        <v>70.158042907999999</v>
      </c>
      <c r="E77">
        <v>50</v>
      </c>
      <c r="F77">
        <v>14.989915848000001</v>
      </c>
      <c r="G77">
        <v>1459.6394043</v>
      </c>
      <c r="H77">
        <v>1433.8553466999999</v>
      </c>
      <c r="I77">
        <v>1191.4394531</v>
      </c>
      <c r="J77">
        <v>1117.1525879000001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0.92415400000000003</v>
      </c>
      <c r="B78" s="1">
        <f>DATE(2010,5,1) + TIME(22,10,46)</f>
        <v>40299.924143518518</v>
      </c>
      <c r="C78">
        <v>80</v>
      </c>
      <c r="D78">
        <v>70.756820679</v>
      </c>
      <c r="E78">
        <v>50</v>
      </c>
      <c r="F78">
        <v>14.989980698</v>
      </c>
      <c r="G78">
        <v>1459.1241454999999</v>
      </c>
      <c r="H78">
        <v>1433.5247803</v>
      </c>
      <c r="I78">
        <v>1191.4398193</v>
      </c>
      <c r="J78">
        <v>1117.1529541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0.95438999999999996</v>
      </c>
      <c r="B79" s="1">
        <f>DATE(2010,5,1) + TIME(22,54,19)</f>
        <v>40299.954386574071</v>
      </c>
      <c r="C79">
        <v>80</v>
      </c>
      <c r="D79">
        <v>71.328559874999996</v>
      </c>
      <c r="E79">
        <v>50</v>
      </c>
      <c r="F79">
        <v>14.99004364</v>
      </c>
      <c r="G79">
        <v>1458.6264647999999</v>
      </c>
      <c r="H79">
        <v>1433.2004394999999</v>
      </c>
      <c r="I79">
        <v>1191.4400635</v>
      </c>
      <c r="J79">
        <v>1117.1533202999999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0.98518899999999998</v>
      </c>
      <c r="B80" s="1">
        <f>DATE(2010,5,1) + TIME(23,38,40)</f>
        <v>40299.985185185185</v>
      </c>
      <c r="C80">
        <v>80</v>
      </c>
      <c r="D80">
        <v>71.874435425000001</v>
      </c>
      <c r="E80">
        <v>50</v>
      </c>
      <c r="F80">
        <v>14.990105629</v>
      </c>
      <c r="G80">
        <v>1458.1450195</v>
      </c>
      <c r="H80">
        <v>1432.8815918</v>
      </c>
      <c r="I80">
        <v>1191.4403076000001</v>
      </c>
      <c r="J80">
        <v>1117.1536865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1.016597</v>
      </c>
      <c r="B81" s="1">
        <f>DATE(2010,5,2) + TIME(0,23,53)</f>
        <v>40300.016585648147</v>
      </c>
      <c r="C81">
        <v>80</v>
      </c>
      <c r="D81">
        <v>72.395530700999998</v>
      </c>
      <c r="E81">
        <v>50</v>
      </c>
      <c r="F81">
        <v>14.990167617999999</v>
      </c>
      <c r="G81">
        <v>1457.6782227000001</v>
      </c>
      <c r="H81">
        <v>1432.5675048999999</v>
      </c>
      <c r="I81">
        <v>1191.4405518000001</v>
      </c>
      <c r="J81">
        <v>1117.1541748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1.0486629999999999</v>
      </c>
      <c r="B82" s="1">
        <f>DATE(2010,5,2) + TIME(1,10,4)</f>
        <v>40300.048657407409</v>
      </c>
      <c r="C82">
        <v>80</v>
      </c>
      <c r="D82">
        <v>72.892837524000001</v>
      </c>
      <c r="E82">
        <v>50</v>
      </c>
      <c r="F82">
        <v>14.990227699</v>
      </c>
      <c r="G82">
        <v>1457.2250977000001</v>
      </c>
      <c r="H82">
        <v>1432.2575684000001</v>
      </c>
      <c r="I82">
        <v>1191.440918</v>
      </c>
      <c r="J82">
        <v>1117.1545410000001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1.081442</v>
      </c>
      <c r="B83" s="1">
        <f>DATE(2010,5,2) + TIME(1,57,16)</f>
        <v>40300.081435185188</v>
      </c>
      <c r="C83">
        <v>80</v>
      </c>
      <c r="D83">
        <v>73.367271423000005</v>
      </c>
      <c r="E83">
        <v>50</v>
      </c>
      <c r="F83">
        <v>14.990286827</v>
      </c>
      <c r="G83">
        <v>1456.7841797000001</v>
      </c>
      <c r="H83">
        <v>1431.9512939000001</v>
      </c>
      <c r="I83">
        <v>1191.4411620999999</v>
      </c>
      <c r="J83">
        <v>1117.1549072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1.114987</v>
      </c>
      <c r="B84" s="1">
        <f>DATE(2010,5,2) + TIME(2,45,34)</f>
        <v>40300.114976851852</v>
      </c>
      <c r="C84">
        <v>80</v>
      </c>
      <c r="D84">
        <v>73.819664001000007</v>
      </c>
      <c r="E84">
        <v>50</v>
      </c>
      <c r="F84">
        <v>14.990345955</v>
      </c>
      <c r="G84">
        <v>1456.3546143000001</v>
      </c>
      <c r="H84">
        <v>1431.6480713000001</v>
      </c>
      <c r="I84">
        <v>1191.4414062000001</v>
      </c>
      <c r="J84">
        <v>1117.1553954999999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1.149359</v>
      </c>
      <c r="B85" s="1">
        <f>DATE(2010,5,2) + TIME(3,35,4)</f>
        <v>40300.149351851855</v>
      </c>
      <c r="C85">
        <v>80</v>
      </c>
      <c r="D85">
        <v>74.250801085999996</v>
      </c>
      <c r="E85">
        <v>50</v>
      </c>
      <c r="F85">
        <v>14.990404129</v>
      </c>
      <c r="G85">
        <v>1455.9353027</v>
      </c>
      <c r="H85">
        <v>1431.3472899999999</v>
      </c>
      <c r="I85">
        <v>1191.4417725000001</v>
      </c>
      <c r="J85">
        <v>1117.1557617000001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1.1846220000000001</v>
      </c>
      <c r="B86" s="1">
        <f>DATE(2010,5,2) + TIME(4,25,51)</f>
        <v>40300.184618055559</v>
      </c>
      <c r="C86">
        <v>80</v>
      </c>
      <c r="D86">
        <v>74.661399841000005</v>
      </c>
      <c r="E86">
        <v>50</v>
      </c>
      <c r="F86">
        <v>14.990462302999999</v>
      </c>
      <c r="G86">
        <v>1455.5252685999999</v>
      </c>
      <c r="H86">
        <v>1431.0485839999999</v>
      </c>
      <c r="I86">
        <v>1191.4420166</v>
      </c>
      <c r="J86">
        <v>1117.15625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1.220845</v>
      </c>
      <c r="B87" s="1">
        <f>DATE(2010,5,2) + TIME(5,18,1)</f>
        <v>40300.22084490741</v>
      </c>
      <c r="C87">
        <v>80</v>
      </c>
      <c r="D87">
        <v>75.052108765</v>
      </c>
      <c r="E87">
        <v>50</v>
      </c>
      <c r="F87">
        <v>14.990519524</v>
      </c>
      <c r="G87">
        <v>1455.1237793</v>
      </c>
      <c r="H87">
        <v>1430.7514647999999</v>
      </c>
      <c r="I87">
        <v>1191.4423827999999</v>
      </c>
      <c r="J87">
        <v>1117.1566161999999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1.257981</v>
      </c>
      <c r="B88" s="1">
        <f>DATE(2010,5,2) + TIME(6,11,29)</f>
        <v>40300.257974537039</v>
      </c>
      <c r="C88">
        <v>80</v>
      </c>
      <c r="D88">
        <v>75.422218322999996</v>
      </c>
      <c r="E88">
        <v>50</v>
      </c>
      <c r="F88">
        <v>14.990575789999999</v>
      </c>
      <c r="G88">
        <v>1454.7302245999999</v>
      </c>
      <c r="H88">
        <v>1430.4554443</v>
      </c>
      <c r="I88">
        <v>1191.4426269999999</v>
      </c>
      <c r="J88">
        <v>1117.1571045000001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1.295922</v>
      </c>
      <c r="B89" s="1">
        <f>DATE(2010,5,2) + TIME(7,6,7)</f>
        <v>40300.295914351853</v>
      </c>
      <c r="C89">
        <v>80</v>
      </c>
      <c r="D89">
        <v>75.771232604999994</v>
      </c>
      <c r="E89">
        <v>50</v>
      </c>
      <c r="F89">
        <v>14.990632056999999</v>
      </c>
      <c r="G89">
        <v>1454.3453368999999</v>
      </c>
      <c r="H89">
        <v>1430.1611327999999</v>
      </c>
      <c r="I89">
        <v>1191.4429932</v>
      </c>
      <c r="J89">
        <v>1117.1574707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1.334741</v>
      </c>
      <c r="B90" s="1">
        <f>DATE(2010,5,2) + TIME(8,2,1)</f>
        <v>40300.334733796299</v>
      </c>
      <c r="C90">
        <v>80</v>
      </c>
      <c r="D90">
        <v>76.100196838000002</v>
      </c>
      <c r="E90">
        <v>50</v>
      </c>
      <c r="F90">
        <v>14.99068737</v>
      </c>
      <c r="G90">
        <v>1453.9692382999999</v>
      </c>
      <c r="H90">
        <v>1429.8691406</v>
      </c>
      <c r="I90">
        <v>1191.4433594</v>
      </c>
      <c r="J90">
        <v>1117.1579589999999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1.374506</v>
      </c>
      <c r="B91" s="1">
        <f>DATE(2010,5,2) + TIME(8,59,17)</f>
        <v>40300.374502314815</v>
      </c>
      <c r="C91">
        <v>80</v>
      </c>
      <c r="D91">
        <v>76.410018921000002</v>
      </c>
      <c r="E91">
        <v>50</v>
      </c>
      <c r="F91">
        <v>14.99074173</v>
      </c>
      <c r="G91">
        <v>1453.6007079999999</v>
      </c>
      <c r="H91">
        <v>1429.5788574000001</v>
      </c>
      <c r="I91">
        <v>1191.4436035000001</v>
      </c>
      <c r="J91">
        <v>1117.1583252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1.4153070000000001</v>
      </c>
      <c r="B92" s="1">
        <f>DATE(2010,5,2) + TIME(9,58,2)</f>
        <v>40300.415300925924</v>
      </c>
      <c r="C92">
        <v>80</v>
      </c>
      <c r="D92">
        <v>76.701644896999994</v>
      </c>
      <c r="E92">
        <v>50</v>
      </c>
      <c r="F92">
        <v>14.990796089</v>
      </c>
      <c r="G92">
        <v>1453.2392577999999</v>
      </c>
      <c r="H92">
        <v>1429.2900391000001</v>
      </c>
      <c r="I92">
        <v>1191.4439697</v>
      </c>
      <c r="J92">
        <v>1117.1588135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1.4572160000000001</v>
      </c>
      <c r="B93" s="1">
        <f>DATE(2010,5,2) + TIME(10,58,23)</f>
        <v>40300.45721064815</v>
      </c>
      <c r="C93">
        <v>80</v>
      </c>
      <c r="D93">
        <v>76.975814818999993</v>
      </c>
      <c r="E93">
        <v>50</v>
      </c>
      <c r="F93">
        <v>14.990849495000001</v>
      </c>
      <c r="G93">
        <v>1452.8839111</v>
      </c>
      <c r="H93">
        <v>1429.0019531</v>
      </c>
      <c r="I93">
        <v>1191.4442139</v>
      </c>
      <c r="J93">
        <v>1117.1591797000001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1.500308</v>
      </c>
      <c r="B94" s="1">
        <f>DATE(2010,5,2) + TIME(12,0,26)</f>
        <v>40300.500300925924</v>
      </c>
      <c r="C94">
        <v>80</v>
      </c>
      <c r="D94">
        <v>77.233200073000006</v>
      </c>
      <c r="E94">
        <v>50</v>
      </c>
      <c r="F94">
        <v>14.990902901</v>
      </c>
      <c r="G94">
        <v>1452.5340576000001</v>
      </c>
      <c r="H94">
        <v>1428.7142334</v>
      </c>
      <c r="I94">
        <v>1191.4445800999999</v>
      </c>
      <c r="J94">
        <v>1117.1595459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1.5445150000000001</v>
      </c>
      <c r="B95" s="1">
        <f>DATE(2010,5,2) + TIME(13,4,6)</f>
        <v>40300.54451388889</v>
      </c>
      <c r="C95">
        <v>80</v>
      </c>
      <c r="D95">
        <v>77.473716736</v>
      </c>
      <c r="E95">
        <v>50</v>
      </c>
      <c r="F95">
        <v>14.990956305999999</v>
      </c>
      <c r="G95">
        <v>1452.1892089999999</v>
      </c>
      <c r="H95">
        <v>1428.4266356999999</v>
      </c>
      <c r="I95">
        <v>1191.4448242000001</v>
      </c>
      <c r="J95">
        <v>1117.1600341999999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1.5899190000000001</v>
      </c>
      <c r="B96" s="1">
        <f>DATE(2010,5,2) + TIME(14,9,29)</f>
        <v>40300.589918981481</v>
      </c>
      <c r="C96">
        <v>80</v>
      </c>
      <c r="D96">
        <v>77.698173522999994</v>
      </c>
      <c r="E96">
        <v>50</v>
      </c>
      <c r="F96">
        <v>14.991008759</v>
      </c>
      <c r="G96">
        <v>1451.8496094</v>
      </c>
      <c r="H96">
        <v>1428.1397704999999</v>
      </c>
      <c r="I96">
        <v>1191.4451904</v>
      </c>
      <c r="J96">
        <v>1117.1604004000001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1.636617</v>
      </c>
      <c r="B97" s="1">
        <f>DATE(2010,5,2) + TIME(15,16,43)</f>
        <v>40300.636608796296</v>
      </c>
      <c r="C97">
        <v>80</v>
      </c>
      <c r="D97">
        <v>77.907371521000002</v>
      </c>
      <c r="E97">
        <v>50</v>
      </c>
      <c r="F97">
        <v>14.991061211</v>
      </c>
      <c r="G97">
        <v>1451.5146483999999</v>
      </c>
      <c r="H97">
        <v>1427.8531493999999</v>
      </c>
      <c r="I97">
        <v>1191.4455565999999</v>
      </c>
      <c r="J97">
        <v>1117.1608887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1.684714</v>
      </c>
      <c r="B98" s="1">
        <f>DATE(2010,5,2) + TIME(16,25,59)</f>
        <v>40300.684710648151</v>
      </c>
      <c r="C98">
        <v>80</v>
      </c>
      <c r="D98">
        <v>78.102081299000005</v>
      </c>
      <c r="E98">
        <v>50</v>
      </c>
      <c r="F98">
        <v>14.991113663</v>
      </c>
      <c r="G98">
        <v>1451.1835937999999</v>
      </c>
      <c r="H98">
        <v>1427.5662841999999</v>
      </c>
      <c r="I98">
        <v>1191.4458007999999</v>
      </c>
      <c r="J98">
        <v>1117.1613769999999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1.7343310000000001</v>
      </c>
      <c r="B99" s="1">
        <f>DATE(2010,5,2) + TIME(17,37,26)</f>
        <v>40300.7343287037</v>
      </c>
      <c r="C99">
        <v>80</v>
      </c>
      <c r="D99">
        <v>78.283020019999995</v>
      </c>
      <c r="E99">
        <v>50</v>
      </c>
      <c r="F99">
        <v>14.991166115</v>
      </c>
      <c r="G99">
        <v>1450.8557129000001</v>
      </c>
      <c r="H99">
        <v>1427.2788086</v>
      </c>
      <c r="I99">
        <v>1191.4461670000001</v>
      </c>
      <c r="J99">
        <v>1117.1617432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1.785598</v>
      </c>
      <c r="B100" s="1">
        <f>DATE(2010,5,2) + TIME(18,51,15)</f>
        <v>40300.785590277781</v>
      </c>
      <c r="C100">
        <v>80</v>
      </c>
      <c r="D100">
        <v>78.450874329000001</v>
      </c>
      <c r="E100">
        <v>50</v>
      </c>
      <c r="F100">
        <v>14.991218567000001</v>
      </c>
      <c r="G100">
        <v>1450.5303954999999</v>
      </c>
      <c r="H100">
        <v>1426.9903564000001</v>
      </c>
      <c r="I100">
        <v>1191.4465332</v>
      </c>
      <c r="J100">
        <v>1117.1622314000001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1.83866</v>
      </c>
      <c r="B101" s="1">
        <f>DATE(2010,5,2) + TIME(20,7,40)</f>
        <v>40300.83865740741</v>
      </c>
      <c r="C101">
        <v>80</v>
      </c>
      <c r="D101">
        <v>78.606292725000003</v>
      </c>
      <c r="E101">
        <v>50</v>
      </c>
      <c r="F101">
        <v>14.991270065</v>
      </c>
      <c r="G101">
        <v>1450.2070312000001</v>
      </c>
      <c r="H101">
        <v>1426.7001952999999</v>
      </c>
      <c r="I101">
        <v>1191.4468993999999</v>
      </c>
      <c r="J101">
        <v>1117.1625977000001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1.8936789999999999</v>
      </c>
      <c r="B102" s="1">
        <f>DATE(2010,5,2) + TIME(21,26,53)</f>
        <v>40300.89366898148</v>
      </c>
      <c r="C102">
        <v>80</v>
      </c>
      <c r="D102">
        <v>78.749893188000001</v>
      </c>
      <c r="E102">
        <v>50</v>
      </c>
      <c r="F102">
        <v>14.991322517</v>
      </c>
      <c r="G102">
        <v>1449.8848877</v>
      </c>
      <c r="H102">
        <v>1426.4082031</v>
      </c>
      <c r="I102">
        <v>1191.4471435999999</v>
      </c>
      <c r="J102">
        <v>1117.1630858999999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1.9505060000000001</v>
      </c>
      <c r="B103" s="1">
        <f>DATE(2010,5,2) + TIME(22,48,43)</f>
        <v>40300.950497685182</v>
      </c>
      <c r="C103">
        <v>80</v>
      </c>
      <c r="D103">
        <v>78.881591796999999</v>
      </c>
      <c r="E103">
        <v>50</v>
      </c>
      <c r="F103">
        <v>14.991374969000001</v>
      </c>
      <c r="G103">
        <v>1449.5634766000001</v>
      </c>
      <c r="H103">
        <v>1426.1135254000001</v>
      </c>
      <c r="I103">
        <v>1191.4475098</v>
      </c>
      <c r="J103">
        <v>1117.1635742000001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2.0091549999999998</v>
      </c>
      <c r="B104" s="1">
        <f>DATE(2010,5,3) + TIME(0,13,10)</f>
        <v>40301.009143518517</v>
      </c>
      <c r="C104">
        <v>80</v>
      </c>
      <c r="D104">
        <v>79.001853943</v>
      </c>
      <c r="E104">
        <v>50</v>
      </c>
      <c r="F104">
        <v>14.991427421999999</v>
      </c>
      <c r="G104">
        <v>1449.2437743999999</v>
      </c>
      <c r="H104">
        <v>1425.8176269999999</v>
      </c>
      <c r="I104">
        <v>1191.447876</v>
      </c>
      <c r="J104">
        <v>1117.1639404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2.0697749999999999</v>
      </c>
      <c r="B105" s="1">
        <f>DATE(2010,5,3) + TIME(1,40,28)</f>
        <v>40301.069768518515</v>
      </c>
      <c r="C105">
        <v>80</v>
      </c>
      <c r="D105">
        <v>79.111396790000001</v>
      </c>
      <c r="E105">
        <v>50</v>
      </c>
      <c r="F105">
        <v>14.991479873999999</v>
      </c>
      <c r="G105">
        <v>1448.9257812000001</v>
      </c>
      <c r="H105">
        <v>1425.5206298999999</v>
      </c>
      <c r="I105">
        <v>1191.4482422000001</v>
      </c>
      <c r="J105">
        <v>1117.1644286999999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2.13253</v>
      </c>
      <c r="B106" s="1">
        <f>DATE(2010,5,3) + TIME(3,10,50)</f>
        <v>40301.132523148146</v>
      </c>
      <c r="C106">
        <v>80</v>
      </c>
      <c r="D106">
        <v>79.210929871000005</v>
      </c>
      <c r="E106">
        <v>50</v>
      </c>
      <c r="F106">
        <v>14.991532326</v>
      </c>
      <c r="G106">
        <v>1448.6090088000001</v>
      </c>
      <c r="H106">
        <v>1425.2220459</v>
      </c>
      <c r="I106">
        <v>1191.4486084</v>
      </c>
      <c r="J106">
        <v>1117.1649170000001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2.1976089999999999</v>
      </c>
      <c r="B107" s="1">
        <f>DATE(2010,5,3) + TIME(4,44,33)</f>
        <v>40301.197604166664</v>
      </c>
      <c r="C107">
        <v>80</v>
      </c>
      <c r="D107">
        <v>79.301124572999996</v>
      </c>
      <c r="E107">
        <v>50</v>
      </c>
      <c r="F107">
        <v>14.991585732000001</v>
      </c>
      <c r="G107">
        <v>1448.2927245999999</v>
      </c>
      <c r="H107">
        <v>1424.9215088000001</v>
      </c>
      <c r="I107">
        <v>1191.4489745999999</v>
      </c>
      <c r="J107">
        <v>1117.1654053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2.2652260000000002</v>
      </c>
      <c r="B108" s="1">
        <f>DATE(2010,5,3) + TIME(6,21,55)</f>
        <v>40301.265219907407</v>
      </c>
      <c r="C108">
        <v>80</v>
      </c>
      <c r="D108">
        <v>79.382614136000001</v>
      </c>
      <c r="E108">
        <v>50</v>
      </c>
      <c r="F108">
        <v>14.991639137</v>
      </c>
      <c r="G108">
        <v>1447.9763184000001</v>
      </c>
      <c r="H108">
        <v>1424.6184082</v>
      </c>
      <c r="I108">
        <v>1191.4493408000001</v>
      </c>
      <c r="J108">
        <v>1117.1658935999999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2.3350240000000002</v>
      </c>
      <c r="B109" s="1">
        <f>DATE(2010,5,3) + TIME(8,2,26)</f>
        <v>40301.335023148145</v>
      </c>
      <c r="C109">
        <v>80</v>
      </c>
      <c r="D109">
        <v>79.455459594999994</v>
      </c>
      <c r="E109">
        <v>50</v>
      </c>
      <c r="F109">
        <v>14.991692542999999</v>
      </c>
      <c r="G109">
        <v>1447.6591797000001</v>
      </c>
      <c r="H109">
        <v>1424.3125</v>
      </c>
      <c r="I109">
        <v>1191.449707</v>
      </c>
      <c r="J109">
        <v>1117.1663818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2.4052039999999999</v>
      </c>
      <c r="B110" s="1">
        <f>DATE(2010,5,3) + TIME(9,43,29)</f>
        <v>40301.40519675926</v>
      </c>
      <c r="C110">
        <v>80</v>
      </c>
      <c r="D110">
        <v>79.518852233999993</v>
      </c>
      <c r="E110">
        <v>50</v>
      </c>
      <c r="F110">
        <v>14.991744041</v>
      </c>
      <c r="G110">
        <v>1447.34375</v>
      </c>
      <c r="H110">
        <v>1424.0057373</v>
      </c>
      <c r="I110">
        <v>1191.4501952999999</v>
      </c>
      <c r="J110">
        <v>1117.1668701000001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2.4758740000000001</v>
      </c>
      <c r="B111" s="1">
        <f>DATE(2010,5,3) + TIME(11,25,15)</f>
        <v>40301.475868055553</v>
      </c>
      <c r="C111">
        <v>80</v>
      </c>
      <c r="D111">
        <v>79.574058532999999</v>
      </c>
      <c r="E111">
        <v>50</v>
      </c>
      <c r="F111">
        <v>14.99179554</v>
      </c>
      <c r="G111">
        <v>1447.0372314000001</v>
      </c>
      <c r="H111">
        <v>1423.7058105000001</v>
      </c>
      <c r="I111">
        <v>1191.4505615</v>
      </c>
      <c r="J111">
        <v>1117.1673584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2.5471300000000001</v>
      </c>
      <c r="B112" s="1">
        <f>DATE(2010,5,3) + TIME(13,7,52)</f>
        <v>40301.547129629631</v>
      </c>
      <c r="C112">
        <v>80</v>
      </c>
      <c r="D112">
        <v>79.622146606000001</v>
      </c>
      <c r="E112">
        <v>50</v>
      </c>
      <c r="F112">
        <v>14.991846085000001</v>
      </c>
      <c r="G112">
        <v>1446.7386475000001</v>
      </c>
      <c r="H112">
        <v>1423.4121094</v>
      </c>
      <c r="I112">
        <v>1191.4509277</v>
      </c>
      <c r="J112">
        <v>1117.1678466999999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2.6190549999999999</v>
      </c>
      <c r="B113" s="1">
        <f>DATE(2010,5,3) + TIME(14,51,26)</f>
        <v>40301.619050925925</v>
      </c>
      <c r="C113">
        <v>80</v>
      </c>
      <c r="D113">
        <v>79.664047241000006</v>
      </c>
      <c r="E113">
        <v>50</v>
      </c>
      <c r="F113">
        <v>14.991895676</v>
      </c>
      <c r="G113">
        <v>1446.4471435999999</v>
      </c>
      <c r="H113">
        <v>1423.1241454999999</v>
      </c>
      <c r="I113">
        <v>1191.4512939000001</v>
      </c>
      <c r="J113">
        <v>1117.1683350000001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2.6917599999999999</v>
      </c>
      <c r="B114" s="1">
        <f>DATE(2010,5,3) + TIME(16,36,8)</f>
        <v>40301.691759259258</v>
      </c>
      <c r="C114">
        <v>80</v>
      </c>
      <c r="D114">
        <v>79.700553893999995</v>
      </c>
      <c r="E114">
        <v>50</v>
      </c>
      <c r="F114">
        <v>14.991944312999999</v>
      </c>
      <c r="G114">
        <v>1446.1619873</v>
      </c>
      <c r="H114">
        <v>1422.8410644999999</v>
      </c>
      <c r="I114">
        <v>1191.4516602000001</v>
      </c>
      <c r="J114">
        <v>1117.1687012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2.7652049999999999</v>
      </c>
      <c r="B115" s="1">
        <f>DATE(2010,5,3) + TIME(18,21,53)</f>
        <v>40301.765196759261</v>
      </c>
      <c r="C115">
        <v>80</v>
      </c>
      <c r="D115">
        <v>79.732315063000001</v>
      </c>
      <c r="E115">
        <v>50</v>
      </c>
      <c r="F115">
        <v>14.991991997</v>
      </c>
      <c r="G115">
        <v>1445.8824463000001</v>
      </c>
      <c r="H115">
        <v>1422.5625</v>
      </c>
      <c r="I115">
        <v>1191.4520264</v>
      </c>
      <c r="J115">
        <v>1117.1691894999999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2.8392629999999999</v>
      </c>
      <c r="B116" s="1">
        <f>DATE(2010,5,3) + TIME(20,8,32)</f>
        <v>40301.839259259257</v>
      </c>
      <c r="C116">
        <v>80</v>
      </c>
      <c r="D116">
        <v>79.759864807</v>
      </c>
      <c r="E116">
        <v>50</v>
      </c>
      <c r="F116">
        <v>14.99203968</v>
      </c>
      <c r="G116">
        <v>1445.6082764</v>
      </c>
      <c r="H116">
        <v>1422.2883300999999</v>
      </c>
      <c r="I116">
        <v>1191.4523925999999</v>
      </c>
      <c r="J116">
        <v>1117.1696777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2.9140410000000001</v>
      </c>
      <c r="B117" s="1">
        <f>DATE(2010,5,3) + TIME(21,56,13)</f>
        <v>40301.914039351854</v>
      </c>
      <c r="C117">
        <v>80</v>
      </c>
      <c r="D117">
        <v>79.783775329999997</v>
      </c>
      <c r="E117">
        <v>50</v>
      </c>
      <c r="F117">
        <v>14.992086411000001</v>
      </c>
      <c r="G117">
        <v>1445.3398437999999</v>
      </c>
      <c r="H117">
        <v>1422.019043</v>
      </c>
      <c r="I117">
        <v>1191.4527588000001</v>
      </c>
      <c r="J117">
        <v>1117.1701660000001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2.9896400000000001</v>
      </c>
      <c r="B118" s="1">
        <f>DATE(2010,5,3) + TIME(23,45,4)</f>
        <v>40301.989629629628</v>
      </c>
      <c r="C118">
        <v>80</v>
      </c>
      <c r="D118">
        <v>79.804527282999999</v>
      </c>
      <c r="E118">
        <v>50</v>
      </c>
      <c r="F118">
        <v>14.992132186999999</v>
      </c>
      <c r="G118">
        <v>1445.0764160000001</v>
      </c>
      <c r="H118">
        <v>1421.7539062000001</v>
      </c>
      <c r="I118">
        <v>1191.453125</v>
      </c>
      <c r="J118">
        <v>1117.1706543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3.0661610000000001</v>
      </c>
      <c r="B119" s="1">
        <f>DATE(2010,5,4) + TIME(1,35,16)</f>
        <v>40302.066157407404</v>
      </c>
      <c r="C119">
        <v>80</v>
      </c>
      <c r="D119">
        <v>79.822547912999994</v>
      </c>
      <c r="E119">
        <v>50</v>
      </c>
      <c r="F119">
        <v>14.992177963</v>
      </c>
      <c r="G119">
        <v>1444.8173827999999</v>
      </c>
      <c r="H119">
        <v>1421.4925536999999</v>
      </c>
      <c r="I119">
        <v>1191.4534911999999</v>
      </c>
      <c r="J119">
        <v>1117.1711425999999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3.1437110000000001</v>
      </c>
      <c r="B120" s="1">
        <f>DATE(2010,5,4) + TIME(3,26,56)</f>
        <v>40302.143703703703</v>
      </c>
      <c r="C120">
        <v>80</v>
      </c>
      <c r="D120">
        <v>79.838180542000003</v>
      </c>
      <c r="E120">
        <v>50</v>
      </c>
      <c r="F120">
        <v>14.992222785999999</v>
      </c>
      <c r="G120">
        <v>1444.5622559000001</v>
      </c>
      <c r="H120">
        <v>1421.2344971</v>
      </c>
      <c r="I120">
        <v>1191.4538574000001</v>
      </c>
      <c r="J120">
        <v>1117.1715088000001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3.2223989999999998</v>
      </c>
      <c r="B121" s="1">
        <f>DATE(2010,5,4) + TIME(5,20,15)</f>
        <v>40302.222395833334</v>
      </c>
      <c r="C121">
        <v>80</v>
      </c>
      <c r="D121">
        <v>79.851745605000005</v>
      </c>
      <c r="E121">
        <v>50</v>
      </c>
      <c r="F121">
        <v>14.992267609000001</v>
      </c>
      <c r="G121">
        <v>1444.3106689000001</v>
      </c>
      <c r="H121">
        <v>1420.9794922000001</v>
      </c>
      <c r="I121">
        <v>1191.4542236</v>
      </c>
      <c r="J121">
        <v>1117.1719971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3.3023380000000002</v>
      </c>
      <c r="B122" s="1">
        <f>DATE(2010,5,4) + TIME(7,15,21)</f>
        <v>40302.30232638889</v>
      </c>
      <c r="C122">
        <v>80</v>
      </c>
      <c r="D122">
        <v>79.863517760999997</v>
      </c>
      <c r="E122">
        <v>50</v>
      </c>
      <c r="F122">
        <v>14.992312431</v>
      </c>
      <c r="G122">
        <v>1444.0620117000001</v>
      </c>
      <c r="H122">
        <v>1420.7269286999999</v>
      </c>
      <c r="I122">
        <v>1191.4547118999999</v>
      </c>
      <c r="J122">
        <v>1117.1724853999999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3.3836499999999998</v>
      </c>
      <c r="B123" s="1">
        <f>DATE(2010,5,4) + TIME(9,12,27)</f>
        <v>40302.383645833332</v>
      </c>
      <c r="C123">
        <v>80</v>
      </c>
      <c r="D123">
        <v>79.873718261999997</v>
      </c>
      <c r="E123">
        <v>50</v>
      </c>
      <c r="F123">
        <v>14.992356300000001</v>
      </c>
      <c r="G123">
        <v>1443.8160399999999</v>
      </c>
      <c r="H123">
        <v>1420.4764404</v>
      </c>
      <c r="I123">
        <v>1191.4550781</v>
      </c>
      <c r="J123">
        <v>1117.1729736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3.4664619999999999</v>
      </c>
      <c r="B124" s="1">
        <f>DATE(2010,5,4) + TIME(11,11,42)</f>
        <v>40302.466458333336</v>
      </c>
      <c r="C124">
        <v>80</v>
      </c>
      <c r="D124">
        <v>79.882560729999994</v>
      </c>
      <c r="E124">
        <v>50</v>
      </c>
      <c r="F124">
        <v>14.992400169</v>
      </c>
      <c r="G124">
        <v>1443.5721435999999</v>
      </c>
      <c r="H124">
        <v>1420.2280272999999</v>
      </c>
      <c r="I124">
        <v>1191.4554443</v>
      </c>
      <c r="J124">
        <v>1117.1734618999999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3.550932</v>
      </c>
      <c r="B125" s="1">
        <f>DATE(2010,5,4) + TIME(13,13,20)</f>
        <v>40302.550925925927</v>
      </c>
      <c r="C125">
        <v>80</v>
      </c>
      <c r="D125">
        <v>79.890220642000003</v>
      </c>
      <c r="E125">
        <v>50</v>
      </c>
      <c r="F125">
        <v>14.992444038</v>
      </c>
      <c r="G125">
        <v>1443.3302002</v>
      </c>
      <c r="H125">
        <v>1419.980957</v>
      </c>
      <c r="I125">
        <v>1191.4558105000001</v>
      </c>
      <c r="J125">
        <v>1117.1739502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3.63707</v>
      </c>
      <c r="B126" s="1">
        <f>DATE(2010,5,4) + TIME(15,17,22)</f>
        <v>40302.637060185189</v>
      </c>
      <c r="C126">
        <v>80</v>
      </c>
      <c r="D126">
        <v>79.896842957000004</v>
      </c>
      <c r="E126">
        <v>50</v>
      </c>
      <c r="F126">
        <v>14.992487906999999</v>
      </c>
      <c r="G126">
        <v>1443.0895995999999</v>
      </c>
      <c r="H126">
        <v>1419.7348632999999</v>
      </c>
      <c r="I126">
        <v>1191.4561768000001</v>
      </c>
      <c r="J126">
        <v>1117.1744385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3.7249140000000001</v>
      </c>
      <c r="B127" s="1">
        <f>DATE(2010,5,4) + TIME(17,23,52)</f>
        <v>40302.724907407406</v>
      </c>
      <c r="C127">
        <v>80</v>
      </c>
      <c r="D127">
        <v>79.902565002000003</v>
      </c>
      <c r="E127">
        <v>50</v>
      </c>
      <c r="F127">
        <v>14.992530822999999</v>
      </c>
      <c r="G127">
        <v>1442.8503418</v>
      </c>
      <c r="H127">
        <v>1419.4899902</v>
      </c>
      <c r="I127">
        <v>1191.4566649999999</v>
      </c>
      <c r="J127">
        <v>1117.1749268000001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3.8145470000000001</v>
      </c>
      <c r="B128" s="1">
        <f>DATE(2010,5,4) + TIME(19,32,56)</f>
        <v>40302.81453703704</v>
      </c>
      <c r="C128">
        <v>80</v>
      </c>
      <c r="D128">
        <v>79.907501221000004</v>
      </c>
      <c r="E128">
        <v>50</v>
      </c>
      <c r="F128">
        <v>14.992574692</v>
      </c>
      <c r="G128">
        <v>1442.6125488</v>
      </c>
      <c r="H128">
        <v>1419.2462158000001</v>
      </c>
      <c r="I128">
        <v>1191.4570312000001</v>
      </c>
      <c r="J128">
        <v>1117.1754149999999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3.9060899999999998</v>
      </c>
      <c r="B129" s="1">
        <f>DATE(2010,5,4) + TIME(21,44,46)</f>
        <v>40302.906087962961</v>
      </c>
      <c r="C129">
        <v>80</v>
      </c>
      <c r="D129">
        <v>79.911750792999996</v>
      </c>
      <c r="E129">
        <v>50</v>
      </c>
      <c r="F129">
        <v>14.992617607</v>
      </c>
      <c r="G129">
        <v>1442.3758545000001</v>
      </c>
      <c r="H129">
        <v>1419.003418</v>
      </c>
      <c r="I129">
        <v>1191.4573975000001</v>
      </c>
      <c r="J129">
        <v>1117.1759033000001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3.9997150000000001</v>
      </c>
      <c r="B130" s="1">
        <f>DATE(2010,5,4) + TIME(23,59,35)</f>
        <v>40302.999710648146</v>
      </c>
      <c r="C130">
        <v>80</v>
      </c>
      <c r="D130">
        <v>79.915420531999999</v>
      </c>
      <c r="E130">
        <v>50</v>
      </c>
      <c r="F130">
        <v>14.992661476</v>
      </c>
      <c r="G130">
        <v>1442.1402588000001</v>
      </c>
      <c r="H130">
        <v>1418.7614745999999</v>
      </c>
      <c r="I130">
        <v>1191.4578856999999</v>
      </c>
      <c r="J130">
        <v>1117.1763916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4.0956060000000001</v>
      </c>
      <c r="B131" s="1">
        <f>DATE(2010,5,5) + TIME(2,17,40)</f>
        <v>40303.095601851855</v>
      </c>
      <c r="C131">
        <v>80</v>
      </c>
      <c r="D131">
        <v>79.918579101999995</v>
      </c>
      <c r="E131">
        <v>50</v>
      </c>
      <c r="F131">
        <v>14.992704391</v>
      </c>
      <c r="G131">
        <v>1441.9051514</v>
      </c>
      <c r="H131">
        <v>1418.5197754000001</v>
      </c>
      <c r="I131">
        <v>1191.4582519999999</v>
      </c>
      <c r="J131">
        <v>1117.1768798999999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4.1939669999999998</v>
      </c>
      <c r="B132" s="1">
        <f>DATE(2010,5,5) + TIME(4,39,18)</f>
        <v>40303.193958333337</v>
      </c>
      <c r="C132">
        <v>80</v>
      </c>
      <c r="D132">
        <v>79.921310425000001</v>
      </c>
      <c r="E132">
        <v>50</v>
      </c>
      <c r="F132">
        <v>14.992748260000001</v>
      </c>
      <c r="G132">
        <v>1441.6704102000001</v>
      </c>
      <c r="H132">
        <v>1418.2781981999999</v>
      </c>
      <c r="I132">
        <v>1191.4587402</v>
      </c>
      <c r="J132">
        <v>1117.1773682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4.2950200000000001</v>
      </c>
      <c r="B133" s="1">
        <f>DATE(2010,5,5) + TIME(7,4,49)</f>
        <v>40303.295011574075</v>
      </c>
      <c r="C133">
        <v>80</v>
      </c>
      <c r="D133">
        <v>79.923660278</v>
      </c>
      <c r="E133">
        <v>50</v>
      </c>
      <c r="F133">
        <v>14.992791176000001</v>
      </c>
      <c r="G133">
        <v>1441.4356689000001</v>
      </c>
      <c r="H133">
        <v>1418.0363769999999</v>
      </c>
      <c r="I133">
        <v>1191.4591064000001</v>
      </c>
      <c r="J133">
        <v>1117.1778564000001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4.3990119999999999</v>
      </c>
      <c r="B134" s="1">
        <f>DATE(2010,5,5) + TIME(9,34,34)</f>
        <v>40303.399004629631</v>
      </c>
      <c r="C134">
        <v>80</v>
      </c>
      <c r="D134">
        <v>79.925689696999996</v>
      </c>
      <c r="E134">
        <v>50</v>
      </c>
      <c r="F134">
        <v>14.992835045</v>
      </c>
      <c r="G134">
        <v>1441.2004394999999</v>
      </c>
      <c r="H134">
        <v>1417.7940673999999</v>
      </c>
      <c r="I134">
        <v>1191.4595947</v>
      </c>
      <c r="J134">
        <v>1117.1784668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4.5062160000000002</v>
      </c>
      <c r="B135" s="1">
        <f>DATE(2010,5,5) + TIME(12,8,57)</f>
        <v>40303.506215277775</v>
      </c>
      <c r="C135">
        <v>80</v>
      </c>
      <c r="D135">
        <v>79.927452087000006</v>
      </c>
      <c r="E135">
        <v>50</v>
      </c>
      <c r="F135">
        <v>14.992879867999999</v>
      </c>
      <c r="G135">
        <v>1440.9643555</v>
      </c>
      <c r="H135">
        <v>1417.5506591999999</v>
      </c>
      <c r="I135">
        <v>1191.4600829999999</v>
      </c>
      <c r="J135">
        <v>1117.1789550999999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4.6168139999999998</v>
      </c>
      <c r="B136" s="1">
        <f>DATE(2010,5,5) + TIME(14,48,12)</f>
        <v>40303.616805555554</v>
      </c>
      <c r="C136">
        <v>80</v>
      </c>
      <c r="D136">
        <v>79.928970336999996</v>
      </c>
      <c r="E136">
        <v>50</v>
      </c>
      <c r="F136">
        <v>14.992923737</v>
      </c>
      <c r="G136">
        <v>1440.7272949000001</v>
      </c>
      <c r="H136">
        <v>1417.3059082</v>
      </c>
      <c r="I136">
        <v>1191.4605713000001</v>
      </c>
      <c r="J136">
        <v>1117.1795654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4.7310040000000004</v>
      </c>
      <c r="B137" s="1">
        <f>DATE(2010,5,5) + TIME(17,32,38)</f>
        <v>40303.730995370373</v>
      </c>
      <c r="C137">
        <v>80</v>
      </c>
      <c r="D137">
        <v>79.930282593000001</v>
      </c>
      <c r="E137">
        <v>50</v>
      </c>
      <c r="F137">
        <v>14.992968558999999</v>
      </c>
      <c r="G137">
        <v>1440.4887695</v>
      </c>
      <c r="H137">
        <v>1417.0596923999999</v>
      </c>
      <c r="I137">
        <v>1191.4610596</v>
      </c>
      <c r="J137">
        <v>1117.1801757999999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4.848687</v>
      </c>
      <c r="B138" s="1">
        <f>DATE(2010,5,5) + TIME(20,22,6)</f>
        <v>40303.848680555559</v>
      </c>
      <c r="C138">
        <v>80</v>
      </c>
      <c r="D138">
        <v>79.931411742999998</v>
      </c>
      <c r="E138">
        <v>50</v>
      </c>
      <c r="F138">
        <v>14.993013382000001</v>
      </c>
      <c r="G138">
        <v>1440.2489014</v>
      </c>
      <c r="H138">
        <v>1416.8118896000001</v>
      </c>
      <c r="I138">
        <v>1191.4615478999999</v>
      </c>
      <c r="J138">
        <v>1117.1806641000001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4.9694589999999996</v>
      </c>
      <c r="B139" s="1">
        <f>DATE(2010,5,5) + TIME(23,16,1)</f>
        <v>40303.969456018516</v>
      </c>
      <c r="C139">
        <v>80</v>
      </c>
      <c r="D139">
        <v>79.932395935000002</v>
      </c>
      <c r="E139">
        <v>50</v>
      </c>
      <c r="F139">
        <v>14.993058205000001</v>
      </c>
      <c r="G139">
        <v>1440.0080565999999</v>
      </c>
      <c r="H139">
        <v>1416.5629882999999</v>
      </c>
      <c r="I139">
        <v>1191.4620361</v>
      </c>
      <c r="J139">
        <v>1117.1812743999999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5.0902630000000002</v>
      </c>
      <c r="B140" s="1">
        <f>DATE(2010,5,6) + TIME(2,9,58)</f>
        <v>40304.090254629627</v>
      </c>
      <c r="C140">
        <v>80</v>
      </c>
      <c r="D140">
        <v>79.933219910000005</v>
      </c>
      <c r="E140">
        <v>50</v>
      </c>
      <c r="F140">
        <v>14.993103027</v>
      </c>
      <c r="G140">
        <v>1439.7673339999999</v>
      </c>
      <c r="H140">
        <v>1416.3139647999999</v>
      </c>
      <c r="I140">
        <v>1191.4625243999999</v>
      </c>
      <c r="J140">
        <v>1117.1818848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5.2112910000000001</v>
      </c>
      <c r="B141" s="1">
        <f>DATE(2010,5,6) + TIME(5,4,15)</f>
        <v>40304.211284722223</v>
      </c>
      <c r="C141">
        <v>80</v>
      </c>
      <c r="D141">
        <v>79.933921814000001</v>
      </c>
      <c r="E141">
        <v>50</v>
      </c>
      <c r="F141">
        <v>14.993146896000001</v>
      </c>
      <c r="G141">
        <v>1439.5325928</v>
      </c>
      <c r="H141">
        <v>1416.0710449000001</v>
      </c>
      <c r="I141">
        <v>1191.4631348</v>
      </c>
      <c r="J141">
        <v>1117.1824951000001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5.3327140000000002</v>
      </c>
      <c r="B142" s="1">
        <f>DATE(2010,5,6) + TIME(7,59,6)</f>
        <v>40304.332708333335</v>
      </c>
      <c r="C142">
        <v>80</v>
      </c>
      <c r="D142">
        <v>79.934532165999997</v>
      </c>
      <c r="E142">
        <v>50</v>
      </c>
      <c r="F142">
        <v>14.993188858</v>
      </c>
      <c r="G142">
        <v>1439.3034668</v>
      </c>
      <c r="H142">
        <v>1415.8338623</v>
      </c>
      <c r="I142">
        <v>1191.4636230000001</v>
      </c>
      <c r="J142">
        <v>1117.1831055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5.4547040000000004</v>
      </c>
      <c r="B143" s="1">
        <f>DATE(2010,5,6) + TIME(10,54,46)</f>
        <v>40304.454699074071</v>
      </c>
      <c r="C143">
        <v>80</v>
      </c>
      <c r="D143">
        <v>79.935050963999998</v>
      </c>
      <c r="E143">
        <v>50</v>
      </c>
      <c r="F143">
        <v>14.993231773</v>
      </c>
      <c r="G143">
        <v>1439.0793457</v>
      </c>
      <c r="H143">
        <v>1415.6016846</v>
      </c>
      <c r="I143">
        <v>1191.4641113</v>
      </c>
      <c r="J143">
        <v>1117.1837158000001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5.5774520000000001</v>
      </c>
      <c r="B144" s="1">
        <f>DATE(2010,5,6) + TIME(13,51,31)</f>
        <v>40304.57744212963</v>
      </c>
      <c r="C144">
        <v>80</v>
      </c>
      <c r="D144">
        <v>79.935508728000002</v>
      </c>
      <c r="E144">
        <v>50</v>
      </c>
      <c r="F144">
        <v>14.993272781</v>
      </c>
      <c r="G144">
        <v>1438.8594971</v>
      </c>
      <c r="H144">
        <v>1415.3740233999999</v>
      </c>
      <c r="I144">
        <v>1191.4645995999999</v>
      </c>
      <c r="J144">
        <v>1117.1842041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5.7011310000000002</v>
      </c>
      <c r="B145" s="1">
        <f>DATE(2010,5,6) + TIME(16,49,37)</f>
        <v>40304.701122685183</v>
      </c>
      <c r="C145">
        <v>80</v>
      </c>
      <c r="D145">
        <v>79.935913085999999</v>
      </c>
      <c r="E145">
        <v>50</v>
      </c>
      <c r="F145">
        <v>14.993313789</v>
      </c>
      <c r="G145">
        <v>1438.6437988</v>
      </c>
      <c r="H145">
        <v>1415.1502685999999</v>
      </c>
      <c r="I145">
        <v>1191.4650879000001</v>
      </c>
      <c r="J145">
        <v>1117.1848144999999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5.8259150000000002</v>
      </c>
      <c r="B146" s="1">
        <f>DATE(2010,5,6) + TIME(19,49,19)</f>
        <v>40304.825914351852</v>
      </c>
      <c r="C146">
        <v>80</v>
      </c>
      <c r="D146">
        <v>79.936264038000004</v>
      </c>
      <c r="E146">
        <v>50</v>
      </c>
      <c r="F146">
        <v>14.993354797</v>
      </c>
      <c r="G146">
        <v>1438.4313964999999</v>
      </c>
      <c r="H146">
        <v>1414.9301757999999</v>
      </c>
      <c r="I146">
        <v>1191.4655762</v>
      </c>
      <c r="J146">
        <v>1117.1854248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5.951981</v>
      </c>
      <c r="B147" s="1">
        <f>DATE(2010,5,6) + TIME(22,50,51)</f>
        <v>40304.951979166668</v>
      </c>
      <c r="C147">
        <v>80</v>
      </c>
      <c r="D147">
        <v>79.936584472999996</v>
      </c>
      <c r="E147">
        <v>50</v>
      </c>
      <c r="F147">
        <v>14.993394852</v>
      </c>
      <c r="G147">
        <v>1438.2222899999999</v>
      </c>
      <c r="H147">
        <v>1414.7132568</v>
      </c>
      <c r="I147">
        <v>1191.4661865</v>
      </c>
      <c r="J147">
        <v>1117.1860352000001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6.0793679999999997</v>
      </c>
      <c r="B148" s="1">
        <f>DATE(2010,5,7) + TIME(1,54,17)</f>
        <v>40305.079363425924</v>
      </c>
      <c r="C148">
        <v>80</v>
      </c>
      <c r="D148">
        <v>79.936866760000001</v>
      </c>
      <c r="E148">
        <v>50</v>
      </c>
      <c r="F148">
        <v>14.993433952</v>
      </c>
      <c r="G148">
        <v>1438.0158690999999</v>
      </c>
      <c r="H148">
        <v>1414.4990233999999</v>
      </c>
      <c r="I148">
        <v>1191.4666748</v>
      </c>
      <c r="J148">
        <v>1117.1866454999999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6.2080900000000003</v>
      </c>
      <c r="B149" s="1">
        <f>DATE(2010,5,7) + TIME(4,59,38)</f>
        <v>40305.208078703705</v>
      </c>
      <c r="C149">
        <v>80</v>
      </c>
      <c r="D149">
        <v>79.937118530000006</v>
      </c>
      <c r="E149">
        <v>50</v>
      </c>
      <c r="F149">
        <v>14.993473053000001</v>
      </c>
      <c r="G149">
        <v>1437.8120117000001</v>
      </c>
      <c r="H149">
        <v>1414.2874756000001</v>
      </c>
      <c r="I149">
        <v>1191.4671631000001</v>
      </c>
      <c r="J149">
        <v>1117.1871338000001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6.3382969999999998</v>
      </c>
      <c r="B150" s="1">
        <f>DATE(2010,5,7) + TIME(8,7,8)</f>
        <v>40305.338287037041</v>
      </c>
      <c r="C150">
        <v>80</v>
      </c>
      <c r="D150">
        <v>79.937347411999994</v>
      </c>
      <c r="E150">
        <v>50</v>
      </c>
      <c r="F150">
        <v>14.993512153999999</v>
      </c>
      <c r="G150">
        <v>1437.6105957</v>
      </c>
      <c r="H150">
        <v>1414.0784911999999</v>
      </c>
      <c r="I150">
        <v>1191.4676514</v>
      </c>
      <c r="J150">
        <v>1117.1877440999999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6.47018</v>
      </c>
      <c r="B151" s="1">
        <f>DATE(2010,5,7) + TIME(11,17,3)</f>
        <v>40305.470173611109</v>
      </c>
      <c r="C151">
        <v>80</v>
      </c>
      <c r="D151">
        <v>79.937553406000006</v>
      </c>
      <c r="E151">
        <v>50</v>
      </c>
      <c r="F151">
        <v>14.993550301000001</v>
      </c>
      <c r="G151">
        <v>1437.4116211</v>
      </c>
      <c r="H151">
        <v>1413.8718262</v>
      </c>
      <c r="I151">
        <v>1191.4682617000001</v>
      </c>
      <c r="J151">
        <v>1117.1883545000001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6.6039349999999999</v>
      </c>
      <c r="B152" s="1">
        <f>DATE(2010,5,7) + TIME(14,29,40)</f>
        <v>40305.603935185187</v>
      </c>
      <c r="C152">
        <v>80</v>
      </c>
      <c r="D152">
        <v>79.937744140999996</v>
      </c>
      <c r="E152">
        <v>50</v>
      </c>
      <c r="F152">
        <v>14.993588448000001</v>
      </c>
      <c r="G152">
        <v>1437.2144774999999</v>
      </c>
      <c r="H152">
        <v>1413.6671143000001</v>
      </c>
      <c r="I152">
        <v>1191.46875</v>
      </c>
      <c r="J152">
        <v>1117.1889647999999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6.7397710000000002</v>
      </c>
      <c r="B153" s="1">
        <f>DATE(2010,5,7) + TIME(17,45,16)</f>
        <v>40305.739768518521</v>
      </c>
      <c r="C153">
        <v>80</v>
      </c>
      <c r="D153">
        <v>79.937919617000006</v>
      </c>
      <c r="E153">
        <v>50</v>
      </c>
      <c r="F153">
        <v>14.993626595</v>
      </c>
      <c r="G153">
        <v>1437.0189209</v>
      </c>
      <c r="H153">
        <v>1413.4641113</v>
      </c>
      <c r="I153">
        <v>1191.4693603999999</v>
      </c>
      <c r="J153">
        <v>1117.1895752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6.8779510000000004</v>
      </c>
      <c r="B154" s="1">
        <f>DATE(2010,5,7) + TIME(21,4,14)</f>
        <v>40305.877939814818</v>
      </c>
      <c r="C154">
        <v>80</v>
      </c>
      <c r="D154">
        <v>79.938079834000007</v>
      </c>
      <c r="E154">
        <v>50</v>
      </c>
      <c r="F154">
        <v>14.993664742</v>
      </c>
      <c r="G154">
        <v>1436.8248291</v>
      </c>
      <c r="H154">
        <v>1413.2623291</v>
      </c>
      <c r="I154">
        <v>1191.4698486</v>
      </c>
      <c r="J154">
        <v>1117.1901855000001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7.0186890000000002</v>
      </c>
      <c r="B155" s="1">
        <f>DATE(2010,5,8) + TIME(0,26,54)</f>
        <v>40306.018680555557</v>
      </c>
      <c r="C155">
        <v>80</v>
      </c>
      <c r="D155">
        <v>79.938224792</v>
      </c>
      <c r="E155">
        <v>50</v>
      </c>
      <c r="F155">
        <v>14.993702888</v>
      </c>
      <c r="G155">
        <v>1436.6317139</v>
      </c>
      <c r="H155">
        <v>1413.0616454999999</v>
      </c>
      <c r="I155">
        <v>1191.4704589999999</v>
      </c>
      <c r="J155">
        <v>1117.1907959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7.1622199999999996</v>
      </c>
      <c r="B156" s="1">
        <f>DATE(2010,5,8) + TIME(3,53,35)</f>
        <v>40306.162210648145</v>
      </c>
      <c r="C156">
        <v>80</v>
      </c>
      <c r="D156">
        <v>79.938362122000001</v>
      </c>
      <c r="E156">
        <v>50</v>
      </c>
      <c r="F156">
        <v>14.993740082</v>
      </c>
      <c r="G156">
        <v>1436.4393310999999</v>
      </c>
      <c r="H156">
        <v>1412.8618164</v>
      </c>
      <c r="I156">
        <v>1191.4709473</v>
      </c>
      <c r="J156">
        <v>1117.1914062000001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7.3088160000000002</v>
      </c>
      <c r="B157" s="1">
        <f>DATE(2010,5,8) + TIME(7,24,41)</f>
        <v>40306.308807870373</v>
      </c>
      <c r="C157">
        <v>80</v>
      </c>
      <c r="D157">
        <v>79.938491821</v>
      </c>
      <c r="E157">
        <v>50</v>
      </c>
      <c r="F157">
        <v>14.993777274999999</v>
      </c>
      <c r="G157">
        <v>1436.2475586</v>
      </c>
      <c r="H157">
        <v>1412.6623535000001</v>
      </c>
      <c r="I157">
        <v>1191.4715576000001</v>
      </c>
      <c r="J157">
        <v>1117.1921387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7.4587719999999997</v>
      </c>
      <c r="B158" s="1">
        <f>DATE(2010,5,8) + TIME(11,0,37)</f>
        <v>40306.458761574075</v>
      </c>
      <c r="C158">
        <v>80</v>
      </c>
      <c r="D158">
        <v>79.938613892000006</v>
      </c>
      <c r="E158">
        <v>50</v>
      </c>
      <c r="F158">
        <v>14.993815422000001</v>
      </c>
      <c r="G158">
        <v>1436.0559082</v>
      </c>
      <c r="H158">
        <v>1412.4631348</v>
      </c>
      <c r="I158">
        <v>1191.472168</v>
      </c>
      <c r="J158">
        <v>1117.192749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7.612412</v>
      </c>
      <c r="B159" s="1">
        <f>DATE(2010,5,8) + TIME(14,41,52)</f>
        <v>40306.612407407411</v>
      </c>
      <c r="C159">
        <v>80</v>
      </c>
      <c r="D159">
        <v>79.938720703000001</v>
      </c>
      <c r="E159">
        <v>50</v>
      </c>
      <c r="F159">
        <v>14.993853569000001</v>
      </c>
      <c r="G159">
        <v>1435.8642577999999</v>
      </c>
      <c r="H159">
        <v>1412.2637939000001</v>
      </c>
      <c r="I159">
        <v>1191.4727783000001</v>
      </c>
      <c r="J159">
        <v>1117.1933594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7.7700639999999996</v>
      </c>
      <c r="B160" s="1">
        <f>DATE(2010,5,8) + TIME(18,28,53)</f>
        <v>40306.770057870373</v>
      </c>
      <c r="C160">
        <v>80</v>
      </c>
      <c r="D160">
        <v>79.938827515</v>
      </c>
      <c r="E160">
        <v>50</v>
      </c>
      <c r="F160">
        <v>14.993890761999999</v>
      </c>
      <c r="G160">
        <v>1435.6722411999999</v>
      </c>
      <c r="H160">
        <v>1412.0642089999999</v>
      </c>
      <c r="I160">
        <v>1191.4733887</v>
      </c>
      <c r="J160">
        <v>1117.1940918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7.9317060000000001</v>
      </c>
      <c r="B161" s="1">
        <f>DATE(2010,5,8) + TIME(22,21,39)</f>
        <v>40306.931701388887</v>
      </c>
      <c r="C161">
        <v>80</v>
      </c>
      <c r="D161">
        <v>79.938934325999995</v>
      </c>
      <c r="E161">
        <v>50</v>
      </c>
      <c r="F161">
        <v>14.993928908999999</v>
      </c>
      <c r="G161">
        <v>1435.4796143000001</v>
      </c>
      <c r="H161">
        <v>1411.8637695</v>
      </c>
      <c r="I161">
        <v>1191.473999</v>
      </c>
      <c r="J161">
        <v>1117.1948242000001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8.0977320000000006</v>
      </c>
      <c r="B162" s="1">
        <f>DATE(2010,5,9) + TIME(2,20,44)</f>
        <v>40307.097731481481</v>
      </c>
      <c r="C162">
        <v>80</v>
      </c>
      <c r="D162">
        <v>79.939025878999999</v>
      </c>
      <c r="E162">
        <v>50</v>
      </c>
      <c r="F162">
        <v>14.993967056000001</v>
      </c>
      <c r="G162">
        <v>1435.286499</v>
      </c>
      <c r="H162">
        <v>1411.6629639</v>
      </c>
      <c r="I162">
        <v>1191.4746094</v>
      </c>
      <c r="J162">
        <v>1117.1955565999999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8.1831499999999995</v>
      </c>
      <c r="B163" s="1">
        <f>DATE(2010,5,9) + TIME(4,23,44)</f>
        <v>40307.183148148149</v>
      </c>
      <c r="C163">
        <v>80</v>
      </c>
      <c r="D163">
        <v>79.939064025999997</v>
      </c>
      <c r="E163">
        <v>50</v>
      </c>
      <c r="F163">
        <v>14.993989944000001</v>
      </c>
      <c r="G163">
        <v>1435.0915527</v>
      </c>
      <c r="H163">
        <v>1411.4597168</v>
      </c>
      <c r="I163">
        <v>1191.4752197</v>
      </c>
      <c r="J163">
        <v>1117.1960449000001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8.2685689999999994</v>
      </c>
      <c r="B164" s="1">
        <f>DATE(2010,5,9) + TIME(6,26,44)</f>
        <v>40307.268564814818</v>
      </c>
      <c r="C164">
        <v>80</v>
      </c>
      <c r="D164">
        <v>79.939109802000004</v>
      </c>
      <c r="E164">
        <v>50</v>
      </c>
      <c r="F164">
        <v>14.994010925</v>
      </c>
      <c r="G164">
        <v>1434.9919434000001</v>
      </c>
      <c r="H164">
        <v>1411.355957</v>
      </c>
      <c r="I164">
        <v>1191.4754639</v>
      </c>
      <c r="J164">
        <v>1117.1964111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8.3539879999999993</v>
      </c>
      <c r="B165" s="1">
        <f>DATE(2010,5,9) + TIME(8,29,44)</f>
        <v>40307.353981481479</v>
      </c>
      <c r="C165">
        <v>80</v>
      </c>
      <c r="D165">
        <v>79.939155579000001</v>
      </c>
      <c r="E165">
        <v>50</v>
      </c>
      <c r="F165">
        <v>14.994031906</v>
      </c>
      <c r="G165">
        <v>1434.8948975000001</v>
      </c>
      <c r="H165">
        <v>1411.2551269999999</v>
      </c>
      <c r="I165">
        <v>1191.4757079999999</v>
      </c>
      <c r="J165">
        <v>1117.1967772999999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8.4394069999999992</v>
      </c>
      <c r="B166" s="1">
        <f>DATE(2010,5,9) + TIME(10,32,44)</f>
        <v>40307.439398148148</v>
      </c>
      <c r="C166">
        <v>80</v>
      </c>
      <c r="D166">
        <v>79.939201354999994</v>
      </c>
      <c r="E166">
        <v>50</v>
      </c>
      <c r="F166">
        <v>14.994052887</v>
      </c>
      <c r="G166">
        <v>1434.7991943</v>
      </c>
      <c r="H166">
        <v>1411.1555175999999</v>
      </c>
      <c r="I166">
        <v>1191.4760742000001</v>
      </c>
      <c r="J166">
        <v>1117.1971435999999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8.6102450000000008</v>
      </c>
      <c r="B167" s="1">
        <f>DATE(2010,5,9) + TIME(14,38,45)</f>
        <v>40307.610243055555</v>
      </c>
      <c r="C167">
        <v>80</v>
      </c>
      <c r="D167">
        <v>79.939292907999999</v>
      </c>
      <c r="E167">
        <v>50</v>
      </c>
      <c r="F167">
        <v>14.994087219000001</v>
      </c>
      <c r="G167">
        <v>1434.7064209</v>
      </c>
      <c r="H167">
        <v>1411.0594481999999</v>
      </c>
      <c r="I167">
        <v>1191.4765625</v>
      </c>
      <c r="J167">
        <v>1117.1976318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8.7812400000000004</v>
      </c>
      <c r="B168" s="1">
        <f>DATE(2010,5,9) + TIME(18,44,59)</f>
        <v>40307.781238425923</v>
      </c>
      <c r="C168">
        <v>80</v>
      </c>
      <c r="D168">
        <v>79.939361571999996</v>
      </c>
      <c r="E168">
        <v>50</v>
      </c>
      <c r="F168">
        <v>14.994122505</v>
      </c>
      <c r="G168">
        <v>1434.5211182</v>
      </c>
      <c r="H168">
        <v>1410.8665771000001</v>
      </c>
      <c r="I168">
        <v>1191.4772949000001</v>
      </c>
      <c r="J168">
        <v>1117.1983643000001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8.9528979999999994</v>
      </c>
      <c r="B169" s="1">
        <f>DATE(2010,5,9) + TIME(22,52,10)</f>
        <v>40307.952893518515</v>
      </c>
      <c r="C169">
        <v>80</v>
      </c>
      <c r="D169">
        <v>79.939430236999996</v>
      </c>
      <c r="E169">
        <v>50</v>
      </c>
      <c r="F169">
        <v>14.994156837</v>
      </c>
      <c r="G169">
        <v>1434.3387451000001</v>
      </c>
      <c r="H169">
        <v>1410.6768798999999</v>
      </c>
      <c r="I169">
        <v>1191.4779053</v>
      </c>
      <c r="J169">
        <v>1117.1990966999999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9.1254770000000001</v>
      </c>
      <c r="B170" s="1">
        <f>DATE(2010,5,10) + TIME(3,0,41)</f>
        <v>40308.125474537039</v>
      </c>
      <c r="C170">
        <v>80</v>
      </c>
      <c r="D170">
        <v>79.939491271999998</v>
      </c>
      <c r="E170">
        <v>50</v>
      </c>
      <c r="F170">
        <v>14.994192122999999</v>
      </c>
      <c r="G170">
        <v>1434.159668</v>
      </c>
      <c r="H170">
        <v>1410.4904785000001</v>
      </c>
      <c r="I170">
        <v>1191.4786377</v>
      </c>
      <c r="J170">
        <v>1117.1998291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9.2992360000000005</v>
      </c>
      <c r="B171" s="1">
        <f>DATE(2010,5,10) + TIME(7,10,54)</f>
        <v>40308.29923611111</v>
      </c>
      <c r="C171">
        <v>80</v>
      </c>
      <c r="D171">
        <v>79.939552307</v>
      </c>
      <c r="E171">
        <v>50</v>
      </c>
      <c r="F171">
        <v>14.994226456</v>
      </c>
      <c r="G171">
        <v>1433.9833983999999</v>
      </c>
      <c r="H171">
        <v>1410.3071289</v>
      </c>
      <c r="I171">
        <v>1191.4792480000001</v>
      </c>
      <c r="J171">
        <v>1117.2005615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9.474437</v>
      </c>
      <c r="B172" s="1">
        <f>DATE(2010,5,10) + TIME(11,23,11)</f>
        <v>40308.474432870367</v>
      </c>
      <c r="C172">
        <v>80</v>
      </c>
      <c r="D172">
        <v>79.939613342000001</v>
      </c>
      <c r="E172">
        <v>50</v>
      </c>
      <c r="F172">
        <v>14.994260788</v>
      </c>
      <c r="G172">
        <v>1433.8095702999999</v>
      </c>
      <c r="H172">
        <v>1410.1263428</v>
      </c>
      <c r="I172">
        <v>1191.4799805</v>
      </c>
      <c r="J172">
        <v>1117.2012939000001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9.6512729999999998</v>
      </c>
      <c r="B173" s="1">
        <f>DATE(2010,5,10) + TIME(15,37,50)</f>
        <v>40308.651273148149</v>
      </c>
      <c r="C173">
        <v>80</v>
      </c>
      <c r="D173">
        <v>79.939674377000003</v>
      </c>
      <c r="E173">
        <v>50</v>
      </c>
      <c r="F173">
        <v>14.99429512</v>
      </c>
      <c r="G173">
        <v>1433.6380615</v>
      </c>
      <c r="H173">
        <v>1409.9477539</v>
      </c>
      <c r="I173">
        <v>1191.4805908000001</v>
      </c>
      <c r="J173">
        <v>1117.2020264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9.8297399999999993</v>
      </c>
      <c r="B174" s="1">
        <f>DATE(2010,5,10) + TIME(19,54,49)</f>
        <v>40308.829733796294</v>
      </c>
      <c r="C174">
        <v>80</v>
      </c>
      <c r="D174">
        <v>79.939727782999995</v>
      </c>
      <c r="E174">
        <v>50</v>
      </c>
      <c r="F174">
        <v>14.994329453000001</v>
      </c>
      <c r="G174">
        <v>1433.4685059000001</v>
      </c>
      <c r="H174">
        <v>1409.7713623</v>
      </c>
      <c r="I174">
        <v>1191.4813231999999</v>
      </c>
      <c r="J174">
        <v>1117.2027588000001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10.0101</v>
      </c>
      <c r="B175" s="1">
        <f>DATE(2010,5,11) + TIME(0,14,32)</f>
        <v>40309.010092592594</v>
      </c>
      <c r="C175">
        <v>80</v>
      </c>
      <c r="D175">
        <v>79.939781189000001</v>
      </c>
      <c r="E175">
        <v>50</v>
      </c>
      <c r="F175">
        <v>14.994362831</v>
      </c>
      <c r="G175">
        <v>1433.3007812000001</v>
      </c>
      <c r="H175">
        <v>1409.5969238</v>
      </c>
      <c r="I175">
        <v>1191.4819336</v>
      </c>
      <c r="J175">
        <v>1117.2034911999999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10.192622</v>
      </c>
      <c r="B176" s="1">
        <f>DATE(2010,5,11) + TIME(4,37,22)</f>
        <v>40309.192615740743</v>
      </c>
      <c r="C176">
        <v>80</v>
      </c>
      <c r="D176">
        <v>79.939834594999994</v>
      </c>
      <c r="E176">
        <v>50</v>
      </c>
      <c r="F176">
        <v>14.99439621</v>
      </c>
      <c r="G176">
        <v>1433.1348877</v>
      </c>
      <c r="H176">
        <v>1409.4241943</v>
      </c>
      <c r="I176">
        <v>1191.4826660000001</v>
      </c>
      <c r="J176">
        <v>1117.2042236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10.377587</v>
      </c>
      <c r="B177" s="1">
        <f>DATE(2010,5,11) + TIME(9,3,43)</f>
        <v>40309.377581018518</v>
      </c>
      <c r="C177">
        <v>80</v>
      </c>
      <c r="D177">
        <v>79.939880371000001</v>
      </c>
      <c r="E177">
        <v>50</v>
      </c>
      <c r="F177">
        <v>14.994429587999999</v>
      </c>
      <c r="G177">
        <v>1432.9703368999999</v>
      </c>
      <c r="H177">
        <v>1409.2530518000001</v>
      </c>
      <c r="I177">
        <v>1191.4833983999999</v>
      </c>
      <c r="J177">
        <v>1117.2050781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10.565341999999999</v>
      </c>
      <c r="B178" s="1">
        <f>DATE(2010,5,11) + TIME(13,34,5)</f>
        <v>40309.565335648149</v>
      </c>
      <c r="C178">
        <v>80</v>
      </c>
      <c r="D178">
        <v>79.939933776999993</v>
      </c>
      <c r="E178">
        <v>50</v>
      </c>
      <c r="F178">
        <v>14.994462967</v>
      </c>
      <c r="G178">
        <v>1432.8068848</v>
      </c>
      <c r="H178">
        <v>1409.0830077999999</v>
      </c>
      <c r="I178">
        <v>1191.4841309000001</v>
      </c>
      <c r="J178">
        <v>1117.2058105000001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10.756186</v>
      </c>
      <c r="B179" s="1">
        <f>DATE(2010,5,11) + TIME(18,8,54)</f>
        <v>40309.756180555552</v>
      </c>
      <c r="C179">
        <v>80</v>
      </c>
      <c r="D179">
        <v>79.939979553000001</v>
      </c>
      <c r="E179">
        <v>50</v>
      </c>
      <c r="F179">
        <v>14.994495391999999</v>
      </c>
      <c r="G179">
        <v>1432.6442870999999</v>
      </c>
      <c r="H179">
        <v>1408.9138184000001</v>
      </c>
      <c r="I179">
        <v>1191.4848632999999</v>
      </c>
      <c r="J179">
        <v>1117.206543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10.950421</v>
      </c>
      <c r="B180" s="1">
        <f>DATE(2010,5,11) + TIME(22,48,36)</f>
        <v>40309.950416666667</v>
      </c>
      <c r="C180">
        <v>80</v>
      </c>
      <c r="D180">
        <v>79.940032959000007</v>
      </c>
      <c r="E180">
        <v>50</v>
      </c>
      <c r="F180">
        <v>14.994528770000001</v>
      </c>
      <c r="G180">
        <v>1432.4824219</v>
      </c>
      <c r="H180">
        <v>1408.7454834</v>
      </c>
      <c r="I180">
        <v>1191.4855957</v>
      </c>
      <c r="J180">
        <v>1117.2073975000001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11.148402000000001</v>
      </c>
      <c r="B181" s="1">
        <f>DATE(2010,5,12) + TIME(3,33,41)</f>
        <v>40310.1483912037</v>
      </c>
      <c r="C181">
        <v>80</v>
      </c>
      <c r="D181">
        <v>79.940078735</v>
      </c>
      <c r="E181">
        <v>50</v>
      </c>
      <c r="F181">
        <v>14.994562149</v>
      </c>
      <c r="G181">
        <v>1432.3209228999999</v>
      </c>
      <c r="H181">
        <v>1408.5775146000001</v>
      </c>
      <c r="I181">
        <v>1191.4863281</v>
      </c>
      <c r="J181">
        <v>1117.2081298999999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11.350517999999999</v>
      </c>
      <c r="B182" s="1">
        <f>DATE(2010,5,12) + TIME(8,24,44)</f>
        <v>40310.35050925926</v>
      </c>
      <c r="C182">
        <v>80</v>
      </c>
      <c r="D182">
        <v>79.940124511999997</v>
      </c>
      <c r="E182">
        <v>50</v>
      </c>
      <c r="F182">
        <v>14.994594574000001</v>
      </c>
      <c r="G182">
        <v>1432.159668</v>
      </c>
      <c r="H182">
        <v>1408.409668</v>
      </c>
      <c r="I182">
        <v>1191.4870605000001</v>
      </c>
      <c r="J182">
        <v>1117.2089844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11.55719</v>
      </c>
      <c r="B183" s="1">
        <f>DATE(2010,5,12) + TIME(13,22,21)</f>
        <v>40310.557187500002</v>
      </c>
      <c r="C183">
        <v>80</v>
      </c>
      <c r="D183">
        <v>79.940170288000004</v>
      </c>
      <c r="E183">
        <v>50</v>
      </c>
      <c r="F183">
        <v>14.994627953</v>
      </c>
      <c r="G183">
        <v>1431.9982910000001</v>
      </c>
      <c r="H183">
        <v>1408.2419434000001</v>
      </c>
      <c r="I183">
        <v>1191.487793</v>
      </c>
      <c r="J183">
        <v>1117.2098389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11.768521</v>
      </c>
      <c r="B184" s="1">
        <f>DATE(2010,5,12) + TIME(18,26,40)</f>
        <v>40310.768518518518</v>
      </c>
      <c r="C184">
        <v>80</v>
      </c>
      <c r="D184">
        <v>79.940223693999997</v>
      </c>
      <c r="E184">
        <v>50</v>
      </c>
      <c r="F184">
        <v>14.994661331</v>
      </c>
      <c r="G184">
        <v>1431.8366699000001</v>
      </c>
      <c r="H184">
        <v>1408.0738524999999</v>
      </c>
      <c r="I184">
        <v>1191.4886475000001</v>
      </c>
      <c r="J184">
        <v>1117.2106934000001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11.984603</v>
      </c>
      <c r="B185" s="1">
        <f>DATE(2010,5,12) + TIME(23,37,49)</f>
        <v>40310.984594907408</v>
      </c>
      <c r="C185">
        <v>80</v>
      </c>
      <c r="D185">
        <v>79.940269470000004</v>
      </c>
      <c r="E185">
        <v>50</v>
      </c>
      <c r="F185">
        <v>14.994694709999999</v>
      </c>
      <c r="G185">
        <v>1431.6748047000001</v>
      </c>
      <c r="H185">
        <v>1407.9055175999999</v>
      </c>
      <c r="I185">
        <v>1191.4895019999999</v>
      </c>
      <c r="J185">
        <v>1117.2115478999999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12.205928</v>
      </c>
      <c r="B186" s="1">
        <f>DATE(2010,5,13) + TIME(4,56,32)</f>
        <v>40311.205925925926</v>
      </c>
      <c r="C186">
        <v>80</v>
      </c>
      <c r="D186">
        <v>79.940315247000001</v>
      </c>
      <c r="E186">
        <v>50</v>
      </c>
      <c r="F186">
        <v>14.994728088</v>
      </c>
      <c r="G186">
        <v>1431.5125731999999</v>
      </c>
      <c r="H186">
        <v>1407.7369385</v>
      </c>
      <c r="I186">
        <v>1191.4902344</v>
      </c>
      <c r="J186">
        <v>1117.2124022999999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12.319044999999999</v>
      </c>
      <c r="B187" s="1">
        <f>DATE(2010,5,13) + TIME(7,39,25)</f>
        <v>40311.319039351853</v>
      </c>
      <c r="C187">
        <v>80</v>
      </c>
      <c r="D187">
        <v>79.940330505000006</v>
      </c>
      <c r="E187">
        <v>50</v>
      </c>
      <c r="F187">
        <v>14.994748116</v>
      </c>
      <c r="G187">
        <v>1431.3491211</v>
      </c>
      <c r="H187">
        <v>1407.5666504000001</v>
      </c>
      <c r="I187">
        <v>1191.4909668</v>
      </c>
      <c r="J187">
        <v>1117.2131348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12.432161000000001</v>
      </c>
      <c r="B188" s="1">
        <f>DATE(2010,5,13) + TIME(10,22,18)</f>
        <v>40311.432152777779</v>
      </c>
      <c r="C188">
        <v>80</v>
      </c>
      <c r="D188">
        <v>79.940361022999994</v>
      </c>
      <c r="E188">
        <v>50</v>
      </c>
      <c r="F188">
        <v>14.994767188999999</v>
      </c>
      <c r="G188">
        <v>1431.2657471</v>
      </c>
      <c r="H188">
        <v>1407.4801024999999</v>
      </c>
      <c r="I188">
        <v>1191.4914550999999</v>
      </c>
      <c r="J188">
        <v>1117.2136230000001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12.545277</v>
      </c>
      <c r="B189" s="1">
        <f>DATE(2010,5,13) + TIME(13,5,11)</f>
        <v>40311.545266203706</v>
      </c>
      <c r="C189">
        <v>80</v>
      </c>
      <c r="D189">
        <v>79.940383910999998</v>
      </c>
      <c r="E189">
        <v>50</v>
      </c>
      <c r="F189">
        <v>14.994786263</v>
      </c>
      <c r="G189">
        <v>1431.1846923999999</v>
      </c>
      <c r="H189">
        <v>1407.395874</v>
      </c>
      <c r="I189">
        <v>1191.4918213000001</v>
      </c>
      <c r="J189">
        <v>1117.2139893000001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12.771509999999999</v>
      </c>
      <c r="B190" s="1">
        <f>DATE(2010,5,13) + TIME(18,30,58)</f>
        <v>40311.771504629629</v>
      </c>
      <c r="C190">
        <v>80</v>
      </c>
      <c r="D190">
        <v>79.940437317000004</v>
      </c>
      <c r="E190">
        <v>50</v>
      </c>
      <c r="F190">
        <v>14.994816780000001</v>
      </c>
      <c r="G190">
        <v>1431.105957</v>
      </c>
      <c r="H190">
        <v>1407.3143310999999</v>
      </c>
      <c r="I190">
        <v>1191.4923096</v>
      </c>
      <c r="J190">
        <v>1117.2145995999999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12.997923</v>
      </c>
      <c r="B191" s="1">
        <f>DATE(2010,5,13) + TIME(23,57,0)</f>
        <v>40311.997916666667</v>
      </c>
      <c r="C191">
        <v>80</v>
      </c>
      <c r="D191">
        <v>79.940483092999997</v>
      </c>
      <c r="E191">
        <v>50</v>
      </c>
      <c r="F191">
        <v>14.994847298</v>
      </c>
      <c r="G191">
        <v>1430.9488524999999</v>
      </c>
      <c r="H191">
        <v>1407.151001</v>
      </c>
      <c r="I191">
        <v>1191.4932861</v>
      </c>
      <c r="J191">
        <v>1117.2155762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13.225174000000001</v>
      </c>
      <c r="B192" s="1">
        <f>DATE(2010,5,14) + TIME(5,24,15)</f>
        <v>40312.225173611114</v>
      </c>
      <c r="C192">
        <v>80</v>
      </c>
      <c r="D192">
        <v>79.940521239999995</v>
      </c>
      <c r="E192">
        <v>50</v>
      </c>
      <c r="F192">
        <v>14.994877815000001</v>
      </c>
      <c r="G192">
        <v>1430.7939452999999</v>
      </c>
      <c r="H192">
        <v>1406.9901123</v>
      </c>
      <c r="I192">
        <v>1191.4941406</v>
      </c>
      <c r="J192">
        <v>1117.2164307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13.453616999999999</v>
      </c>
      <c r="B193" s="1">
        <f>DATE(2010,5,14) + TIME(10,53,12)</f>
        <v>40312.453611111108</v>
      </c>
      <c r="C193">
        <v>80</v>
      </c>
      <c r="D193">
        <v>79.940567017000006</v>
      </c>
      <c r="E193">
        <v>50</v>
      </c>
      <c r="F193">
        <v>14.994909286</v>
      </c>
      <c r="G193">
        <v>1430.6416016000001</v>
      </c>
      <c r="H193">
        <v>1406.8319091999999</v>
      </c>
      <c r="I193">
        <v>1191.4949951000001</v>
      </c>
      <c r="J193">
        <v>1117.2174072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13.683609000000001</v>
      </c>
      <c r="B194" s="1">
        <f>DATE(2010,5,14) + TIME(16,24,23)</f>
        <v>40312.683599537035</v>
      </c>
      <c r="C194">
        <v>80</v>
      </c>
      <c r="D194">
        <v>79.940612793</v>
      </c>
      <c r="E194">
        <v>50</v>
      </c>
      <c r="F194">
        <v>14.994939803999999</v>
      </c>
      <c r="G194">
        <v>1430.4914550999999</v>
      </c>
      <c r="H194">
        <v>1406.6759033000001</v>
      </c>
      <c r="I194">
        <v>1191.4958495999999</v>
      </c>
      <c r="J194">
        <v>1117.2182617000001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13.914925</v>
      </c>
      <c r="B195" s="1">
        <f>DATE(2010,5,14) + TIME(21,57,29)</f>
        <v>40312.914918981478</v>
      </c>
      <c r="C195">
        <v>80</v>
      </c>
      <c r="D195">
        <v>79.940650939999998</v>
      </c>
      <c r="E195">
        <v>50</v>
      </c>
      <c r="F195">
        <v>14.994970322</v>
      </c>
      <c r="G195">
        <v>1430.3431396000001</v>
      </c>
      <c r="H195">
        <v>1406.5219727000001</v>
      </c>
      <c r="I195">
        <v>1191.4967041</v>
      </c>
      <c r="J195">
        <v>1117.2192382999999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14.147862</v>
      </c>
      <c r="B196" s="1">
        <f>DATE(2010,5,15) + TIME(3,32,55)</f>
        <v>40313.147858796299</v>
      </c>
      <c r="C196">
        <v>80</v>
      </c>
      <c r="D196">
        <v>79.940696716000005</v>
      </c>
      <c r="E196">
        <v>50</v>
      </c>
      <c r="F196">
        <v>14.995000838999999</v>
      </c>
      <c r="G196">
        <v>1430.1968993999999</v>
      </c>
      <c r="H196">
        <v>1406.3701172000001</v>
      </c>
      <c r="I196">
        <v>1191.4976807</v>
      </c>
      <c r="J196">
        <v>1117.2200928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14.382763000000001</v>
      </c>
      <c r="B197" s="1">
        <f>DATE(2010,5,15) + TIME(9,11,10)</f>
        <v>40313.382754629631</v>
      </c>
      <c r="C197">
        <v>80</v>
      </c>
      <c r="D197">
        <v>79.940734863000003</v>
      </c>
      <c r="E197">
        <v>50</v>
      </c>
      <c r="F197">
        <v>14.995031357</v>
      </c>
      <c r="G197">
        <v>1430.0524902</v>
      </c>
      <c r="H197">
        <v>1406.2200928</v>
      </c>
      <c r="I197">
        <v>1191.4985352000001</v>
      </c>
      <c r="J197">
        <v>1117.2210693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14.619975999999999</v>
      </c>
      <c r="B198" s="1">
        <f>DATE(2010,5,15) + TIME(14,52,45)</f>
        <v>40313.61996527778</v>
      </c>
      <c r="C198">
        <v>80</v>
      </c>
      <c r="D198">
        <v>79.94078064</v>
      </c>
      <c r="E198">
        <v>50</v>
      </c>
      <c r="F198">
        <v>14.995060921</v>
      </c>
      <c r="G198">
        <v>1429.9095459</v>
      </c>
      <c r="H198">
        <v>1406.0717772999999</v>
      </c>
      <c r="I198">
        <v>1191.4993896000001</v>
      </c>
      <c r="J198">
        <v>1117.2220459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14.859863000000001</v>
      </c>
      <c r="B199" s="1">
        <f>DATE(2010,5,15) + TIME(20,38,12)</f>
        <v>40313.859861111108</v>
      </c>
      <c r="C199">
        <v>80</v>
      </c>
      <c r="D199">
        <v>79.940826415999993</v>
      </c>
      <c r="E199">
        <v>50</v>
      </c>
      <c r="F199">
        <v>14.995090485</v>
      </c>
      <c r="G199">
        <v>1429.7678223</v>
      </c>
      <c r="H199">
        <v>1405.9248047000001</v>
      </c>
      <c r="I199">
        <v>1191.5003661999999</v>
      </c>
      <c r="J199">
        <v>1117.2229004000001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15.102797000000001</v>
      </c>
      <c r="B200" s="1">
        <f>DATE(2010,5,16) + TIME(2,28,1)</f>
        <v>40314.102789351855</v>
      </c>
      <c r="C200">
        <v>80</v>
      </c>
      <c r="D200">
        <v>79.940864563000005</v>
      </c>
      <c r="E200">
        <v>50</v>
      </c>
      <c r="F200">
        <v>14.995120049000001</v>
      </c>
      <c r="G200">
        <v>1429.6273193</v>
      </c>
      <c r="H200">
        <v>1405.7790527</v>
      </c>
      <c r="I200">
        <v>1191.5012207</v>
      </c>
      <c r="J200">
        <v>1117.2238769999999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15.349278999999999</v>
      </c>
      <c r="B201" s="1">
        <f>DATE(2010,5,16) + TIME(8,22,57)</f>
        <v>40314.349270833336</v>
      </c>
      <c r="C201">
        <v>80</v>
      </c>
      <c r="D201">
        <v>79.940910338999998</v>
      </c>
      <c r="E201">
        <v>50</v>
      </c>
      <c r="F201">
        <v>14.995149612000001</v>
      </c>
      <c r="G201">
        <v>1429.4876709</v>
      </c>
      <c r="H201">
        <v>1405.6341553</v>
      </c>
      <c r="I201">
        <v>1191.5021973</v>
      </c>
      <c r="J201">
        <v>1117.2248535000001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15.599631</v>
      </c>
      <c r="B202" s="1">
        <f>DATE(2010,5,16) + TIME(14,23,28)</f>
        <v>40314.599629629629</v>
      </c>
      <c r="C202">
        <v>80</v>
      </c>
      <c r="D202">
        <v>79.940948485999996</v>
      </c>
      <c r="E202">
        <v>50</v>
      </c>
      <c r="F202">
        <v>14.995179176000001</v>
      </c>
      <c r="G202">
        <v>1429.3485106999999</v>
      </c>
      <c r="H202">
        <v>1405.4898682</v>
      </c>
      <c r="I202">
        <v>1191.5030518000001</v>
      </c>
      <c r="J202">
        <v>1117.2258300999999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15.854293999999999</v>
      </c>
      <c r="B203" s="1">
        <f>DATE(2010,5,16) + TIME(20,30,10)</f>
        <v>40314.85428240741</v>
      </c>
      <c r="C203">
        <v>80</v>
      </c>
      <c r="D203">
        <v>79.940994262999993</v>
      </c>
      <c r="E203">
        <v>50</v>
      </c>
      <c r="F203">
        <v>14.995208740000001</v>
      </c>
      <c r="G203">
        <v>1429.2098389</v>
      </c>
      <c r="H203">
        <v>1405.3460693</v>
      </c>
      <c r="I203">
        <v>1191.5040283000001</v>
      </c>
      <c r="J203">
        <v>1117.2268065999999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16.113738999999999</v>
      </c>
      <c r="B204" s="1">
        <f>DATE(2010,5,17) + TIME(2,43,47)</f>
        <v>40315.113738425927</v>
      </c>
      <c r="C204">
        <v>80</v>
      </c>
      <c r="D204">
        <v>79.941040039000001</v>
      </c>
      <c r="E204">
        <v>50</v>
      </c>
      <c r="F204">
        <v>14.995238304000001</v>
      </c>
      <c r="G204">
        <v>1429.0714111</v>
      </c>
      <c r="H204">
        <v>1405.2026367000001</v>
      </c>
      <c r="I204">
        <v>1191.5050048999999</v>
      </c>
      <c r="J204">
        <v>1117.2279053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16.378482000000002</v>
      </c>
      <c r="B205" s="1">
        <f>DATE(2010,5,17) + TIME(9,5,0)</f>
        <v>40315.378472222219</v>
      </c>
      <c r="C205">
        <v>80</v>
      </c>
      <c r="D205">
        <v>79.941085814999994</v>
      </c>
      <c r="E205">
        <v>50</v>
      </c>
      <c r="F205">
        <v>14.995267867999999</v>
      </c>
      <c r="G205">
        <v>1428.9329834</v>
      </c>
      <c r="H205">
        <v>1405.0592041</v>
      </c>
      <c r="I205">
        <v>1191.5059814000001</v>
      </c>
      <c r="J205">
        <v>1117.2288818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16.648963999999999</v>
      </c>
      <c r="B206" s="1">
        <f>DATE(2010,5,17) + TIME(15,34,30)</f>
        <v>40315.648958333331</v>
      </c>
      <c r="C206">
        <v>80</v>
      </c>
      <c r="D206">
        <v>79.941131592000005</v>
      </c>
      <c r="E206">
        <v>50</v>
      </c>
      <c r="F206">
        <v>14.995297431999999</v>
      </c>
      <c r="G206">
        <v>1428.7944336</v>
      </c>
      <c r="H206">
        <v>1404.9156493999999</v>
      </c>
      <c r="I206">
        <v>1191.5070800999999</v>
      </c>
      <c r="J206">
        <v>1117.2299805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16.924548999999999</v>
      </c>
      <c r="B207" s="1">
        <f>DATE(2010,5,17) + TIME(22,11,21)</f>
        <v>40315.92454861111</v>
      </c>
      <c r="C207">
        <v>80</v>
      </c>
      <c r="D207">
        <v>79.941169739000003</v>
      </c>
      <c r="E207">
        <v>50</v>
      </c>
      <c r="F207">
        <v>14.995326995999999</v>
      </c>
      <c r="G207">
        <v>1428.6555175999999</v>
      </c>
      <c r="H207">
        <v>1404.7717285000001</v>
      </c>
      <c r="I207">
        <v>1191.5080565999999</v>
      </c>
      <c r="J207">
        <v>1117.2310791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17.205808000000001</v>
      </c>
      <c r="B208" s="1">
        <f>DATE(2010,5,18) + TIME(4,56,21)</f>
        <v>40316.20579861111</v>
      </c>
      <c r="C208">
        <v>80</v>
      </c>
      <c r="D208">
        <v>79.941215514999996</v>
      </c>
      <c r="E208">
        <v>50</v>
      </c>
      <c r="F208">
        <v>14.995356559999999</v>
      </c>
      <c r="G208">
        <v>1428.5166016000001</v>
      </c>
      <c r="H208">
        <v>1404.6279297000001</v>
      </c>
      <c r="I208">
        <v>1191.5091553</v>
      </c>
      <c r="J208">
        <v>1117.2321777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17.490701000000001</v>
      </c>
      <c r="B209" s="1">
        <f>DATE(2010,5,18) + TIME(11,46,36)</f>
        <v>40316.490694444445</v>
      </c>
      <c r="C209">
        <v>80</v>
      </c>
      <c r="D209">
        <v>79.941261291999993</v>
      </c>
      <c r="E209">
        <v>50</v>
      </c>
      <c r="F209">
        <v>14.995386123999999</v>
      </c>
      <c r="G209">
        <v>1428.3775635</v>
      </c>
      <c r="H209">
        <v>1404.4840088000001</v>
      </c>
      <c r="I209">
        <v>1191.5102539</v>
      </c>
      <c r="J209">
        <v>1117.2332764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17.775964999999999</v>
      </c>
      <c r="B210" s="1">
        <f>DATE(2010,5,18) + TIME(18,37,23)</f>
        <v>40316.775960648149</v>
      </c>
      <c r="C210">
        <v>80</v>
      </c>
      <c r="D210">
        <v>79.941307068</v>
      </c>
      <c r="E210">
        <v>50</v>
      </c>
      <c r="F210">
        <v>14.995415688</v>
      </c>
      <c r="G210">
        <v>1428.2393798999999</v>
      </c>
      <c r="H210">
        <v>1404.3410644999999</v>
      </c>
      <c r="I210">
        <v>1191.5113524999999</v>
      </c>
      <c r="J210">
        <v>1117.234375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18.062085</v>
      </c>
      <c r="B211" s="1">
        <f>DATE(2010,5,19) + TIME(1,29,24)</f>
        <v>40317.062083333331</v>
      </c>
      <c r="C211">
        <v>80</v>
      </c>
      <c r="D211">
        <v>79.941352843999994</v>
      </c>
      <c r="E211">
        <v>50</v>
      </c>
      <c r="F211">
        <v>14.995445251</v>
      </c>
      <c r="G211">
        <v>1428.1036377</v>
      </c>
      <c r="H211">
        <v>1404.2005615</v>
      </c>
      <c r="I211">
        <v>1191.5123291</v>
      </c>
      <c r="J211">
        <v>1117.2354736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18.349461000000002</v>
      </c>
      <c r="B212" s="1">
        <f>DATE(2010,5,19) + TIME(8,23,13)</f>
        <v>40317.349456018521</v>
      </c>
      <c r="C212">
        <v>80</v>
      </c>
      <c r="D212">
        <v>79.941398621000005</v>
      </c>
      <c r="E212">
        <v>50</v>
      </c>
      <c r="F212">
        <v>14.995473862000001</v>
      </c>
      <c r="G212">
        <v>1427.9699707</v>
      </c>
      <c r="H212">
        <v>1404.0622559000001</v>
      </c>
      <c r="I212">
        <v>1191.5134277</v>
      </c>
      <c r="J212">
        <v>1117.2365723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18.637588999999998</v>
      </c>
      <c r="B213" s="1">
        <f>DATE(2010,5,19) + TIME(15,18,7)</f>
        <v>40317.63758101852</v>
      </c>
      <c r="C213">
        <v>80</v>
      </c>
      <c r="D213">
        <v>79.941444396999998</v>
      </c>
      <c r="E213">
        <v>50</v>
      </c>
      <c r="F213">
        <v>14.995501517999999</v>
      </c>
      <c r="G213">
        <v>1427.8381348</v>
      </c>
      <c r="H213">
        <v>1403.9260254000001</v>
      </c>
      <c r="I213">
        <v>1191.5145264</v>
      </c>
      <c r="J213">
        <v>1117.237793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18.926901999999998</v>
      </c>
      <c r="B214" s="1">
        <f>DATE(2010,5,19) + TIME(22,14,44)</f>
        <v>40317.926898148151</v>
      </c>
      <c r="C214">
        <v>80</v>
      </c>
      <c r="D214">
        <v>79.941490173000005</v>
      </c>
      <c r="E214">
        <v>50</v>
      </c>
      <c r="F214">
        <v>14.995530128</v>
      </c>
      <c r="G214">
        <v>1427.708374</v>
      </c>
      <c r="H214">
        <v>1403.7918701000001</v>
      </c>
      <c r="I214">
        <v>1191.515625</v>
      </c>
      <c r="J214">
        <v>1117.2388916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19.217827</v>
      </c>
      <c r="B215" s="1">
        <f>DATE(2010,5,20) + TIME(5,13,40)</f>
        <v>40318.217824074076</v>
      </c>
      <c r="C215">
        <v>80</v>
      </c>
      <c r="D215">
        <v>79.941535950000002</v>
      </c>
      <c r="E215">
        <v>50</v>
      </c>
      <c r="F215">
        <v>14.995557785000001</v>
      </c>
      <c r="G215">
        <v>1427.5804443</v>
      </c>
      <c r="H215">
        <v>1403.659668</v>
      </c>
      <c r="I215">
        <v>1191.5168457</v>
      </c>
      <c r="J215">
        <v>1117.2399902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19.510795999999999</v>
      </c>
      <c r="B216" s="1">
        <f>DATE(2010,5,20) + TIME(12,15,32)</f>
        <v>40318.510787037034</v>
      </c>
      <c r="C216">
        <v>80</v>
      </c>
      <c r="D216">
        <v>79.941574097</v>
      </c>
      <c r="E216">
        <v>50</v>
      </c>
      <c r="F216">
        <v>14.995584488</v>
      </c>
      <c r="G216">
        <v>1427.4541016000001</v>
      </c>
      <c r="H216">
        <v>1403.5291748</v>
      </c>
      <c r="I216">
        <v>1191.5179443</v>
      </c>
      <c r="J216">
        <v>1117.2412108999999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19.806245000000001</v>
      </c>
      <c r="B217" s="1">
        <f>DATE(2010,5,20) + TIME(19,20,59)</f>
        <v>40318.806238425925</v>
      </c>
      <c r="C217">
        <v>80</v>
      </c>
      <c r="D217">
        <v>79.941619872999993</v>
      </c>
      <c r="E217">
        <v>50</v>
      </c>
      <c r="F217">
        <v>14.995612144000001</v>
      </c>
      <c r="G217">
        <v>1427.3292236</v>
      </c>
      <c r="H217">
        <v>1403.4000243999999</v>
      </c>
      <c r="I217">
        <v>1191.519043</v>
      </c>
      <c r="J217">
        <v>1117.2423096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20.104624000000001</v>
      </c>
      <c r="B218" s="1">
        <f>DATE(2010,5,21) + TIME(2,30,39)</f>
        <v>40319.104618055557</v>
      </c>
      <c r="C218">
        <v>80</v>
      </c>
      <c r="D218">
        <v>79.941665649000001</v>
      </c>
      <c r="E218">
        <v>50</v>
      </c>
      <c r="F218">
        <v>14.995638847</v>
      </c>
      <c r="G218">
        <v>1427.2053223</v>
      </c>
      <c r="H218">
        <v>1403.2722168</v>
      </c>
      <c r="I218">
        <v>1191.5201416</v>
      </c>
      <c r="J218">
        <v>1117.2435303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20.406396000000001</v>
      </c>
      <c r="B219" s="1">
        <f>DATE(2010,5,21) + TIME(9,45,12)</f>
        <v>40319.406388888892</v>
      </c>
      <c r="C219">
        <v>80</v>
      </c>
      <c r="D219">
        <v>79.941711425999998</v>
      </c>
      <c r="E219">
        <v>50</v>
      </c>
      <c r="F219">
        <v>14.99566555</v>
      </c>
      <c r="G219">
        <v>1427.0825195</v>
      </c>
      <c r="H219">
        <v>1403.1453856999999</v>
      </c>
      <c r="I219">
        <v>1191.5213623</v>
      </c>
      <c r="J219">
        <v>1117.244751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20.712143000000001</v>
      </c>
      <c r="B220" s="1">
        <f>DATE(2010,5,21) + TIME(17,5,29)</f>
        <v>40319.712141203701</v>
      </c>
      <c r="C220">
        <v>80</v>
      </c>
      <c r="D220">
        <v>79.941757202000005</v>
      </c>
      <c r="E220">
        <v>50</v>
      </c>
      <c r="F220">
        <v>14.995692253</v>
      </c>
      <c r="G220">
        <v>1426.9603271000001</v>
      </c>
      <c r="H220">
        <v>1403.0194091999999</v>
      </c>
      <c r="I220">
        <v>1191.5224608999999</v>
      </c>
      <c r="J220">
        <v>1117.2458495999999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21.022324999999999</v>
      </c>
      <c r="B221" s="1">
        <f>DATE(2010,5,22) + TIME(0,32,8)</f>
        <v>40320.022314814814</v>
      </c>
      <c r="C221">
        <v>80</v>
      </c>
      <c r="D221">
        <v>79.941802979000002</v>
      </c>
      <c r="E221">
        <v>50</v>
      </c>
      <c r="F221">
        <v>14.995718955999999</v>
      </c>
      <c r="G221">
        <v>1426.8388672000001</v>
      </c>
      <c r="H221">
        <v>1402.8939209</v>
      </c>
      <c r="I221">
        <v>1191.5236815999999</v>
      </c>
      <c r="J221">
        <v>1117.2470702999999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21.337444999999999</v>
      </c>
      <c r="B222" s="1">
        <f>DATE(2010,5,22) + TIME(8,5,55)</f>
        <v>40320.337442129632</v>
      </c>
      <c r="C222">
        <v>80</v>
      </c>
      <c r="D222">
        <v>79.941848754999995</v>
      </c>
      <c r="E222">
        <v>50</v>
      </c>
      <c r="F222">
        <v>14.995745659000001</v>
      </c>
      <c r="G222">
        <v>1426.7176514</v>
      </c>
      <c r="H222">
        <v>1402.7689209</v>
      </c>
      <c r="I222">
        <v>1191.5249022999999</v>
      </c>
      <c r="J222">
        <v>1117.2482910000001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21.658080000000002</v>
      </c>
      <c r="B223" s="1">
        <f>DATE(2010,5,22) + TIME(15,47,38)</f>
        <v>40320.658078703702</v>
      </c>
      <c r="C223">
        <v>80</v>
      </c>
      <c r="D223">
        <v>79.941894531000003</v>
      </c>
      <c r="E223">
        <v>50</v>
      </c>
      <c r="F223">
        <v>14.995772362</v>
      </c>
      <c r="G223">
        <v>1426.5966797000001</v>
      </c>
      <c r="H223">
        <v>1402.6442870999999</v>
      </c>
      <c r="I223">
        <v>1191.5261230000001</v>
      </c>
      <c r="J223">
        <v>1117.2496338000001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21.984852</v>
      </c>
      <c r="B224" s="1">
        <f>DATE(2010,5,22) + TIME(23,38,11)</f>
        <v>40320.984849537039</v>
      </c>
      <c r="C224">
        <v>80</v>
      </c>
      <c r="D224">
        <v>79.941940308</v>
      </c>
      <c r="E224">
        <v>50</v>
      </c>
      <c r="F224">
        <v>14.995798110999999</v>
      </c>
      <c r="G224">
        <v>1426.4757079999999</v>
      </c>
      <c r="H224">
        <v>1402.5195312000001</v>
      </c>
      <c r="I224">
        <v>1191.5273437999999</v>
      </c>
      <c r="J224">
        <v>1117.2508545000001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22.318155999999998</v>
      </c>
      <c r="B225" s="1">
        <f>DATE(2010,5,23) + TIME(7,38,8)</f>
        <v>40321.318148148152</v>
      </c>
      <c r="C225">
        <v>80</v>
      </c>
      <c r="D225">
        <v>79.941986084000007</v>
      </c>
      <c r="E225">
        <v>50</v>
      </c>
      <c r="F225">
        <v>14.995824814000001</v>
      </c>
      <c r="G225">
        <v>1426.3546143000001</v>
      </c>
      <c r="H225">
        <v>1402.3947754000001</v>
      </c>
      <c r="I225">
        <v>1191.5286865</v>
      </c>
      <c r="J225">
        <v>1117.2521973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22.657039999999999</v>
      </c>
      <c r="B226" s="1">
        <f>DATE(2010,5,23) + TIME(15,46,8)</f>
        <v>40321.657037037039</v>
      </c>
      <c r="C226">
        <v>80</v>
      </c>
      <c r="D226">
        <v>79.94203186</v>
      </c>
      <c r="E226">
        <v>50</v>
      </c>
      <c r="F226">
        <v>14.995851517</v>
      </c>
      <c r="G226">
        <v>1426.2332764</v>
      </c>
      <c r="H226">
        <v>1402.2697754000001</v>
      </c>
      <c r="I226">
        <v>1191.5299072</v>
      </c>
      <c r="J226">
        <v>1117.2535399999999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23.002168999999999</v>
      </c>
      <c r="B227" s="1">
        <f>DATE(2010,5,24) + TIME(0,3,7)</f>
        <v>40322.002164351848</v>
      </c>
      <c r="C227">
        <v>80</v>
      </c>
      <c r="D227">
        <v>79.942077636999997</v>
      </c>
      <c r="E227">
        <v>50</v>
      </c>
      <c r="F227">
        <v>14.99587822</v>
      </c>
      <c r="G227">
        <v>1426.1120605000001</v>
      </c>
      <c r="H227">
        <v>1402.1448975000001</v>
      </c>
      <c r="I227">
        <v>1191.53125</v>
      </c>
      <c r="J227">
        <v>1117.2548827999999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23.350511999999998</v>
      </c>
      <c r="B228" s="1">
        <f>DATE(2010,5,24) + TIME(8,24,44)</f>
        <v>40322.35050925926</v>
      </c>
      <c r="C228">
        <v>80</v>
      </c>
      <c r="D228">
        <v>79.942123413000004</v>
      </c>
      <c r="E228">
        <v>50</v>
      </c>
      <c r="F228">
        <v>14.995904921999999</v>
      </c>
      <c r="G228">
        <v>1425.9907227000001</v>
      </c>
      <c r="H228">
        <v>1402.0200195</v>
      </c>
      <c r="I228">
        <v>1191.5325928</v>
      </c>
      <c r="J228">
        <v>1117.2562256000001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23.699771999999999</v>
      </c>
      <c r="B229" s="1">
        <f>DATE(2010,5,24) + TIME(16,47,40)</f>
        <v>40322.69976851852</v>
      </c>
      <c r="C229">
        <v>80</v>
      </c>
      <c r="D229">
        <v>79.942176818999997</v>
      </c>
      <c r="E229">
        <v>50</v>
      </c>
      <c r="F229">
        <v>14.995931625000001</v>
      </c>
      <c r="G229">
        <v>1425.8704834</v>
      </c>
      <c r="H229">
        <v>1401.8962402</v>
      </c>
      <c r="I229">
        <v>1191.5339355000001</v>
      </c>
      <c r="J229">
        <v>1117.2575684000001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24.049299999999999</v>
      </c>
      <c r="B230" s="1">
        <f>DATE(2010,5,25) + TIME(1,10,59)</f>
        <v>40323.049293981479</v>
      </c>
      <c r="C230">
        <v>80</v>
      </c>
      <c r="D230">
        <v>79.942222595000004</v>
      </c>
      <c r="E230">
        <v>50</v>
      </c>
      <c r="F230">
        <v>14.995957375</v>
      </c>
      <c r="G230">
        <v>1425.7519531</v>
      </c>
      <c r="H230">
        <v>1401.7744141000001</v>
      </c>
      <c r="I230">
        <v>1191.5352783000001</v>
      </c>
      <c r="J230">
        <v>1117.2590332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24.399301000000001</v>
      </c>
      <c r="B231" s="1">
        <f>DATE(2010,5,25) + TIME(9,34,59)</f>
        <v>40323.399293981478</v>
      </c>
      <c r="C231">
        <v>80</v>
      </c>
      <c r="D231">
        <v>79.942268372000001</v>
      </c>
      <c r="E231">
        <v>50</v>
      </c>
      <c r="F231">
        <v>14.995983124</v>
      </c>
      <c r="G231">
        <v>1425.635376</v>
      </c>
      <c r="H231">
        <v>1401.6545410000001</v>
      </c>
      <c r="I231">
        <v>1191.5367432</v>
      </c>
      <c r="J231">
        <v>1117.260376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24.750305000000001</v>
      </c>
      <c r="B232" s="1">
        <f>DATE(2010,5,25) + TIME(18,0,26)</f>
        <v>40323.750300925924</v>
      </c>
      <c r="C232">
        <v>80</v>
      </c>
      <c r="D232">
        <v>79.942314147999994</v>
      </c>
      <c r="E232">
        <v>50</v>
      </c>
      <c r="F232">
        <v>14.996008872999999</v>
      </c>
      <c r="G232">
        <v>1425.5207519999999</v>
      </c>
      <c r="H232">
        <v>1401.5366211</v>
      </c>
      <c r="I232">
        <v>1191.5380858999999</v>
      </c>
      <c r="J232">
        <v>1117.2617187999999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25.102837000000001</v>
      </c>
      <c r="B233" s="1">
        <f>DATE(2010,5,26) + TIME(2,28,5)</f>
        <v>40324.102835648147</v>
      </c>
      <c r="C233">
        <v>80</v>
      </c>
      <c r="D233">
        <v>79.942359924000002</v>
      </c>
      <c r="E233">
        <v>50</v>
      </c>
      <c r="F233">
        <v>14.996033668999999</v>
      </c>
      <c r="G233">
        <v>1425.4075928</v>
      </c>
      <c r="H233">
        <v>1401.4204102000001</v>
      </c>
      <c r="I233">
        <v>1191.5394286999999</v>
      </c>
      <c r="J233">
        <v>1117.2631836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25.457425000000001</v>
      </c>
      <c r="B234" s="1">
        <f>DATE(2010,5,26) + TIME(10,58,41)</f>
        <v>40324.457418981481</v>
      </c>
      <c r="C234">
        <v>80</v>
      </c>
      <c r="D234">
        <v>79.942413329999994</v>
      </c>
      <c r="E234">
        <v>50</v>
      </c>
      <c r="F234">
        <v>14.996058464000001</v>
      </c>
      <c r="G234">
        <v>1425.2958983999999</v>
      </c>
      <c r="H234">
        <v>1401.3055420000001</v>
      </c>
      <c r="I234">
        <v>1191.5407714999999</v>
      </c>
      <c r="J234">
        <v>1117.2645264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25.814602000000001</v>
      </c>
      <c r="B235" s="1">
        <f>DATE(2010,5,26) + TIME(19,33,1)</f>
        <v>40324.81459490741</v>
      </c>
      <c r="C235">
        <v>80</v>
      </c>
      <c r="D235">
        <v>79.942459106000001</v>
      </c>
      <c r="E235">
        <v>50</v>
      </c>
      <c r="F235">
        <v>14.996083260000001</v>
      </c>
      <c r="G235">
        <v>1425.1854248</v>
      </c>
      <c r="H235">
        <v>1401.1921387</v>
      </c>
      <c r="I235">
        <v>1191.5422363</v>
      </c>
      <c r="J235">
        <v>1117.2659911999999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26.174911999999999</v>
      </c>
      <c r="B236" s="1">
        <f>DATE(2010,5,27) + TIME(4,11,52)</f>
        <v>40325.174907407411</v>
      </c>
      <c r="C236">
        <v>80</v>
      </c>
      <c r="D236">
        <v>79.942504882999998</v>
      </c>
      <c r="E236">
        <v>50</v>
      </c>
      <c r="F236">
        <v>14.996108055000001</v>
      </c>
      <c r="G236">
        <v>1425.0759277</v>
      </c>
      <c r="H236">
        <v>1401.0797118999999</v>
      </c>
      <c r="I236">
        <v>1191.5435791</v>
      </c>
      <c r="J236">
        <v>1117.2674560999999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26.538912</v>
      </c>
      <c r="B237" s="1">
        <f>DATE(2010,5,27) + TIME(12,56,1)</f>
        <v>40325.538900462961</v>
      </c>
      <c r="C237">
        <v>80</v>
      </c>
      <c r="D237">
        <v>79.942550659000005</v>
      </c>
      <c r="E237">
        <v>50</v>
      </c>
      <c r="F237">
        <v>14.996131897</v>
      </c>
      <c r="G237">
        <v>1424.9674072</v>
      </c>
      <c r="H237">
        <v>1400.9682617000001</v>
      </c>
      <c r="I237">
        <v>1191.5450439000001</v>
      </c>
      <c r="J237">
        <v>1117.2687988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26.907249</v>
      </c>
      <c r="B238" s="1">
        <f>DATE(2010,5,27) + TIME(21,46,26)</f>
        <v>40325.90724537037</v>
      </c>
      <c r="C238">
        <v>80</v>
      </c>
      <c r="D238">
        <v>79.942596436000002</v>
      </c>
      <c r="E238">
        <v>50</v>
      </c>
      <c r="F238">
        <v>14.996155739000001</v>
      </c>
      <c r="G238">
        <v>1424.8594971</v>
      </c>
      <c r="H238">
        <v>1400.8575439000001</v>
      </c>
      <c r="I238">
        <v>1191.5465088000001</v>
      </c>
      <c r="J238">
        <v>1117.2702637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27.280573</v>
      </c>
      <c r="B239" s="1">
        <f>DATE(2010,5,28) + TIME(6,44,1)</f>
        <v>40326.28056712963</v>
      </c>
      <c r="C239">
        <v>80</v>
      </c>
      <c r="D239">
        <v>79.942649841000005</v>
      </c>
      <c r="E239">
        <v>50</v>
      </c>
      <c r="F239">
        <v>14.996180534000001</v>
      </c>
      <c r="G239">
        <v>1424.7519531</v>
      </c>
      <c r="H239">
        <v>1400.7473144999999</v>
      </c>
      <c r="I239">
        <v>1191.5479736</v>
      </c>
      <c r="J239">
        <v>1117.2718506000001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27.659431999999999</v>
      </c>
      <c r="B240" s="1">
        <f>DATE(2010,5,28) + TIME(15,49,34)</f>
        <v>40326.659421296295</v>
      </c>
      <c r="C240">
        <v>80</v>
      </c>
      <c r="D240">
        <v>79.942695618000002</v>
      </c>
      <c r="E240">
        <v>50</v>
      </c>
      <c r="F240">
        <v>14.996204376</v>
      </c>
      <c r="G240">
        <v>1424.6448975000001</v>
      </c>
      <c r="H240">
        <v>1400.6374512</v>
      </c>
      <c r="I240">
        <v>1191.5494385</v>
      </c>
      <c r="J240">
        <v>1117.2733154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28.044506999999999</v>
      </c>
      <c r="B241" s="1">
        <f>DATE(2010,5,29) + TIME(1,4,5)</f>
        <v>40327.044502314813</v>
      </c>
      <c r="C241">
        <v>80</v>
      </c>
      <c r="D241">
        <v>79.942741393999995</v>
      </c>
      <c r="E241">
        <v>50</v>
      </c>
      <c r="F241">
        <v>14.996228218000001</v>
      </c>
      <c r="G241">
        <v>1424.5379639</v>
      </c>
      <c r="H241">
        <v>1400.527832</v>
      </c>
      <c r="I241">
        <v>1191.5510254000001</v>
      </c>
      <c r="J241">
        <v>1117.2747803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28.436530999999999</v>
      </c>
      <c r="B242" s="1">
        <f>DATE(2010,5,29) + TIME(10,28,36)</f>
        <v>40327.436527777776</v>
      </c>
      <c r="C242">
        <v>80</v>
      </c>
      <c r="D242">
        <v>79.942794800000001</v>
      </c>
      <c r="E242">
        <v>50</v>
      </c>
      <c r="F242">
        <v>14.99625206</v>
      </c>
      <c r="G242">
        <v>1424.4310303</v>
      </c>
      <c r="H242">
        <v>1400.4182129000001</v>
      </c>
      <c r="I242">
        <v>1191.5524902</v>
      </c>
      <c r="J242">
        <v>1117.2763672000001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28.836293999999999</v>
      </c>
      <c r="B243" s="1">
        <f>DATE(2010,5,29) + TIME(20,4,15)</f>
        <v>40327.836284722223</v>
      </c>
      <c r="C243">
        <v>80</v>
      </c>
      <c r="D243">
        <v>79.942840575999995</v>
      </c>
      <c r="E243">
        <v>50</v>
      </c>
      <c r="F243">
        <v>14.996275902000001</v>
      </c>
      <c r="G243">
        <v>1424.3239745999999</v>
      </c>
      <c r="H243">
        <v>1400.3085937999999</v>
      </c>
      <c r="I243">
        <v>1191.5540771000001</v>
      </c>
      <c r="J243">
        <v>1117.2779541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29.242628</v>
      </c>
      <c r="B244" s="1">
        <f>DATE(2010,5,30) + TIME(5,49,23)</f>
        <v>40328.242627314816</v>
      </c>
      <c r="C244">
        <v>80</v>
      </c>
      <c r="D244">
        <v>79.942893982000001</v>
      </c>
      <c r="E244">
        <v>50</v>
      </c>
      <c r="F244">
        <v>14.996300697000001</v>
      </c>
      <c r="G244">
        <v>1424.2165527</v>
      </c>
      <c r="H244">
        <v>1400.1986084</v>
      </c>
      <c r="I244">
        <v>1191.5556641000001</v>
      </c>
      <c r="J244">
        <v>1117.2795410000001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29.655282</v>
      </c>
      <c r="B245" s="1">
        <f>DATE(2010,5,30) + TIME(15,43,36)</f>
        <v>40328.655277777776</v>
      </c>
      <c r="C245">
        <v>80</v>
      </c>
      <c r="D245">
        <v>79.942947387999993</v>
      </c>
      <c r="E245">
        <v>50</v>
      </c>
      <c r="F245">
        <v>14.996324539</v>
      </c>
      <c r="G245">
        <v>1424.1091309000001</v>
      </c>
      <c r="H245">
        <v>1400.0887451000001</v>
      </c>
      <c r="I245">
        <v>1191.5573730000001</v>
      </c>
      <c r="J245">
        <v>1117.28125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29.864388999999999</v>
      </c>
      <c r="B246" s="1">
        <f>DATE(2010,5,30) + TIME(20,44,43)</f>
        <v>40328.864386574074</v>
      </c>
      <c r="C246">
        <v>80</v>
      </c>
      <c r="D246">
        <v>79.942970275999997</v>
      </c>
      <c r="E246">
        <v>50</v>
      </c>
      <c r="F246">
        <v>14.996340752</v>
      </c>
      <c r="G246">
        <v>1424.0014647999999</v>
      </c>
      <c r="H246">
        <v>1399.9785156</v>
      </c>
      <c r="I246">
        <v>1191.5588379000001</v>
      </c>
      <c r="J246">
        <v>1117.2827147999999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30.073497</v>
      </c>
      <c r="B247" s="1">
        <f>DATE(2010,5,31) + TIME(1,45,50)</f>
        <v>40329.073495370372</v>
      </c>
      <c r="C247">
        <v>80</v>
      </c>
      <c r="D247">
        <v>79.942993164000001</v>
      </c>
      <c r="E247">
        <v>50</v>
      </c>
      <c r="F247">
        <v>14.996355057000001</v>
      </c>
      <c r="G247">
        <v>1423.9467772999999</v>
      </c>
      <c r="H247">
        <v>1399.9224853999999</v>
      </c>
      <c r="I247">
        <v>1191.5596923999999</v>
      </c>
      <c r="J247">
        <v>1117.2835693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30.282605</v>
      </c>
      <c r="B248" s="1">
        <f>DATE(2010,5,31) + TIME(6,46,57)</f>
        <v>40329.282604166663</v>
      </c>
      <c r="C248">
        <v>80</v>
      </c>
      <c r="D248">
        <v>79.943023682000003</v>
      </c>
      <c r="E248">
        <v>50</v>
      </c>
      <c r="F248">
        <v>14.996368408</v>
      </c>
      <c r="G248">
        <v>1423.8934326000001</v>
      </c>
      <c r="H248">
        <v>1399.8679199000001</v>
      </c>
      <c r="I248">
        <v>1191.5604248</v>
      </c>
      <c r="J248">
        <v>1117.2844238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30.491712</v>
      </c>
      <c r="B249" s="1">
        <f>DATE(2010,5,31) + TIME(11,48,3)</f>
        <v>40329.491701388892</v>
      </c>
      <c r="C249">
        <v>80</v>
      </c>
      <c r="D249">
        <v>79.943046570000007</v>
      </c>
      <c r="E249">
        <v>50</v>
      </c>
      <c r="F249">
        <v>14.99638176</v>
      </c>
      <c r="G249">
        <v>1423.8405762</v>
      </c>
      <c r="H249">
        <v>1399.8138428</v>
      </c>
      <c r="I249">
        <v>1191.5612793</v>
      </c>
      <c r="J249">
        <v>1117.2852783000001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30.70082</v>
      </c>
      <c r="B250" s="1">
        <f>DATE(2010,5,31) + TIME(16,49,10)</f>
        <v>40329.700810185182</v>
      </c>
      <c r="C250">
        <v>80</v>
      </c>
      <c r="D250">
        <v>79.943077087000006</v>
      </c>
      <c r="E250">
        <v>50</v>
      </c>
      <c r="F250">
        <v>14.996394156999999</v>
      </c>
      <c r="G250">
        <v>1423.7882079999999</v>
      </c>
      <c r="H250">
        <v>1399.7602539</v>
      </c>
      <c r="I250">
        <v>1191.5621338000001</v>
      </c>
      <c r="J250">
        <v>1117.2861327999999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31</v>
      </c>
      <c r="B251" s="1">
        <f>DATE(2010,6,1) + TIME(0,0,0)</f>
        <v>40330</v>
      </c>
      <c r="C251">
        <v>80</v>
      </c>
      <c r="D251">
        <v>79.943115234000004</v>
      </c>
      <c r="E251">
        <v>50</v>
      </c>
      <c r="F251">
        <v>14.99641037</v>
      </c>
      <c r="G251">
        <v>1423.7365723</v>
      </c>
      <c r="H251">
        <v>1399.7076416</v>
      </c>
      <c r="I251">
        <v>1191.5631103999999</v>
      </c>
      <c r="J251">
        <v>1117.2869873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31.418215</v>
      </c>
      <c r="B252" s="1">
        <f>DATE(2010,6,1) + TIME(10,2,13)</f>
        <v>40330.418206018519</v>
      </c>
      <c r="C252">
        <v>80</v>
      </c>
      <c r="D252">
        <v>79.943168639999996</v>
      </c>
      <c r="E252">
        <v>50</v>
      </c>
      <c r="F252">
        <v>14.996429443</v>
      </c>
      <c r="G252">
        <v>1423.6636963000001</v>
      </c>
      <c r="H252">
        <v>1399.6331786999999</v>
      </c>
      <c r="I252">
        <v>1191.5644531</v>
      </c>
      <c r="J252">
        <v>1117.2883300999999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31.836846999999999</v>
      </c>
      <c r="B253" s="1">
        <f>DATE(2010,6,1) + TIME(20,5,3)</f>
        <v>40330.836840277778</v>
      </c>
      <c r="C253">
        <v>80</v>
      </c>
      <c r="D253">
        <v>79.943214416999993</v>
      </c>
      <c r="E253">
        <v>50</v>
      </c>
      <c r="F253">
        <v>14.996449471</v>
      </c>
      <c r="G253">
        <v>1423.5626221</v>
      </c>
      <c r="H253">
        <v>1399.5297852000001</v>
      </c>
      <c r="I253">
        <v>1191.5661620999999</v>
      </c>
      <c r="J253">
        <v>1117.2900391000001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32.257575000000003</v>
      </c>
      <c r="B254" s="1">
        <f>DATE(2010,6,2) + TIME(6,10,54)</f>
        <v>40331.257569444446</v>
      </c>
      <c r="C254">
        <v>80</v>
      </c>
      <c r="D254">
        <v>79.943260193</v>
      </c>
      <c r="E254">
        <v>50</v>
      </c>
      <c r="F254">
        <v>14.996471404999999</v>
      </c>
      <c r="G254">
        <v>1423.4626464999999</v>
      </c>
      <c r="H254">
        <v>1399.4276123</v>
      </c>
      <c r="I254">
        <v>1191.5678711</v>
      </c>
      <c r="J254">
        <v>1117.2917480000001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32.681023000000003</v>
      </c>
      <c r="B255" s="1">
        <f>DATE(2010,6,2) + TIME(16,20,40)</f>
        <v>40331.681018518517</v>
      </c>
      <c r="C255">
        <v>80</v>
      </c>
      <c r="D255">
        <v>79.943313599000007</v>
      </c>
      <c r="E255">
        <v>50</v>
      </c>
      <c r="F255">
        <v>14.996493340000001</v>
      </c>
      <c r="G255">
        <v>1423.3636475000001</v>
      </c>
      <c r="H255">
        <v>1399.3266602000001</v>
      </c>
      <c r="I255">
        <v>1191.5695800999999</v>
      </c>
      <c r="J255">
        <v>1117.2935791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33.107830999999997</v>
      </c>
      <c r="B256" s="1">
        <f>DATE(2010,6,3) + TIME(2,35,16)</f>
        <v>40332.107824074075</v>
      </c>
      <c r="C256">
        <v>80</v>
      </c>
      <c r="D256">
        <v>79.943367003999995</v>
      </c>
      <c r="E256">
        <v>50</v>
      </c>
      <c r="F256">
        <v>14.996515274</v>
      </c>
      <c r="G256">
        <v>1423.265625</v>
      </c>
      <c r="H256">
        <v>1399.2265625</v>
      </c>
      <c r="I256">
        <v>1191.5712891000001</v>
      </c>
      <c r="J256">
        <v>1117.2952881000001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33.538651000000002</v>
      </c>
      <c r="B257" s="1">
        <f>DATE(2010,6,3) + TIME(12,55,39)</f>
        <v>40332.538645833331</v>
      </c>
      <c r="C257">
        <v>80</v>
      </c>
      <c r="D257">
        <v>79.943412781000006</v>
      </c>
      <c r="E257">
        <v>50</v>
      </c>
      <c r="F257">
        <v>14.996537209</v>
      </c>
      <c r="G257">
        <v>1423.1683350000001</v>
      </c>
      <c r="H257">
        <v>1399.1273193</v>
      </c>
      <c r="I257">
        <v>1191.5729980000001</v>
      </c>
      <c r="J257">
        <v>1117.2969971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33.974173999999998</v>
      </c>
      <c r="B258" s="1">
        <f>DATE(2010,6,3) + TIME(23,22,48)</f>
        <v>40332.974166666667</v>
      </c>
      <c r="C258">
        <v>80</v>
      </c>
      <c r="D258">
        <v>79.943466186999999</v>
      </c>
      <c r="E258">
        <v>50</v>
      </c>
      <c r="F258">
        <v>14.996559143000001</v>
      </c>
      <c r="G258">
        <v>1423.0716553</v>
      </c>
      <c r="H258">
        <v>1399.0286865</v>
      </c>
      <c r="I258">
        <v>1191.5748291</v>
      </c>
      <c r="J258">
        <v>1117.2988281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34.415283000000002</v>
      </c>
      <c r="B259" s="1">
        <f>DATE(2010,6,4) + TIME(9,58,0)</f>
        <v>40333.415277777778</v>
      </c>
      <c r="C259">
        <v>80</v>
      </c>
      <c r="D259">
        <v>79.943519592000001</v>
      </c>
      <c r="E259">
        <v>50</v>
      </c>
      <c r="F259">
        <v>14.996581078</v>
      </c>
      <c r="G259">
        <v>1422.9754639</v>
      </c>
      <c r="H259">
        <v>1398.9305420000001</v>
      </c>
      <c r="I259">
        <v>1191.5765381000001</v>
      </c>
      <c r="J259">
        <v>1117.3005370999999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34.862552000000001</v>
      </c>
      <c r="B260" s="1">
        <f>DATE(2010,6,4) + TIME(20,42,4)</f>
        <v>40333.862546296295</v>
      </c>
      <c r="C260">
        <v>80</v>
      </c>
      <c r="D260">
        <v>79.943565368999998</v>
      </c>
      <c r="E260">
        <v>50</v>
      </c>
      <c r="F260">
        <v>14.996603012</v>
      </c>
      <c r="G260">
        <v>1422.8795166</v>
      </c>
      <c r="H260">
        <v>1398.8327637</v>
      </c>
      <c r="I260">
        <v>1191.5783690999999</v>
      </c>
      <c r="J260">
        <v>1117.3023682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35.316772</v>
      </c>
      <c r="B261" s="1">
        <f>DATE(2010,6,5) + TIME(7,36,9)</f>
        <v>40334.316770833335</v>
      </c>
      <c r="C261">
        <v>80</v>
      </c>
      <c r="D261">
        <v>79.943618774000001</v>
      </c>
      <c r="E261">
        <v>50</v>
      </c>
      <c r="F261">
        <v>14.996624947000001</v>
      </c>
      <c r="G261">
        <v>1422.7835693</v>
      </c>
      <c r="H261">
        <v>1398.7351074000001</v>
      </c>
      <c r="I261">
        <v>1191.5802002</v>
      </c>
      <c r="J261">
        <v>1117.3043213000001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35.778787000000001</v>
      </c>
      <c r="B262" s="1">
        <f>DATE(2010,6,5) + TIME(18,41,27)</f>
        <v>40334.778784722221</v>
      </c>
      <c r="C262">
        <v>80</v>
      </c>
      <c r="D262">
        <v>79.943672179999993</v>
      </c>
      <c r="E262">
        <v>50</v>
      </c>
      <c r="F262">
        <v>14.996646881</v>
      </c>
      <c r="G262">
        <v>1422.6877440999999</v>
      </c>
      <c r="H262">
        <v>1398.6374512</v>
      </c>
      <c r="I262">
        <v>1191.5821533000001</v>
      </c>
      <c r="J262">
        <v>1117.3061522999999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36.249505999999997</v>
      </c>
      <c r="B263" s="1">
        <f>DATE(2010,6,6) + TIME(5,59,17)</f>
        <v>40335.249502314815</v>
      </c>
      <c r="C263">
        <v>80</v>
      </c>
      <c r="D263">
        <v>79.943725585999999</v>
      </c>
      <c r="E263">
        <v>50</v>
      </c>
      <c r="F263">
        <v>14.996668816</v>
      </c>
      <c r="G263">
        <v>1422.5917969</v>
      </c>
      <c r="H263">
        <v>1398.5396728999999</v>
      </c>
      <c r="I263">
        <v>1191.5841064000001</v>
      </c>
      <c r="J263">
        <v>1117.3081055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36.728552000000001</v>
      </c>
      <c r="B264" s="1">
        <f>DATE(2010,6,6) + TIME(17,29,6)</f>
        <v>40335.728541666664</v>
      </c>
      <c r="C264">
        <v>80</v>
      </c>
      <c r="D264">
        <v>79.943786621000001</v>
      </c>
      <c r="E264">
        <v>50</v>
      </c>
      <c r="F264">
        <v>14.996690750000001</v>
      </c>
      <c r="G264">
        <v>1422.4954834</v>
      </c>
      <c r="H264">
        <v>1398.4416504000001</v>
      </c>
      <c r="I264">
        <v>1191.5860596</v>
      </c>
      <c r="J264">
        <v>1117.3100586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37.214184000000003</v>
      </c>
      <c r="B265" s="1">
        <f>DATE(2010,6,7) + TIME(5,8,25)</f>
        <v>40336.214178240742</v>
      </c>
      <c r="C265">
        <v>80</v>
      </c>
      <c r="D265">
        <v>79.943840026999993</v>
      </c>
      <c r="E265">
        <v>50</v>
      </c>
      <c r="F265">
        <v>14.996712685</v>
      </c>
      <c r="G265">
        <v>1422.3990478999999</v>
      </c>
      <c r="H265">
        <v>1398.3435059000001</v>
      </c>
      <c r="I265">
        <v>1191.5880127</v>
      </c>
      <c r="J265">
        <v>1117.3120117000001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37.457233000000002</v>
      </c>
      <c r="B266" s="1">
        <f>DATE(2010,6,7) + TIME(10,58,24)</f>
        <v>40336.45722222222</v>
      </c>
      <c r="C266">
        <v>80</v>
      </c>
      <c r="D266">
        <v>79.943862914999997</v>
      </c>
      <c r="E266">
        <v>50</v>
      </c>
      <c r="F266">
        <v>14.996727943</v>
      </c>
      <c r="G266">
        <v>1422.3023682</v>
      </c>
      <c r="H266">
        <v>1398.2451172000001</v>
      </c>
      <c r="I266">
        <v>1191.5899658000001</v>
      </c>
      <c r="J266">
        <v>1117.3139647999999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37.700282999999999</v>
      </c>
      <c r="B267" s="1">
        <f>DATE(2010,6,7) + TIME(16,48,24)</f>
        <v>40336.700277777774</v>
      </c>
      <c r="C267">
        <v>80</v>
      </c>
      <c r="D267">
        <v>79.943893433</v>
      </c>
      <c r="E267">
        <v>50</v>
      </c>
      <c r="F267">
        <v>14.996741295</v>
      </c>
      <c r="G267">
        <v>1422.2536620999999</v>
      </c>
      <c r="H267">
        <v>1398.1956786999999</v>
      </c>
      <c r="I267">
        <v>1191.5909423999999</v>
      </c>
      <c r="J267">
        <v>1117.3149414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37.943331999999998</v>
      </c>
      <c r="B268" s="1">
        <f>DATE(2010,6,7) + TIME(22,38,23)</f>
        <v>40336.94332175926</v>
      </c>
      <c r="C268">
        <v>80</v>
      </c>
      <c r="D268">
        <v>79.943923949999999</v>
      </c>
      <c r="E268">
        <v>50</v>
      </c>
      <c r="F268">
        <v>14.996753693</v>
      </c>
      <c r="G268">
        <v>1422.2062988</v>
      </c>
      <c r="H268">
        <v>1398.1475829999999</v>
      </c>
      <c r="I268">
        <v>1191.5919189000001</v>
      </c>
      <c r="J268">
        <v>1117.315918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38.186380999999997</v>
      </c>
      <c r="B269" s="1">
        <f>DATE(2010,6,8) + TIME(4,28,23)</f>
        <v>40337.186377314814</v>
      </c>
      <c r="C269">
        <v>80</v>
      </c>
      <c r="D269">
        <v>79.943946838000002</v>
      </c>
      <c r="E269">
        <v>50</v>
      </c>
      <c r="F269">
        <v>14.996765137000001</v>
      </c>
      <c r="G269">
        <v>1422.1593018000001</v>
      </c>
      <c r="H269">
        <v>1398.0997314000001</v>
      </c>
      <c r="I269">
        <v>1191.5928954999999</v>
      </c>
      <c r="J269">
        <v>1117.3168945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38.429430000000004</v>
      </c>
      <c r="B270" s="1">
        <f>DATE(2010,6,8) + TIME(10,18,22)</f>
        <v>40337.4294212963</v>
      </c>
      <c r="C270">
        <v>80</v>
      </c>
      <c r="D270">
        <v>79.943977356000005</v>
      </c>
      <c r="E270">
        <v>50</v>
      </c>
      <c r="F270">
        <v>14.996776581000001</v>
      </c>
      <c r="G270">
        <v>1422.112793</v>
      </c>
      <c r="H270">
        <v>1398.0523682</v>
      </c>
      <c r="I270">
        <v>1191.5939940999999</v>
      </c>
      <c r="J270">
        <v>1117.3179932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38.672479000000003</v>
      </c>
      <c r="B271" s="1">
        <f>DATE(2010,6,8) + TIME(16,8,22)</f>
        <v>40337.672476851854</v>
      </c>
      <c r="C271">
        <v>80</v>
      </c>
      <c r="D271">
        <v>79.944007873999993</v>
      </c>
      <c r="E271">
        <v>50</v>
      </c>
      <c r="F271">
        <v>14.996788025000001</v>
      </c>
      <c r="G271">
        <v>1422.0665283000001</v>
      </c>
      <c r="H271">
        <v>1398.0053711</v>
      </c>
      <c r="I271">
        <v>1191.5949707</v>
      </c>
      <c r="J271">
        <v>1117.3189697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39.158577999999999</v>
      </c>
      <c r="B272" s="1">
        <f>DATE(2010,6,9) + TIME(3,48,21)</f>
        <v>40338.158576388887</v>
      </c>
      <c r="C272">
        <v>80</v>
      </c>
      <c r="D272">
        <v>79.944061278999996</v>
      </c>
      <c r="E272">
        <v>50</v>
      </c>
      <c r="F272">
        <v>14.996803284</v>
      </c>
      <c r="G272">
        <v>1422.0213623</v>
      </c>
      <c r="H272">
        <v>1397.9595947</v>
      </c>
      <c r="I272">
        <v>1191.5961914</v>
      </c>
      <c r="J272">
        <v>1117.3201904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39.645316000000001</v>
      </c>
      <c r="B273" s="1">
        <f>DATE(2010,6,9) + TIME(15,29,15)</f>
        <v>40338.645312499997</v>
      </c>
      <c r="C273">
        <v>80</v>
      </c>
      <c r="D273">
        <v>79.944114685000002</v>
      </c>
      <c r="E273">
        <v>50</v>
      </c>
      <c r="F273">
        <v>14.996822356999999</v>
      </c>
      <c r="G273">
        <v>1421.9311522999999</v>
      </c>
      <c r="H273">
        <v>1397.8679199000001</v>
      </c>
      <c r="I273">
        <v>1191.5982666</v>
      </c>
      <c r="J273">
        <v>1117.3222656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40.134700000000002</v>
      </c>
      <c r="B274" s="1">
        <f>DATE(2010,6,10) + TIME(3,13,58)</f>
        <v>40339.134699074071</v>
      </c>
      <c r="C274">
        <v>80</v>
      </c>
      <c r="D274">
        <v>79.944168090999995</v>
      </c>
      <c r="E274">
        <v>50</v>
      </c>
      <c r="F274">
        <v>14.996841431</v>
      </c>
      <c r="G274">
        <v>1421.8416748</v>
      </c>
      <c r="H274">
        <v>1397.7770995999999</v>
      </c>
      <c r="I274">
        <v>1191.6003418</v>
      </c>
      <c r="J274">
        <v>1117.3243408000001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40.627465999999998</v>
      </c>
      <c r="B275" s="1">
        <f>DATE(2010,6,10) + TIME(15,3,33)</f>
        <v>40339.627465277779</v>
      </c>
      <c r="C275">
        <v>80</v>
      </c>
      <c r="D275">
        <v>79.944221497000001</v>
      </c>
      <c r="E275">
        <v>50</v>
      </c>
      <c r="F275">
        <v>14.996861458</v>
      </c>
      <c r="G275">
        <v>1421.7530518000001</v>
      </c>
      <c r="H275">
        <v>1397.6870117000001</v>
      </c>
      <c r="I275">
        <v>1191.6024170000001</v>
      </c>
      <c r="J275">
        <v>1117.3264160000001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41.124367999999997</v>
      </c>
      <c r="B276" s="1">
        <f>DATE(2010,6,11) + TIME(2,59,5)</f>
        <v>40340.124363425923</v>
      </c>
      <c r="C276">
        <v>80</v>
      </c>
      <c r="D276">
        <v>79.944274902000004</v>
      </c>
      <c r="E276">
        <v>50</v>
      </c>
      <c r="F276">
        <v>14.996881484999999</v>
      </c>
      <c r="G276">
        <v>1421.6650391000001</v>
      </c>
      <c r="H276">
        <v>1397.5977783000001</v>
      </c>
      <c r="I276">
        <v>1191.6044922000001</v>
      </c>
      <c r="J276">
        <v>1117.3284911999999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41.626182999999997</v>
      </c>
      <c r="B277" s="1">
        <f>DATE(2010,6,11) + TIME(15,1,42)</f>
        <v>40340.626180555555</v>
      </c>
      <c r="C277">
        <v>80</v>
      </c>
      <c r="D277">
        <v>79.944328307999996</v>
      </c>
      <c r="E277">
        <v>50</v>
      </c>
      <c r="F277">
        <v>14.996901512000001</v>
      </c>
      <c r="G277">
        <v>1421.5775146000001</v>
      </c>
      <c r="H277">
        <v>1397.5090332</v>
      </c>
      <c r="I277">
        <v>1191.6066894999999</v>
      </c>
      <c r="J277">
        <v>1117.3306885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42.133868</v>
      </c>
      <c r="B278" s="1">
        <f>DATE(2010,6,12) + TIME(3,12,46)</f>
        <v>40341.13386574074</v>
      </c>
      <c r="C278">
        <v>80</v>
      </c>
      <c r="D278">
        <v>79.944389342999997</v>
      </c>
      <c r="E278">
        <v>50</v>
      </c>
      <c r="F278">
        <v>14.996921539000001</v>
      </c>
      <c r="G278">
        <v>1421.4904785000001</v>
      </c>
      <c r="H278">
        <v>1397.4207764</v>
      </c>
      <c r="I278">
        <v>1191.6088867000001</v>
      </c>
      <c r="J278">
        <v>1117.3327637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42.648209000000001</v>
      </c>
      <c r="B279" s="1">
        <f>DATE(2010,6,12) + TIME(15,33,25)</f>
        <v>40341.648206018515</v>
      </c>
      <c r="C279">
        <v>80</v>
      </c>
      <c r="D279">
        <v>79.944442749000004</v>
      </c>
      <c r="E279">
        <v>50</v>
      </c>
      <c r="F279">
        <v>14.996941566</v>
      </c>
      <c r="G279">
        <v>1421.4035644999999</v>
      </c>
      <c r="H279">
        <v>1397.3326416</v>
      </c>
      <c r="I279">
        <v>1191.6109618999999</v>
      </c>
      <c r="J279">
        <v>1117.3349608999999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43.170031000000002</v>
      </c>
      <c r="B280" s="1">
        <f>DATE(2010,6,13) + TIME(4,4,50)</f>
        <v>40342.170023148145</v>
      </c>
      <c r="C280">
        <v>80</v>
      </c>
      <c r="D280">
        <v>79.944496154999996</v>
      </c>
      <c r="E280">
        <v>50</v>
      </c>
      <c r="F280">
        <v>14.996961594</v>
      </c>
      <c r="G280">
        <v>1421.3168945</v>
      </c>
      <c r="H280">
        <v>1397.2448730000001</v>
      </c>
      <c r="I280">
        <v>1191.6132812000001</v>
      </c>
      <c r="J280">
        <v>1117.3371582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43.700285000000001</v>
      </c>
      <c r="B281" s="1">
        <f>DATE(2010,6,13) + TIME(16,48,24)</f>
        <v>40342.700277777774</v>
      </c>
      <c r="C281">
        <v>80</v>
      </c>
      <c r="D281">
        <v>79.944557189999998</v>
      </c>
      <c r="E281">
        <v>50</v>
      </c>
      <c r="F281">
        <v>14.996981621</v>
      </c>
      <c r="G281">
        <v>1421.2302245999999</v>
      </c>
      <c r="H281">
        <v>1397.1569824000001</v>
      </c>
      <c r="I281">
        <v>1191.6154785000001</v>
      </c>
      <c r="J281">
        <v>1117.3394774999999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44.239987999999997</v>
      </c>
      <c r="B282" s="1">
        <f>DATE(2010,6,14) + TIME(5,45,34)</f>
        <v>40343.239976851852</v>
      </c>
      <c r="C282">
        <v>80</v>
      </c>
      <c r="D282">
        <v>79.944610596000004</v>
      </c>
      <c r="E282">
        <v>50</v>
      </c>
      <c r="F282">
        <v>14.997001647999999</v>
      </c>
      <c r="G282">
        <v>1421.1434326000001</v>
      </c>
      <c r="H282">
        <v>1397.0690918</v>
      </c>
      <c r="I282">
        <v>1191.6177978999999</v>
      </c>
      <c r="J282">
        <v>1117.3416748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44.790242999999997</v>
      </c>
      <c r="B283" s="1">
        <f>DATE(2010,6,14) + TIME(18,57,57)</f>
        <v>40343.790243055555</v>
      </c>
      <c r="C283">
        <v>80</v>
      </c>
      <c r="D283">
        <v>79.944671631000006</v>
      </c>
      <c r="E283">
        <v>50</v>
      </c>
      <c r="F283">
        <v>14.997021674999999</v>
      </c>
      <c r="G283">
        <v>1421.0562743999999</v>
      </c>
      <c r="H283">
        <v>1396.9808350000001</v>
      </c>
      <c r="I283">
        <v>1191.6201172000001</v>
      </c>
      <c r="J283">
        <v>1117.3441161999999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45.348894000000001</v>
      </c>
      <c r="B284" s="1">
        <f>DATE(2010,6,15) + TIME(8,22,24)</f>
        <v>40344.34888888889</v>
      </c>
      <c r="C284">
        <v>80</v>
      </c>
      <c r="D284">
        <v>79.944732665999993</v>
      </c>
      <c r="E284">
        <v>50</v>
      </c>
      <c r="F284">
        <v>14.997041702000001</v>
      </c>
      <c r="G284">
        <v>1420.96875</v>
      </c>
      <c r="H284">
        <v>1396.8923339999999</v>
      </c>
      <c r="I284">
        <v>1191.6225586</v>
      </c>
      <c r="J284">
        <v>1117.3464355000001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45.629691999999999</v>
      </c>
      <c r="B285" s="1">
        <f>DATE(2010,6,15) + TIME(15,6,45)</f>
        <v>40344.629687499997</v>
      </c>
      <c r="C285">
        <v>80</v>
      </c>
      <c r="D285">
        <v>79.944755553999997</v>
      </c>
      <c r="E285">
        <v>50</v>
      </c>
      <c r="F285">
        <v>14.997056006999999</v>
      </c>
      <c r="G285">
        <v>1420.8808594</v>
      </c>
      <c r="H285">
        <v>1396.8033447</v>
      </c>
      <c r="I285">
        <v>1191.6248779</v>
      </c>
      <c r="J285">
        <v>1117.3487548999999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45.910490000000003</v>
      </c>
      <c r="B286" s="1">
        <f>DATE(2010,6,15) + TIME(21,51,6)</f>
        <v>40344.910486111112</v>
      </c>
      <c r="C286">
        <v>80</v>
      </c>
      <c r="D286">
        <v>79.944793700999995</v>
      </c>
      <c r="E286">
        <v>50</v>
      </c>
      <c r="F286">
        <v>14.997068405</v>
      </c>
      <c r="G286">
        <v>1420.8364257999999</v>
      </c>
      <c r="H286">
        <v>1396.7584228999999</v>
      </c>
      <c r="I286">
        <v>1191.6260986</v>
      </c>
      <c r="J286">
        <v>1117.3499756000001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46.191287000000003</v>
      </c>
      <c r="B287" s="1">
        <f>DATE(2010,6,16) + TIME(4,35,27)</f>
        <v>40345.191284722219</v>
      </c>
      <c r="C287">
        <v>80</v>
      </c>
      <c r="D287">
        <v>79.944824218999997</v>
      </c>
      <c r="E287">
        <v>50</v>
      </c>
      <c r="F287">
        <v>14.997079849</v>
      </c>
      <c r="G287">
        <v>1420.7930908000001</v>
      </c>
      <c r="H287">
        <v>1396.7145995999999</v>
      </c>
      <c r="I287">
        <v>1191.6273193</v>
      </c>
      <c r="J287">
        <v>1117.3511963000001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46.472085</v>
      </c>
      <c r="B288" s="1">
        <f>DATE(2010,6,16) + TIME(11,19,48)</f>
        <v>40345.472083333334</v>
      </c>
      <c r="C288">
        <v>80</v>
      </c>
      <c r="D288">
        <v>79.944854735999996</v>
      </c>
      <c r="E288">
        <v>50</v>
      </c>
      <c r="F288">
        <v>14.99709034</v>
      </c>
      <c r="G288">
        <v>1420.7501221</v>
      </c>
      <c r="H288">
        <v>1396.6711425999999</v>
      </c>
      <c r="I288">
        <v>1191.6285399999999</v>
      </c>
      <c r="J288">
        <v>1117.3524170000001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46.752882</v>
      </c>
      <c r="B289" s="1">
        <f>DATE(2010,6,16) + TIME(18,4,9)</f>
        <v>40345.752881944441</v>
      </c>
      <c r="C289">
        <v>80</v>
      </c>
      <c r="D289">
        <v>79.944877625000004</v>
      </c>
      <c r="E289">
        <v>50</v>
      </c>
      <c r="F289">
        <v>14.997100830000001</v>
      </c>
      <c r="G289">
        <v>1420.7075195</v>
      </c>
      <c r="H289">
        <v>1396.6280518000001</v>
      </c>
      <c r="I289">
        <v>1191.6297606999999</v>
      </c>
      <c r="J289">
        <v>1117.3536377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47.033679999999997</v>
      </c>
      <c r="B290" s="1">
        <f>DATE(2010,6,17) + TIME(0,48,29)</f>
        <v>40346.033668981479</v>
      </c>
      <c r="C290">
        <v>80</v>
      </c>
      <c r="D290">
        <v>79.944908142000003</v>
      </c>
      <c r="E290">
        <v>50</v>
      </c>
      <c r="F290">
        <v>14.99711132</v>
      </c>
      <c r="G290">
        <v>1420.6651611</v>
      </c>
      <c r="H290">
        <v>1396.5852050999999</v>
      </c>
      <c r="I290">
        <v>1191.6311035000001</v>
      </c>
      <c r="J290">
        <v>1117.3548584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47.314476999999997</v>
      </c>
      <c r="B291" s="1">
        <f>DATE(2010,6,17) + TIME(7,32,50)</f>
        <v>40346.314467592594</v>
      </c>
      <c r="C291">
        <v>80</v>
      </c>
      <c r="D291">
        <v>79.944938660000005</v>
      </c>
      <c r="E291">
        <v>50</v>
      </c>
      <c r="F291">
        <v>14.997120857000001</v>
      </c>
      <c r="G291">
        <v>1420.6231689000001</v>
      </c>
      <c r="H291">
        <v>1396.5427245999999</v>
      </c>
      <c r="I291">
        <v>1191.6323242000001</v>
      </c>
      <c r="J291">
        <v>1117.3560791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47.595275000000001</v>
      </c>
      <c r="B292" s="1">
        <f>DATE(2010,6,17) + TIME(14,17,11)</f>
        <v>40346.595266203702</v>
      </c>
      <c r="C292">
        <v>80</v>
      </c>
      <c r="D292">
        <v>79.944969177000004</v>
      </c>
      <c r="E292">
        <v>50</v>
      </c>
      <c r="F292">
        <v>14.997131348</v>
      </c>
      <c r="G292">
        <v>1420.5814209</v>
      </c>
      <c r="H292">
        <v>1396.5006103999999</v>
      </c>
      <c r="I292">
        <v>1191.6335449000001</v>
      </c>
      <c r="J292">
        <v>1117.3574219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48.156869999999998</v>
      </c>
      <c r="B293" s="1">
        <f>DATE(2010,6,18) + TIME(3,45,53)</f>
        <v>40347.156863425924</v>
      </c>
      <c r="C293">
        <v>80</v>
      </c>
      <c r="D293">
        <v>79.945030212000006</v>
      </c>
      <c r="E293">
        <v>50</v>
      </c>
      <c r="F293">
        <v>14.997144699</v>
      </c>
      <c r="G293">
        <v>1420.5406493999999</v>
      </c>
      <c r="H293">
        <v>1396.4593506000001</v>
      </c>
      <c r="I293">
        <v>1191.6350098</v>
      </c>
      <c r="J293">
        <v>1117.3587646000001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48.719450999999999</v>
      </c>
      <c r="B294" s="1">
        <f>DATE(2010,6,18) + TIME(17,16,0)</f>
        <v>40347.719444444447</v>
      </c>
      <c r="C294">
        <v>80</v>
      </c>
      <c r="D294">
        <v>79.945091247999997</v>
      </c>
      <c r="E294">
        <v>50</v>
      </c>
      <c r="F294">
        <v>14.997161865000001</v>
      </c>
      <c r="G294">
        <v>1420.4591064000001</v>
      </c>
      <c r="H294">
        <v>1396.3770752</v>
      </c>
      <c r="I294">
        <v>1191.6375731999999</v>
      </c>
      <c r="J294">
        <v>1117.3613281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49.285732000000003</v>
      </c>
      <c r="B295" s="1">
        <f>DATE(2010,6,19) + TIME(6,51,27)</f>
        <v>40348.285729166666</v>
      </c>
      <c r="C295">
        <v>80</v>
      </c>
      <c r="D295">
        <v>79.945144653</v>
      </c>
      <c r="E295">
        <v>50</v>
      </c>
      <c r="F295">
        <v>14.997179031</v>
      </c>
      <c r="G295">
        <v>1420.3780518000001</v>
      </c>
      <c r="H295">
        <v>1396.2952881000001</v>
      </c>
      <c r="I295">
        <v>1191.6400146000001</v>
      </c>
      <c r="J295">
        <v>1117.3637695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49.856565000000003</v>
      </c>
      <c r="B296" s="1">
        <f>DATE(2010,6,19) + TIME(20,33,27)</f>
        <v>40348.856562499997</v>
      </c>
      <c r="C296">
        <v>80</v>
      </c>
      <c r="D296">
        <v>79.945205688000001</v>
      </c>
      <c r="E296">
        <v>50</v>
      </c>
      <c r="F296">
        <v>14.997197151</v>
      </c>
      <c r="G296">
        <v>1420.2977295000001</v>
      </c>
      <c r="H296">
        <v>1396.2141113</v>
      </c>
      <c r="I296">
        <v>1191.6425781</v>
      </c>
      <c r="J296">
        <v>1117.3663329999999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50.432839999999999</v>
      </c>
      <c r="B297" s="1">
        <f>DATE(2010,6,20) + TIME(10,23,17)</f>
        <v>40349.432835648149</v>
      </c>
      <c r="C297">
        <v>80</v>
      </c>
      <c r="D297">
        <v>79.945266724000007</v>
      </c>
      <c r="E297">
        <v>50</v>
      </c>
      <c r="F297">
        <v>14.997216225000001</v>
      </c>
      <c r="G297">
        <v>1420.2176514</v>
      </c>
      <c r="H297">
        <v>1396.1334228999999</v>
      </c>
      <c r="I297">
        <v>1191.6451416</v>
      </c>
      <c r="J297">
        <v>1117.3688964999999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51.015610000000002</v>
      </c>
      <c r="B298" s="1">
        <f>DATE(2010,6,21) + TIME(0,22,28)</f>
        <v>40350.015601851854</v>
      </c>
      <c r="C298">
        <v>80</v>
      </c>
      <c r="D298">
        <v>79.945327758999994</v>
      </c>
      <c r="E298">
        <v>50</v>
      </c>
      <c r="F298">
        <v>14.997234344000001</v>
      </c>
      <c r="G298">
        <v>1420.1380615</v>
      </c>
      <c r="H298">
        <v>1396.0531006000001</v>
      </c>
      <c r="I298">
        <v>1191.6478271000001</v>
      </c>
      <c r="J298">
        <v>1117.3714600000001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51.605854999999998</v>
      </c>
      <c r="B299" s="1">
        <f>DATE(2010,6,21) + TIME(14,32,25)</f>
        <v>40350.605844907404</v>
      </c>
      <c r="C299">
        <v>80</v>
      </c>
      <c r="D299">
        <v>79.945381165000001</v>
      </c>
      <c r="E299">
        <v>50</v>
      </c>
      <c r="F299">
        <v>14.997252464000001</v>
      </c>
      <c r="G299">
        <v>1420.0585937999999</v>
      </c>
      <c r="H299">
        <v>1395.9729004000001</v>
      </c>
      <c r="I299">
        <v>1191.6503906</v>
      </c>
      <c r="J299">
        <v>1117.3740233999999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52.204475000000002</v>
      </c>
      <c r="B300" s="1">
        <f>DATE(2010,6,22) + TIME(4,54,26)</f>
        <v>40351.204467592594</v>
      </c>
      <c r="C300">
        <v>80</v>
      </c>
      <c r="D300">
        <v>79.945442200000002</v>
      </c>
      <c r="E300">
        <v>50</v>
      </c>
      <c r="F300">
        <v>14.997271538</v>
      </c>
      <c r="G300">
        <v>1419.9792480000001</v>
      </c>
      <c r="H300">
        <v>1395.8929443</v>
      </c>
      <c r="I300">
        <v>1191.6530762</v>
      </c>
      <c r="J300">
        <v>1117.3767089999999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52.812553999999999</v>
      </c>
      <c r="B301" s="1">
        <f>DATE(2010,6,22) + TIME(19,30,4)</f>
        <v>40351.8125462963</v>
      </c>
      <c r="C301">
        <v>80</v>
      </c>
      <c r="D301">
        <v>79.945510863999999</v>
      </c>
      <c r="E301">
        <v>50</v>
      </c>
      <c r="F301">
        <v>14.997289658</v>
      </c>
      <c r="G301">
        <v>1419.8997803</v>
      </c>
      <c r="H301">
        <v>1395.8128661999999</v>
      </c>
      <c r="I301">
        <v>1191.6558838000001</v>
      </c>
      <c r="J301">
        <v>1117.3795166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53.431252999999998</v>
      </c>
      <c r="B302" s="1">
        <f>DATE(2010,6,23) + TIME(10,21,0)</f>
        <v>40352.431250000001</v>
      </c>
      <c r="C302">
        <v>80</v>
      </c>
      <c r="D302">
        <v>79.945571899000001</v>
      </c>
      <c r="E302">
        <v>50</v>
      </c>
      <c r="F302">
        <v>14.997307777</v>
      </c>
      <c r="G302">
        <v>1419.8201904</v>
      </c>
      <c r="H302">
        <v>1395.7326660000001</v>
      </c>
      <c r="I302">
        <v>1191.6586914</v>
      </c>
      <c r="J302">
        <v>1117.3822021000001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54.061757999999998</v>
      </c>
      <c r="B303" s="1">
        <f>DATE(2010,6,24) + TIME(1,28,55)</f>
        <v>40353.061747685184</v>
      </c>
      <c r="C303">
        <v>80</v>
      </c>
      <c r="D303">
        <v>79.945632935000006</v>
      </c>
      <c r="E303">
        <v>50</v>
      </c>
      <c r="F303">
        <v>14.997326851</v>
      </c>
      <c r="G303">
        <v>1419.7403564000001</v>
      </c>
      <c r="H303">
        <v>1395.6522216999999</v>
      </c>
      <c r="I303">
        <v>1191.661499</v>
      </c>
      <c r="J303">
        <v>1117.3850098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54.379987</v>
      </c>
      <c r="B304" s="1">
        <f>DATE(2010,6,24) + TIME(9,7,10)</f>
        <v>40353.379976851851</v>
      </c>
      <c r="C304">
        <v>80</v>
      </c>
      <c r="D304">
        <v>79.945663452000005</v>
      </c>
      <c r="E304">
        <v>50</v>
      </c>
      <c r="F304">
        <v>14.997340202</v>
      </c>
      <c r="G304">
        <v>1419.6597899999999</v>
      </c>
      <c r="H304">
        <v>1395.5711670000001</v>
      </c>
      <c r="I304">
        <v>1191.6643065999999</v>
      </c>
      <c r="J304">
        <v>1117.3878173999999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54.698217</v>
      </c>
      <c r="B305" s="1">
        <f>DATE(2010,6,24) + TIME(16,45,25)</f>
        <v>40353.698206018518</v>
      </c>
      <c r="C305">
        <v>80</v>
      </c>
      <c r="D305">
        <v>79.945693969999994</v>
      </c>
      <c r="E305">
        <v>50</v>
      </c>
      <c r="F305">
        <v>14.997351646</v>
      </c>
      <c r="G305">
        <v>1419.6187743999999</v>
      </c>
      <c r="H305">
        <v>1395.5299072</v>
      </c>
      <c r="I305">
        <v>1191.6657714999999</v>
      </c>
      <c r="J305">
        <v>1117.3891602000001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55.016446000000002</v>
      </c>
      <c r="B306" s="1">
        <f>DATE(2010,6,25) + TIME(0,23,40)</f>
        <v>40354.016435185185</v>
      </c>
      <c r="C306">
        <v>80</v>
      </c>
      <c r="D306">
        <v>79.945732117000006</v>
      </c>
      <c r="E306">
        <v>50</v>
      </c>
      <c r="F306">
        <v>14.997362137</v>
      </c>
      <c r="G306">
        <v>1419.5788574000001</v>
      </c>
      <c r="H306">
        <v>1395.4897461</v>
      </c>
      <c r="I306">
        <v>1191.6672363</v>
      </c>
      <c r="J306">
        <v>1117.390625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55.334674999999997</v>
      </c>
      <c r="B307" s="1">
        <f>DATE(2010,6,25) + TIME(8,1,55)</f>
        <v>40354.334664351853</v>
      </c>
      <c r="C307">
        <v>80</v>
      </c>
      <c r="D307">
        <v>79.945762634000005</v>
      </c>
      <c r="E307">
        <v>50</v>
      </c>
      <c r="F307">
        <v>14.997371674</v>
      </c>
      <c r="G307">
        <v>1419.5393065999999</v>
      </c>
      <c r="H307">
        <v>1395.4498291</v>
      </c>
      <c r="I307">
        <v>1191.6687012</v>
      </c>
      <c r="J307">
        <v>1117.3920897999999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55.652903999999999</v>
      </c>
      <c r="B308" s="1">
        <f>DATE(2010,6,25) + TIME(15,40,10)</f>
        <v>40354.65289351852</v>
      </c>
      <c r="C308">
        <v>80</v>
      </c>
      <c r="D308">
        <v>79.945793151999993</v>
      </c>
      <c r="E308">
        <v>50</v>
      </c>
      <c r="F308">
        <v>14.99738121</v>
      </c>
      <c r="G308">
        <v>1419.4998779</v>
      </c>
      <c r="H308">
        <v>1395.4102783000001</v>
      </c>
      <c r="I308">
        <v>1191.6701660000001</v>
      </c>
      <c r="J308">
        <v>1117.3935547000001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55.971133000000002</v>
      </c>
      <c r="B309" s="1">
        <f>DATE(2010,6,25) + TIME(23,18,25)</f>
        <v>40354.971122685187</v>
      </c>
      <c r="C309">
        <v>80</v>
      </c>
      <c r="D309">
        <v>79.945823669000006</v>
      </c>
      <c r="E309">
        <v>50</v>
      </c>
      <c r="F309">
        <v>14.997390747000001</v>
      </c>
      <c r="G309">
        <v>1419.4608154</v>
      </c>
      <c r="H309">
        <v>1395.3708495999999</v>
      </c>
      <c r="I309">
        <v>1191.6716309000001</v>
      </c>
      <c r="J309">
        <v>1117.3951416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56.289361999999997</v>
      </c>
      <c r="B310" s="1">
        <f>DATE(2010,6,26) + TIME(6,56,40)</f>
        <v>40355.289351851854</v>
      </c>
      <c r="C310">
        <v>80</v>
      </c>
      <c r="D310">
        <v>79.945854186999995</v>
      </c>
      <c r="E310">
        <v>50</v>
      </c>
      <c r="F310">
        <v>14.997400283999999</v>
      </c>
      <c r="G310">
        <v>1419.4219971</v>
      </c>
      <c r="H310">
        <v>1395.3317870999999</v>
      </c>
      <c r="I310">
        <v>1191.6730957</v>
      </c>
      <c r="J310">
        <v>1117.3966064000001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56.607590999999999</v>
      </c>
      <c r="B311" s="1">
        <f>DATE(2010,6,26) + TIME(14,34,55)</f>
        <v>40355.607581018521</v>
      </c>
      <c r="C311">
        <v>80</v>
      </c>
      <c r="D311">
        <v>79.945892334000007</v>
      </c>
      <c r="E311">
        <v>50</v>
      </c>
      <c r="F311">
        <v>14.997408867000001</v>
      </c>
      <c r="G311">
        <v>1419.3834228999999</v>
      </c>
      <c r="H311">
        <v>1395.2930908000001</v>
      </c>
      <c r="I311">
        <v>1191.6746826000001</v>
      </c>
      <c r="J311">
        <v>1117.3980713000001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56.925820000000002</v>
      </c>
      <c r="B312" s="1">
        <f>DATE(2010,6,26) + TIME(22,13,10)</f>
        <v>40355.925810185188</v>
      </c>
      <c r="C312">
        <v>80</v>
      </c>
      <c r="D312">
        <v>79.945922851999995</v>
      </c>
      <c r="E312">
        <v>50</v>
      </c>
      <c r="F312">
        <v>14.99741745</v>
      </c>
      <c r="G312">
        <v>1419.3450928</v>
      </c>
      <c r="H312">
        <v>1395.2545166</v>
      </c>
      <c r="I312">
        <v>1191.6761475000001</v>
      </c>
      <c r="J312">
        <v>1117.3995361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57.562278999999997</v>
      </c>
      <c r="B313" s="1">
        <f>DATE(2010,6,27) + TIME(13,29,40)</f>
        <v>40356.562268518515</v>
      </c>
      <c r="C313">
        <v>80</v>
      </c>
      <c r="D313">
        <v>79.945983886999997</v>
      </c>
      <c r="E313">
        <v>50</v>
      </c>
      <c r="F313">
        <v>14.997429847999999</v>
      </c>
      <c r="G313">
        <v>1419.3077393000001</v>
      </c>
      <c r="H313">
        <v>1395.2169189000001</v>
      </c>
      <c r="I313">
        <v>1191.6778564000001</v>
      </c>
      <c r="J313">
        <v>1117.4012451000001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58.198936000000003</v>
      </c>
      <c r="B314" s="1">
        <f>DATE(2010,6,28) + TIME(4,46,28)</f>
        <v>40357.198935185188</v>
      </c>
      <c r="C314">
        <v>80</v>
      </c>
      <c r="D314">
        <v>79.946044921999999</v>
      </c>
      <c r="E314">
        <v>50</v>
      </c>
      <c r="F314">
        <v>14.997445107000001</v>
      </c>
      <c r="G314">
        <v>1419.2327881000001</v>
      </c>
      <c r="H314">
        <v>1395.1416016000001</v>
      </c>
      <c r="I314">
        <v>1191.6809082</v>
      </c>
      <c r="J314">
        <v>1117.4041748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58.840021</v>
      </c>
      <c r="B315" s="1">
        <f>DATE(2010,6,28) + TIME(20,9,37)</f>
        <v>40357.840011574073</v>
      </c>
      <c r="C315">
        <v>80</v>
      </c>
      <c r="D315">
        <v>79.946113585999996</v>
      </c>
      <c r="E315">
        <v>50</v>
      </c>
      <c r="F315">
        <v>14.997462273</v>
      </c>
      <c r="G315">
        <v>1419.1585693</v>
      </c>
      <c r="H315">
        <v>1395.0670166</v>
      </c>
      <c r="I315">
        <v>1191.6838379000001</v>
      </c>
      <c r="J315">
        <v>1117.4072266000001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59.486500999999997</v>
      </c>
      <c r="B316" s="1">
        <f>DATE(2010,6,29) + TIME(11,40,33)</f>
        <v>40358.486493055556</v>
      </c>
      <c r="C316">
        <v>80</v>
      </c>
      <c r="D316">
        <v>79.946174622000001</v>
      </c>
      <c r="E316">
        <v>50</v>
      </c>
      <c r="F316">
        <v>14.997478485</v>
      </c>
      <c r="G316">
        <v>1419.0845947</v>
      </c>
      <c r="H316">
        <v>1394.9926757999999</v>
      </c>
      <c r="I316">
        <v>1191.6868896000001</v>
      </c>
      <c r="J316">
        <v>1117.4101562000001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60.139392999999998</v>
      </c>
      <c r="B317" s="1">
        <f>DATE(2010,6,30) + TIME(3,20,43)</f>
        <v>40359.139386574076</v>
      </c>
      <c r="C317">
        <v>80</v>
      </c>
      <c r="D317">
        <v>79.946235657000003</v>
      </c>
      <c r="E317">
        <v>50</v>
      </c>
      <c r="F317">
        <v>14.997495650999999</v>
      </c>
      <c r="G317">
        <v>1419.0109863</v>
      </c>
      <c r="H317">
        <v>1394.9188231999999</v>
      </c>
      <c r="I317">
        <v>1191.6900635</v>
      </c>
      <c r="J317">
        <v>1117.4132079999999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60.800035000000001</v>
      </c>
      <c r="B318" s="1">
        <f>DATE(2010,6,30) + TIME(19,12,3)</f>
        <v>40359.800034722219</v>
      </c>
      <c r="C318">
        <v>80</v>
      </c>
      <c r="D318">
        <v>79.946304321</v>
      </c>
      <c r="E318">
        <v>50</v>
      </c>
      <c r="F318">
        <v>14.997512817</v>
      </c>
      <c r="G318">
        <v>1418.9376221</v>
      </c>
      <c r="H318">
        <v>1394.8452147999999</v>
      </c>
      <c r="I318">
        <v>1191.6931152</v>
      </c>
      <c r="J318">
        <v>1117.4163818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61</v>
      </c>
      <c r="B319" s="1">
        <f>DATE(2010,7,1) + TIME(0,0,0)</f>
        <v>40360</v>
      </c>
      <c r="C319">
        <v>80</v>
      </c>
      <c r="D319">
        <v>79.946319579999994</v>
      </c>
      <c r="E319">
        <v>50</v>
      </c>
      <c r="F319">
        <v>14.9975214</v>
      </c>
      <c r="G319">
        <v>1418.8648682</v>
      </c>
      <c r="H319">
        <v>1394.7720947</v>
      </c>
      <c r="I319">
        <v>1191.6960449000001</v>
      </c>
      <c r="J319">
        <v>1117.4191894999999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61.669263999999998</v>
      </c>
      <c r="B320" s="1">
        <f>DATE(2010,7,1) + TIME(16,3,44)</f>
        <v>40360.669259259259</v>
      </c>
      <c r="C320">
        <v>80</v>
      </c>
      <c r="D320">
        <v>79.946388244999994</v>
      </c>
      <c r="E320">
        <v>50</v>
      </c>
      <c r="F320">
        <v>14.997535706000001</v>
      </c>
      <c r="G320">
        <v>1418.8417969</v>
      </c>
      <c r="H320">
        <v>1394.7489014</v>
      </c>
      <c r="I320">
        <v>1191.6972656</v>
      </c>
      <c r="J320">
        <v>1117.4204102000001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62.351571</v>
      </c>
      <c r="B321" s="1">
        <f>DATE(2010,7,2) + TIME(8,26,15)</f>
        <v>40361.3515625</v>
      </c>
      <c r="C321">
        <v>80</v>
      </c>
      <c r="D321">
        <v>79.946449279999996</v>
      </c>
      <c r="E321">
        <v>50</v>
      </c>
      <c r="F321">
        <v>14.997551917999999</v>
      </c>
      <c r="G321">
        <v>1418.7692870999999</v>
      </c>
      <c r="H321">
        <v>1394.6761475000001</v>
      </c>
      <c r="I321">
        <v>1191.7005615</v>
      </c>
      <c r="J321">
        <v>1117.4235839999999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63.045265000000001</v>
      </c>
      <c r="B322" s="1">
        <f>DATE(2010,7,3) + TIME(1,5,10)</f>
        <v>40362.045254629629</v>
      </c>
      <c r="C322">
        <v>80</v>
      </c>
      <c r="D322">
        <v>79.946517943999993</v>
      </c>
      <c r="E322">
        <v>50</v>
      </c>
      <c r="F322">
        <v>14.997569084</v>
      </c>
      <c r="G322">
        <v>1418.6958007999999</v>
      </c>
      <c r="H322">
        <v>1394.6025391000001</v>
      </c>
      <c r="I322">
        <v>1191.7038574000001</v>
      </c>
      <c r="J322">
        <v>1117.4268798999999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63.751773</v>
      </c>
      <c r="B323" s="1">
        <f>DATE(2010,7,3) + TIME(18,2,33)</f>
        <v>40362.751770833333</v>
      </c>
      <c r="C323">
        <v>80</v>
      </c>
      <c r="D323">
        <v>79.946586608999993</v>
      </c>
      <c r="E323">
        <v>50</v>
      </c>
      <c r="F323">
        <v>14.997586249999999</v>
      </c>
      <c r="G323">
        <v>1418.6220702999999</v>
      </c>
      <c r="H323">
        <v>1394.5285644999999</v>
      </c>
      <c r="I323">
        <v>1191.7072754000001</v>
      </c>
      <c r="J323">
        <v>1117.4302978999999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64.109600999999998</v>
      </c>
      <c r="B324" s="1">
        <f>DATE(2010,7,4) + TIME(2,37,49)</f>
        <v>40363.109594907408</v>
      </c>
      <c r="C324">
        <v>80</v>
      </c>
      <c r="D324">
        <v>79.946617126000007</v>
      </c>
      <c r="E324">
        <v>50</v>
      </c>
      <c r="F324">
        <v>14.997597694</v>
      </c>
      <c r="G324">
        <v>1418.5476074000001</v>
      </c>
      <c r="H324">
        <v>1394.4538574000001</v>
      </c>
      <c r="I324">
        <v>1191.7105713000001</v>
      </c>
      <c r="J324">
        <v>1117.4334716999999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64.467427999999998</v>
      </c>
      <c r="B325" s="1">
        <f>DATE(2010,7,4) + TIME(11,13,5)</f>
        <v>40363.467418981483</v>
      </c>
      <c r="C325">
        <v>80</v>
      </c>
      <c r="D325">
        <v>79.946655273000005</v>
      </c>
      <c r="E325">
        <v>50</v>
      </c>
      <c r="F325">
        <v>14.997609138</v>
      </c>
      <c r="G325">
        <v>1418.5096435999999</v>
      </c>
      <c r="H325">
        <v>1394.4157714999999</v>
      </c>
      <c r="I325">
        <v>1191.7124022999999</v>
      </c>
      <c r="J325">
        <v>1117.4351807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64.825255999999996</v>
      </c>
      <c r="B326" s="1">
        <f>DATE(2010,7,4) + TIME(19,48,22)</f>
        <v>40363.825254629628</v>
      </c>
      <c r="C326">
        <v>80</v>
      </c>
      <c r="D326">
        <v>79.946685790999993</v>
      </c>
      <c r="E326">
        <v>50</v>
      </c>
      <c r="F326">
        <v>14.997618675</v>
      </c>
      <c r="G326">
        <v>1418.4725341999999</v>
      </c>
      <c r="H326">
        <v>1394.3786620999999</v>
      </c>
      <c r="I326">
        <v>1191.7141113</v>
      </c>
      <c r="J326">
        <v>1117.4370117000001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65.183082999999996</v>
      </c>
      <c r="B327" s="1">
        <f>DATE(2010,7,5) + TIME(4,23,38)</f>
        <v>40364.183078703703</v>
      </c>
      <c r="C327">
        <v>80</v>
      </c>
      <c r="D327">
        <v>79.946723938000005</v>
      </c>
      <c r="E327">
        <v>50</v>
      </c>
      <c r="F327">
        <v>14.997627258</v>
      </c>
      <c r="G327">
        <v>1418.4357910000001</v>
      </c>
      <c r="H327">
        <v>1394.3417969</v>
      </c>
      <c r="I327">
        <v>1191.7158202999999</v>
      </c>
      <c r="J327">
        <v>1117.4387207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65.540910999999994</v>
      </c>
      <c r="B328" s="1">
        <f>DATE(2010,7,5) + TIME(12,58,54)</f>
        <v>40364.540902777779</v>
      </c>
      <c r="C328">
        <v>80</v>
      </c>
      <c r="D328">
        <v>79.946754455999994</v>
      </c>
      <c r="E328">
        <v>50</v>
      </c>
      <c r="F328">
        <v>14.997636795</v>
      </c>
      <c r="G328">
        <v>1418.3991699000001</v>
      </c>
      <c r="H328">
        <v>1394.3051757999999</v>
      </c>
      <c r="I328">
        <v>1191.7176514</v>
      </c>
      <c r="J328">
        <v>1117.4404297000001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65.898737999999994</v>
      </c>
      <c r="B329" s="1">
        <f>DATE(2010,7,5) + TIME(21,34,11)</f>
        <v>40364.898738425924</v>
      </c>
      <c r="C329">
        <v>80</v>
      </c>
      <c r="D329">
        <v>79.946792603000006</v>
      </c>
      <c r="E329">
        <v>50</v>
      </c>
      <c r="F329">
        <v>14.997645378</v>
      </c>
      <c r="G329">
        <v>1418.3629149999999</v>
      </c>
      <c r="H329">
        <v>1394.2687988</v>
      </c>
      <c r="I329">
        <v>1191.7194824000001</v>
      </c>
      <c r="J329">
        <v>1117.4422606999999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66.256566000000007</v>
      </c>
      <c r="B330" s="1">
        <f>DATE(2010,7,6) + TIME(6,9,27)</f>
        <v>40365.256562499999</v>
      </c>
      <c r="C330">
        <v>80</v>
      </c>
      <c r="D330">
        <v>79.946823120000005</v>
      </c>
      <c r="E330">
        <v>50</v>
      </c>
      <c r="F330">
        <v>14.997653008</v>
      </c>
      <c r="G330">
        <v>1418.3267822</v>
      </c>
      <c r="H330">
        <v>1394.2326660000001</v>
      </c>
      <c r="I330">
        <v>1191.7211914</v>
      </c>
      <c r="J330">
        <v>1117.4439697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66.614393000000007</v>
      </c>
      <c r="B331" s="1">
        <f>DATE(2010,7,6) + TIME(14,44,43)</f>
        <v>40365.614386574074</v>
      </c>
      <c r="C331">
        <v>80</v>
      </c>
      <c r="D331">
        <v>79.946861267000003</v>
      </c>
      <c r="E331">
        <v>50</v>
      </c>
      <c r="F331">
        <v>14.997661591</v>
      </c>
      <c r="G331">
        <v>1418.2910156</v>
      </c>
      <c r="H331">
        <v>1394.1967772999999</v>
      </c>
      <c r="I331">
        <v>1191.7230225000001</v>
      </c>
      <c r="J331">
        <v>1117.4458007999999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66.972221000000005</v>
      </c>
      <c r="B332" s="1">
        <f>DATE(2010,7,6) + TIME(23,19,59)</f>
        <v>40365.972210648149</v>
      </c>
      <c r="C332">
        <v>80</v>
      </c>
      <c r="D332">
        <v>79.946891785000005</v>
      </c>
      <c r="E332">
        <v>50</v>
      </c>
      <c r="F332">
        <v>14.997670174</v>
      </c>
      <c r="G332">
        <v>1418.2553711</v>
      </c>
      <c r="H332">
        <v>1394.1610106999999</v>
      </c>
      <c r="I332">
        <v>1191.7248535000001</v>
      </c>
      <c r="J332">
        <v>1117.4475098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67.330048000000005</v>
      </c>
      <c r="B333" s="1">
        <f>DATE(2010,7,7) + TIME(7,55,16)</f>
        <v>40366.330046296294</v>
      </c>
      <c r="C333">
        <v>80</v>
      </c>
      <c r="D333">
        <v>79.946929932000003</v>
      </c>
      <c r="E333">
        <v>50</v>
      </c>
      <c r="F333">
        <v>14.997677803</v>
      </c>
      <c r="G333">
        <v>1418.2198486</v>
      </c>
      <c r="H333">
        <v>1394.1256103999999</v>
      </c>
      <c r="I333">
        <v>1191.7266846</v>
      </c>
      <c r="J333">
        <v>1117.4493408000001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68.045704000000001</v>
      </c>
      <c r="B334" s="1">
        <f>DATE(2010,7,8) + TIME(1,5,48)</f>
        <v>40367.045694444445</v>
      </c>
      <c r="C334">
        <v>80</v>
      </c>
      <c r="D334">
        <v>79.946998596</v>
      </c>
      <c r="E334">
        <v>50</v>
      </c>
      <c r="F334">
        <v>14.997689247</v>
      </c>
      <c r="G334">
        <v>1418.1853027</v>
      </c>
      <c r="H334">
        <v>1394.0909423999999</v>
      </c>
      <c r="I334">
        <v>1191.7286377</v>
      </c>
      <c r="J334">
        <v>1117.4512939000001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68.761504000000002</v>
      </c>
      <c r="B335" s="1">
        <f>DATE(2010,7,8) + TIME(18,16,33)</f>
        <v>40367.761493055557</v>
      </c>
      <c r="C335">
        <v>80</v>
      </c>
      <c r="D335">
        <v>79.947059631000002</v>
      </c>
      <c r="E335">
        <v>50</v>
      </c>
      <c r="F335">
        <v>14.997703552000001</v>
      </c>
      <c r="G335">
        <v>1418.1159668</v>
      </c>
      <c r="H335">
        <v>1394.0216064000001</v>
      </c>
      <c r="I335">
        <v>1191.7321777</v>
      </c>
      <c r="J335">
        <v>1117.4548339999999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69.482799</v>
      </c>
      <c r="B336" s="1">
        <f>DATE(2010,7,9) + TIME(11,35,13)</f>
        <v>40368.482789351852</v>
      </c>
      <c r="C336">
        <v>80</v>
      </c>
      <c r="D336">
        <v>79.947128296000002</v>
      </c>
      <c r="E336">
        <v>50</v>
      </c>
      <c r="F336">
        <v>14.997718811</v>
      </c>
      <c r="G336">
        <v>1418.0471190999999</v>
      </c>
      <c r="H336">
        <v>1393.9527588000001</v>
      </c>
      <c r="I336">
        <v>1191.7358397999999</v>
      </c>
      <c r="J336">
        <v>1117.458374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70.210691999999995</v>
      </c>
      <c r="B337" s="1">
        <f>DATE(2010,7,10) + TIME(5,3,23)</f>
        <v>40369.210682870369</v>
      </c>
      <c r="C337">
        <v>80</v>
      </c>
      <c r="D337">
        <v>79.947196959999999</v>
      </c>
      <c r="E337">
        <v>50</v>
      </c>
      <c r="F337">
        <v>14.99773407</v>
      </c>
      <c r="G337">
        <v>1417.9786377</v>
      </c>
      <c r="H337">
        <v>1393.8841553</v>
      </c>
      <c r="I337">
        <v>1191.7395019999999</v>
      </c>
      <c r="J337">
        <v>1117.4620361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70.946509000000006</v>
      </c>
      <c r="B338" s="1">
        <f>DATE(2010,7,10) + TIME(22,42,58)</f>
        <v>40369.946504629632</v>
      </c>
      <c r="C338">
        <v>80</v>
      </c>
      <c r="D338">
        <v>79.947265625</v>
      </c>
      <c r="E338">
        <v>50</v>
      </c>
      <c r="F338">
        <v>14.997749328999999</v>
      </c>
      <c r="G338">
        <v>1417.9102783000001</v>
      </c>
      <c r="H338">
        <v>1393.815918</v>
      </c>
      <c r="I338">
        <v>1191.7432861</v>
      </c>
      <c r="J338">
        <v>1117.4656981999999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71.691503999999995</v>
      </c>
      <c r="B339" s="1">
        <f>DATE(2010,7,11) + TIME(16,35,45)</f>
        <v>40370.691493055558</v>
      </c>
      <c r="C339">
        <v>80</v>
      </c>
      <c r="D339">
        <v>79.947334290000001</v>
      </c>
      <c r="E339">
        <v>50</v>
      </c>
      <c r="F339">
        <v>14.997765541</v>
      </c>
      <c r="G339">
        <v>1417.8420410000001</v>
      </c>
      <c r="H339">
        <v>1393.7476807</v>
      </c>
      <c r="I339">
        <v>1191.7470702999999</v>
      </c>
      <c r="J339">
        <v>1117.4693603999999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72.446805999999995</v>
      </c>
      <c r="B340" s="1">
        <f>DATE(2010,7,12) + TIME(10,43,24)</f>
        <v>40371.446805555555</v>
      </c>
      <c r="C340">
        <v>80</v>
      </c>
      <c r="D340">
        <v>79.947402953999998</v>
      </c>
      <c r="E340">
        <v>50</v>
      </c>
      <c r="F340">
        <v>14.997780799999999</v>
      </c>
      <c r="G340">
        <v>1417.7738036999999</v>
      </c>
      <c r="H340">
        <v>1393.6794434000001</v>
      </c>
      <c r="I340">
        <v>1191.7508545000001</v>
      </c>
      <c r="J340">
        <v>1117.4731445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73.213791000000001</v>
      </c>
      <c r="B341" s="1">
        <f>DATE(2010,7,13) + TIME(5,7,51)</f>
        <v>40372.213784722226</v>
      </c>
      <c r="C341">
        <v>80</v>
      </c>
      <c r="D341">
        <v>79.947471618999998</v>
      </c>
      <c r="E341">
        <v>50</v>
      </c>
      <c r="F341">
        <v>14.997797011999999</v>
      </c>
      <c r="G341">
        <v>1417.7054443</v>
      </c>
      <c r="H341">
        <v>1393.6110839999999</v>
      </c>
      <c r="I341">
        <v>1191.7547606999999</v>
      </c>
      <c r="J341">
        <v>1117.4770507999999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73.993932999999998</v>
      </c>
      <c r="B342" s="1">
        <f>DATE(2010,7,13) + TIME(23,51,15)</f>
        <v>40372.993923611109</v>
      </c>
      <c r="C342">
        <v>80</v>
      </c>
      <c r="D342">
        <v>79.947547912999994</v>
      </c>
      <c r="E342">
        <v>50</v>
      </c>
      <c r="F342">
        <v>14.997812271000001</v>
      </c>
      <c r="G342">
        <v>1417.6368408000001</v>
      </c>
      <c r="H342">
        <v>1393.5424805</v>
      </c>
      <c r="I342">
        <v>1191.7587891000001</v>
      </c>
      <c r="J342">
        <v>1117.480957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74.787676000000005</v>
      </c>
      <c r="B343" s="1">
        <f>DATE(2010,7,14) + TIME(18,54,15)</f>
        <v>40373.787673611114</v>
      </c>
      <c r="C343">
        <v>80</v>
      </c>
      <c r="D343">
        <v>79.947616577000005</v>
      </c>
      <c r="E343">
        <v>50</v>
      </c>
      <c r="F343">
        <v>14.997828483999999</v>
      </c>
      <c r="G343">
        <v>1417.5678711</v>
      </c>
      <c r="H343">
        <v>1393.4736327999999</v>
      </c>
      <c r="I343">
        <v>1191.7629394999999</v>
      </c>
      <c r="J343">
        <v>1117.4849853999999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75.186389000000005</v>
      </c>
      <c r="B344" s="1">
        <f>DATE(2010,7,15) + TIME(4,28,23)</f>
        <v>40374.186377314814</v>
      </c>
      <c r="C344">
        <v>80</v>
      </c>
      <c r="D344">
        <v>79.947654724000003</v>
      </c>
      <c r="E344">
        <v>50</v>
      </c>
      <c r="F344">
        <v>14.997839927999999</v>
      </c>
      <c r="G344">
        <v>1417.4984131000001</v>
      </c>
      <c r="H344">
        <v>1393.4042969</v>
      </c>
      <c r="I344">
        <v>1191.7668457</v>
      </c>
      <c r="J344">
        <v>1117.4888916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75.584909999999994</v>
      </c>
      <c r="B345" s="1">
        <f>DATE(2010,7,15) + TIME(14,2,16)</f>
        <v>40374.584907407407</v>
      </c>
      <c r="C345">
        <v>80</v>
      </c>
      <c r="D345">
        <v>79.947692871000001</v>
      </c>
      <c r="E345">
        <v>50</v>
      </c>
      <c r="F345">
        <v>14.997850418000001</v>
      </c>
      <c r="G345">
        <v>1417.4631348</v>
      </c>
      <c r="H345">
        <v>1393.3690185999999</v>
      </c>
      <c r="I345">
        <v>1191.769043</v>
      </c>
      <c r="J345">
        <v>1117.4909668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75.983327000000003</v>
      </c>
      <c r="B346" s="1">
        <f>DATE(2010,7,15) + TIME(23,35,59)</f>
        <v>40374.98332175926</v>
      </c>
      <c r="C346">
        <v>80</v>
      </c>
      <c r="D346">
        <v>79.947731017999999</v>
      </c>
      <c r="E346">
        <v>50</v>
      </c>
      <c r="F346">
        <v>14.997859001</v>
      </c>
      <c r="G346">
        <v>1417.4287108999999</v>
      </c>
      <c r="H346">
        <v>1393.3347168</v>
      </c>
      <c r="I346">
        <v>1191.7711182</v>
      </c>
      <c r="J346">
        <v>1117.4930420000001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76.381743999999998</v>
      </c>
      <c r="B347" s="1">
        <f>DATE(2010,7,16) + TIME(9,9,42)</f>
        <v>40375.381736111114</v>
      </c>
      <c r="C347">
        <v>80</v>
      </c>
      <c r="D347">
        <v>79.947761536000002</v>
      </c>
      <c r="E347">
        <v>50</v>
      </c>
      <c r="F347">
        <v>14.997867584</v>
      </c>
      <c r="G347">
        <v>1417.3946533000001</v>
      </c>
      <c r="H347">
        <v>1393.3006591999999</v>
      </c>
      <c r="I347">
        <v>1191.7731934000001</v>
      </c>
      <c r="J347">
        <v>1117.4951172000001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76.780161000000007</v>
      </c>
      <c r="B348" s="1">
        <f>DATE(2010,7,16) + TIME(18,43,25)</f>
        <v>40375.780150462961</v>
      </c>
      <c r="C348">
        <v>80</v>
      </c>
      <c r="D348">
        <v>79.947799683</v>
      </c>
      <c r="E348">
        <v>50</v>
      </c>
      <c r="F348">
        <v>14.997875214</v>
      </c>
      <c r="G348">
        <v>1417.3607178</v>
      </c>
      <c r="H348">
        <v>1393.2668457</v>
      </c>
      <c r="I348">
        <v>1191.7753906</v>
      </c>
      <c r="J348">
        <v>1117.4971923999999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77.178578000000002</v>
      </c>
      <c r="B349" s="1">
        <f>DATE(2010,7,17) + TIME(4,17,9)</f>
        <v>40376.178576388891</v>
      </c>
      <c r="C349">
        <v>80</v>
      </c>
      <c r="D349">
        <v>79.947837829999997</v>
      </c>
      <c r="E349">
        <v>50</v>
      </c>
      <c r="F349">
        <v>14.997882842999999</v>
      </c>
      <c r="G349">
        <v>1417.3270264</v>
      </c>
      <c r="H349">
        <v>1393.2332764</v>
      </c>
      <c r="I349">
        <v>1191.7774658000001</v>
      </c>
      <c r="J349">
        <v>1117.4992675999999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77.576993999999999</v>
      </c>
      <c r="B350" s="1">
        <f>DATE(2010,7,17) + TIME(13,50,52)</f>
        <v>40376.576990740738</v>
      </c>
      <c r="C350">
        <v>80</v>
      </c>
      <c r="D350">
        <v>79.947875976999995</v>
      </c>
      <c r="E350">
        <v>50</v>
      </c>
      <c r="F350">
        <v>14.997891426000001</v>
      </c>
      <c r="G350">
        <v>1417.2935791</v>
      </c>
      <c r="H350">
        <v>1393.1998291</v>
      </c>
      <c r="I350">
        <v>1191.7796631000001</v>
      </c>
      <c r="J350">
        <v>1117.5014647999999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77.975410999999994</v>
      </c>
      <c r="B351" s="1">
        <f>DATE(2010,7,17) + TIME(23,24,35)</f>
        <v>40376.975405092591</v>
      </c>
      <c r="C351">
        <v>80</v>
      </c>
      <c r="D351">
        <v>79.947906493999994</v>
      </c>
      <c r="E351">
        <v>50</v>
      </c>
      <c r="F351">
        <v>14.997899055</v>
      </c>
      <c r="G351">
        <v>1417.2602539</v>
      </c>
      <c r="H351">
        <v>1393.166626</v>
      </c>
      <c r="I351">
        <v>1191.7817382999999</v>
      </c>
      <c r="J351">
        <v>1117.5035399999999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78.772244999999998</v>
      </c>
      <c r="B352" s="1">
        <f>DATE(2010,7,18) + TIME(18,32,1)</f>
        <v>40377.772233796299</v>
      </c>
      <c r="C352">
        <v>80</v>
      </c>
      <c r="D352">
        <v>79.947982788000004</v>
      </c>
      <c r="E352">
        <v>50</v>
      </c>
      <c r="F352">
        <v>14.997908592</v>
      </c>
      <c r="G352">
        <v>1417.2276611</v>
      </c>
      <c r="H352">
        <v>1393.1341553</v>
      </c>
      <c r="I352">
        <v>1191.7841797000001</v>
      </c>
      <c r="J352">
        <v>1117.5058594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79.569463999999996</v>
      </c>
      <c r="B353" s="1">
        <f>DATE(2010,7,19) + TIME(13,40,1)</f>
        <v>40378.569456018522</v>
      </c>
      <c r="C353">
        <v>80</v>
      </c>
      <c r="D353">
        <v>79.948051453000005</v>
      </c>
      <c r="E353">
        <v>50</v>
      </c>
      <c r="F353">
        <v>14.997921944</v>
      </c>
      <c r="G353">
        <v>1417.1624756000001</v>
      </c>
      <c r="H353">
        <v>1393.0690918</v>
      </c>
      <c r="I353">
        <v>1191.7884521000001</v>
      </c>
      <c r="J353">
        <v>1117.5100098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80.372181999999995</v>
      </c>
      <c r="B354" s="1">
        <f>DATE(2010,7,20) + TIME(8,55,56)</f>
        <v>40379.372175925928</v>
      </c>
      <c r="C354">
        <v>80</v>
      </c>
      <c r="D354">
        <v>79.948120117000002</v>
      </c>
      <c r="E354">
        <v>50</v>
      </c>
      <c r="F354">
        <v>14.997936249</v>
      </c>
      <c r="G354">
        <v>1417.0976562000001</v>
      </c>
      <c r="H354">
        <v>1393.0043945</v>
      </c>
      <c r="I354">
        <v>1191.7927245999999</v>
      </c>
      <c r="J354">
        <v>1117.5142822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81.181618999999998</v>
      </c>
      <c r="B355" s="1">
        <f>DATE(2010,7,21) + TIME(4,21,31)</f>
        <v>40380.181608796294</v>
      </c>
      <c r="C355">
        <v>80</v>
      </c>
      <c r="D355">
        <v>79.948196410999998</v>
      </c>
      <c r="E355">
        <v>50</v>
      </c>
      <c r="F355">
        <v>14.997950554000001</v>
      </c>
      <c r="G355">
        <v>1417.0330810999999</v>
      </c>
      <c r="H355">
        <v>1392.9400635</v>
      </c>
      <c r="I355">
        <v>1191.7971190999999</v>
      </c>
      <c r="J355">
        <v>1117.5185547000001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81.999121000000002</v>
      </c>
      <c r="B356" s="1">
        <f>DATE(2010,7,21) + TIME(23,58,44)</f>
        <v>40380.999120370368</v>
      </c>
      <c r="C356">
        <v>80</v>
      </c>
      <c r="D356">
        <v>79.948265075999998</v>
      </c>
      <c r="E356">
        <v>50</v>
      </c>
      <c r="F356">
        <v>14.997964859</v>
      </c>
      <c r="G356">
        <v>1416.96875</v>
      </c>
      <c r="H356">
        <v>1392.8759766000001</v>
      </c>
      <c r="I356">
        <v>1191.8016356999999</v>
      </c>
      <c r="J356">
        <v>1117.5229492000001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82.826318999999998</v>
      </c>
      <c r="B357" s="1">
        <f>DATE(2010,7,22) + TIME(19,49,53)</f>
        <v>40381.826307870368</v>
      </c>
      <c r="C357">
        <v>80</v>
      </c>
      <c r="D357">
        <v>79.948341369999994</v>
      </c>
      <c r="E357">
        <v>50</v>
      </c>
      <c r="F357">
        <v>14.997980117999999</v>
      </c>
      <c r="G357">
        <v>1416.9044189000001</v>
      </c>
      <c r="H357">
        <v>1392.8118896000001</v>
      </c>
      <c r="I357">
        <v>1191.8061522999999</v>
      </c>
      <c r="J357">
        <v>1117.5273437999999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83.664338000000001</v>
      </c>
      <c r="B358" s="1">
        <f>DATE(2010,7,23) + TIME(15,56,38)</f>
        <v>40382.6643287037</v>
      </c>
      <c r="C358">
        <v>80</v>
      </c>
      <c r="D358">
        <v>79.948417664000004</v>
      </c>
      <c r="E358">
        <v>50</v>
      </c>
      <c r="F358">
        <v>14.997994423</v>
      </c>
      <c r="G358">
        <v>1416.8402100000001</v>
      </c>
      <c r="H358">
        <v>1392.7479248</v>
      </c>
      <c r="I358">
        <v>1191.8106689000001</v>
      </c>
      <c r="J358">
        <v>1117.5318603999999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84.514685999999998</v>
      </c>
      <c r="B359" s="1">
        <f>DATE(2010,7,24) + TIME(12,21,8)</f>
        <v>40383.514675925922</v>
      </c>
      <c r="C359">
        <v>80</v>
      </c>
      <c r="D359">
        <v>79.948486328000001</v>
      </c>
      <c r="E359">
        <v>50</v>
      </c>
      <c r="F359">
        <v>14.998008728</v>
      </c>
      <c r="G359">
        <v>1416.7757568</v>
      </c>
      <c r="H359">
        <v>1392.6838379000001</v>
      </c>
      <c r="I359">
        <v>1191.8154297000001</v>
      </c>
      <c r="J359">
        <v>1117.536499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85.378973999999999</v>
      </c>
      <c r="B360" s="1">
        <f>DATE(2010,7,25) + TIME(9,5,43)</f>
        <v>40384.378969907404</v>
      </c>
      <c r="C360">
        <v>80</v>
      </c>
      <c r="D360">
        <v>79.948562621999997</v>
      </c>
      <c r="E360">
        <v>50</v>
      </c>
      <c r="F360">
        <v>14.998023987</v>
      </c>
      <c r="G360">
        <v>1416.7111815999999</v>
      </c>
      <c r="H360">
        <v>1392.6195068</v>
      </c>
      <c r="I360">
        <v>1191.8201904</v>
      </c>
      <c r="J360">
        <v>1117.5411377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85.818470000000005</v>
      </c>
      <c r="B361" s="1">
        <f>DATE(2010,7,25) + TIME(19,38,35)</f>
        <v>40384.818460648145</v>
      </c>
      <c r="C361">
        <v>80</v>
      </c>
      <c r="D361">
        <v>79.948600768999995</v>
      </c>
      <c r="E361">
        <v>50</v>
      </c>
      <c r="F361">
        <v>14.998034476999999</v>
      </c>
      <c r="G361">
        <v>1416.6461182</v>
      </c>
      <c r="H361">
        <v>1392.5546875</v>
      </c>
      <c r="I361">
        <v>1191.8248291</v>
      </c>
      <c r="J361">
        <v>1117.5457764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86.257965999999996</v>
      </c>
      <c r="B362" s="1">
        <f>DATE(2010,7,26) + TIME(6,11,28)</f>
        <v>40385.257962962962</v>
      </c>
      <c r="C362">
        <v>80</v>
      </c>
      <c r="D362">
        <v>79.948638915999993</v>
      </c>
      <c r="E362">
        <v>50</v>
      </c>
      <c r="F362">
        <v>14.998044014</v>
      </c>
      <c r="G362">
        <v>1416.6126709</v>
      </c>
      <c r="H362">
        <v>1392.5214844</v>
      </c>
      <c r="I362">
        <v>1191.8273925999999</v>
      </c>
      <c r="J362">
        <v>1117.5482178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86.697462999999999</v>
      </c>
      <c r="B363" s="1">
        <f>DATE(2010,7,26) + TIME(16,44,20)</f>
        <v>40385.697453703702</v>
      </c>
      <c r="C363">
        <v>80</v>
      </c>
      <c r="D363">
        <v>79.948677063000005</v>
      </c>
      <c r="E363">
        <v>50</v>
      </c>
      <c r="F363">
        <v>14.998052596999999</v>
      </c>
      <c r="G363">
        <v>1416.5800781</v>
      </c>
      <c r="H363">
        <v>1392.4890137</v>
      </c>
      <c r="I363">
        <v>1191.8298339999999</v>
      </c>
      <c r="J363">
        <v>1117.5506591999999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87.136959000000004</v>
      </c>
      <c r="B364" s="1">
        <f>DATE(2010,7,27) + TIME(3,17,13)</f>
        <v>40386.136956018519</v>
      </c>
      <c r="C364">
        <v>80</v>
      </c>
      <c r="D364">
        <v>79.948715210000003</v>
      </c>
      <c r="E364">
        <v>50</v>
      </c>
      <c r="F364">
        <v>14.998060226</v>
      </c>
      <c r="G364">
        <v>1416.5477295000001</v>
      </c>
      <c r="H364">
        <v>1392.4566649999999</v>
      </c>
      <c r="I364">
        <v>1191.8323975000001</v>
      </c>
      <c r="J364">
        <v>1117.5531006000001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87.576454999999996</v>
      </c>
      <c r="B365" s="1">
        <f>DATE(2010,7,27) + TIME(13,50,5)</f>
        <v>40386.57644675926</v>
      </c>
      <c r="C365">
        <v>80</v>
      </c>
      <c r="D365">
        <v>79.948753357000001</v>
      </c>
      <c r="E365">
        <v>50</v>
      </c>
      <c r="F365">
        <v>14.998067856</v>
      </c>
      <c r="G365">
        <v>1416.5155029</v>
      </c>
      <c r="H365">
        <v>1392.4246826000001</v>
      </c>
      <c r="I365">
        <v>1191.8348389</v>
      </c>
      <c r="J365">
        <v>1117.5555420000001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88.015951999999999</v>
      </c>
      <c r="B366" s="1">
        <f>DATE(2010,7,28) + TIME(0,22,58)</f>
        <v>40387.015949074077</v>
      </c>
      <c r="C366">
        <v>80</v>
      </c>
      <c r="D366">
        <v>79.948791503999999</v>
      </c>
      <c r="E366">
        <v>50</v>
      </c>
      <c r="F366">
        <v>14.998075484999999</v>
      </c>
      <c r="G366">
        <v>1416.4835204999999</v>
      </c>
      <c r="H366">
        <v>1392.3928223</v>
      </c>
      <c r="I366">
        <v>1191.8374022999999</v>
      </c>
      <c r="J366">
        <v>1117.5581055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88.455448000000004</v>
      </c>
      <c r="B367" s="1">
        <f>DATE(2010,7,28) + TIME(10,55,50)</f>
        <v>40387.455439814818</v>
      </c>
      <c r="C367">
        <v>80</v>
      </c>
      <c r="D367">
        <v>79.948829650999997</v>
      </c>
      <c r="E367">
        <v>50</v>
      </c>
      <c r="F367">
        <v>14.998082160999999</v>
      </c>
      <c r="G367">
        <v>1416.4516602000001</v>
      </c>
      <c r="H367">
        <v>1392.3610839999999</v>
      </c>
      <c r="I367">
        <v>1191.8399658000001</v>
      </c>
      <c r="J367">
        <v>1117.5605469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88.894943999999995</v>
      </c>
      <c r="B368" s="1">
        <f>DATE(2010,7,28) + TIME(21,28,43)</f>
        <v>40387.894942129627</v>
      </c>
      <c r="C368">
        <v>80</v>
      </c>
      <c r="D368">
        <v>79.948867797999995</v>
      </c>
      <c r="E368">
        <v>50</v>
      </c>
      <c r="F368">
        <v>14.99808979</v>
      </c>
      <c r="G368">
        <v>1416.4199219</v>
      </c>
      <c r="H368">
        <v>1392.3295897999999</v>
      </c>
      <c r="I368">
        <v>1191.8425293</v>
      </c>
      <c r="J368">
        <v>1117.5629882999999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89.334440000000001</v>
      </c>
      <c r="B369" s="1">
        <f>DATE(2010,7,29) + TIME(8,1,35)</f>
        <v>40388.334432870368</v>
      </c>
      <c r="C369">
        <v>80</v>
      </c>
      <c r="D369">
        <v>79.948905945000007</v>
      </c>
      <c r="E369">
        <v>50</v>
      </c>
      <c r="F369">
        <v>14.998096466</v>
      </c>
      <c r="G369">
        <v>1416.3884277</v>
      </c>
      <c r="H369">
        <v>1392.2982178</v>
      </c>
      <c r="I369">
        <v>1191.8450928</v>
      </c>
      <c r="J369">
        <v>1117.5655518000001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89.773937000000004</v>
      </c>
      <c r="B370" s="1">
        <f>DATE(2010,7,29) + TIME(18,34,28)</f>
        <v>40388.773935185185</v>
      </c>
      <c r="C370">
        <v>80</v>
      </c>
      <c r="D370">
        <v>79.948944092000005</v>
      </c>
      <c r="E370">
        <v>50</v>
      </c>
      <c r="F370">
        <v>14.998104095</v>
      </c>
      <c r="G370">
        <v>1416.3571777</v>
      </c>
      <c r="H370">
        <v>1392.2670897999999</v>
      </c>
      <c r="I370">
        <v>1191.8475341999999</v>
      </c>
      <c r="J370">
        <v>1117.5679932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90.213432999999995</v>
      </c>
      <c r="B371" s="1">
        <f>DATE(2010,7,30) + TIME(5,7,20)</f>
        <v>40389.213425925926</v>
      </c>
      <c r="C371">
        <v>80</v>
      </c>
      <c r="D371">
        <v>79.948982239000003</v>
      </c>
      <c r="E371">
        <v>50</v>
      </c>
      <c r="F371">
        <v>14.998110771</v>
      </c>
      <c r="G371">
        <v>1416.3260498</v>
      </c>
      <c r="H371">
        <v>1392.2360839999999</v>
      </c>
      <c r="I371">
        <v>1191.8500977000001</v>
      </c>
      <c r="J371">
        <v>1117.5705565999999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90.652929</v>
      </c>
      <c r="B372" s="1">
        <f>DATE(2010,7,30) + TIME(15,40,13)</f>
        <v>40389.652928240743</v>
      </c>
      <c r="C372">
        <v>80</v>
      </c>
      <c r="D372">
        <v>79.949020386000001</v>
      </c>
      <c r="E372">
        <v>50</v>
      </c>
      <c r="F372">
        <v>14.998117447</v>
      </c>
      <c r="G372">
        <v>1416.2950439000001</v>
      </c>
      <c r="H372">
        <v>1392.2053223</v>
      </c>
      <c r="I372">
        <v>1191.8527832</v>
      </c>
      <c r="J372">
        <v>1117.5729980000001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91.531921999999994</v>
      </c>
      <c r="B373" s="1">
        <f>DATE(2010,7,31) + TIME(12,45,58)</f>
        <v>40390.531921296293</v>
      </c>
      <c r="C373">
        <v>80</v>
      </c>
      <c r="D373">
        <v>79.949096679999997</v>
      </c>
      <c r="E373">
        <v>50</v>
      </c>
      <c r="F373">
        <v>14.998126984000001</v>
      </c>
      <c r="G373">
        <v>1416.2646483999999</v>
      </c>
      <c r="H373">
        <v>1392.1751709</v>
      </c>
      <c r="I373">
        <v>1191.8554687999999</v>
      </c>
      <c r="J373">
        <v>1117.5758057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92</v>
      </c>
      <c r="B374" s="1">
        <f>DATE(2010,8,1) + TIME(0,0,0)</f>
        <v>40391</v>
      </c>
      <c r="C374">
        <v>80</v>
      </c>
      <c r="D374">
        <v>79.949134826999995</v>
      </c>
      <c r="E374">
        <v>50</v>
      </c>
      <c r="F374">
        <v>14.998136519999999</v>
      </c>
      <c r="G374">
        <v>1416.2038574000001</v>
      </c>
      <c r="H374">
        <v>1392.1147461</v>
      </c>
      <c r="I374">
        <v>1191.8604736</v>
      </c>
      <c r="J374">
        <v>1117.5805664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92.881331000000003</v>
      </c>
      <c r="B375" s="1">
        <f>DATE(2010,8,1) + TIME(21,9,6)</f>
        <v>40391.881319444445</v>
      </c>
      <c r="C375">
        <v>80</v>
      </c>
      <c r="D375">
        <v>79.949211121000005</v>
      </c>
      <c r="E375">
        <v>50</v>
      </c>
      <c r="F375">
        <v>14.998147011</v>
      </c>
      <c r="G375">
        <v>1416.1713867000001</v>
      </c>
      <c r="H375">
        <v>1392.0823975000001</v>
      </c>
      <c r="I375">
        <v>1191.8634033000001</v>
      </c>
      <c r="J375">
        <v>1117.5834961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93.775938999999994</v>
      </c>
      <c r="B376" s="1">
        <f>DATE(2010,8,2) + TIME(18,37,21)</f>
        <v>40392.775937500002</v>
      </c>
      <c r="C376">
        <v>80</v>
      </c>
      <c r="D376">
        <v>79.949287415000001</v>
      </c>
      <c r="E376">
        <v>50</v>
      </c>
      <c r="F376">
        <v>14.998159408999999</v>
      </c>
      <c r="G376">
        <v>1416.1114502</v>
      </c>
      <c r="H376">
        <v>1392.0229492000001</v>
      </c>
      <c r="I376">
        <v>1191.8686522999999</v>
      </c>
      <c r="J376">
        <v>1117.5886230000001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94.681273000000004</v>
      </c>
      <c r="B377" s="1">
        <f>DATE(2010,8,3) + TIME(16,21,1)</f>
        <v>40393.681261574071</v>
      </c>
      <c r="C377">
        <v>80</v>
      </c>
      <c r="D377">
        <v>79.949363708000007</v>
      </c>
      <c r="E377">
        <v>50</v>
      </c>
      <c r="F377">
        <v>14.998172759999999</v>
      </c>
      <c r="G377">
        <v>1416.0510254000001</v>
      </c>
      <c r="H377">
        <v>1391.9628906</v>
      </c>
      <c r="I377">
        <v>1191.8740233999999</v>
      </c>
      <c r="J377">
        <v>1117.5938721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95.598558999999995</v>
      </c>
      <c r="B378" s="1">
        <f>DATE(2010,8,4) + TIME(14,21,55)</f>
        <v>40394.598553240743</v>
      </c>
      <c r="C378">
        <v>80</v>
      </c>
      <c r="D378">
        <v>79.949440002000003</v>
      </c>
      <c r="E378">
        <v>50</v>
      </c>
      <c r="F378">
        <v>14.998186111000001</v>
      </c>
      <c r="G378">
        <v>1415.9904785000001</v>
      </c>
      <c r="H378">
        <v>1391.9027100000001</v>
      </c>
      <c r="I378">
        <v>1191.8793945</v>
      </c>
      <c r="J378">
        <v>1117.5992432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96.529432999999997</v>
      </c>
      <c r="B379" s="1">
        <f>DATE(2010,8,5) + TIME(12,42,23)</f>
        <v>40395.529432870368</v>
      </c>
      <c r="C379">
        <v>80</v>
      </c>
      <c r="D379">
        <v>79.949523925999998</v>
      </c>
      <c r="E379">
        <v>50</v>
      </c>
      <c r="F379">
        <v>14.998199463000001</v>
      </c>
      <c r="G379">
        <v>1415.9298096</v>
      </c>
      <c r="H379">
        <v>1391.8425293</v>
      </c>
      <c r="I379">
        <v>1191.8850098</v>
      </c>
      <c r="J379">
        <v>1117.6046143000001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97.475643000000005</v>
      </c>
      <c r="B380" s="1">
        <f>DATE(2010,8,6) + TIME(11,24,55)</f>
        <v>40396.475636574076</v>
      </c>
      <c r="C380">
        <v>80</v>
      </c>
      <c r="D380">
        <v>79.949600219999994</v>
      </c>
      <c r="E380">
        <v>50</v>
      </c>
      <c r="F380">
        <v>14.998213767999999</v>
      </c>
      <c r="G380">
        <v>1415.8688964999999</v>
      </c>
      <c r="H380">
        <v>1391.7819824000001</v>
      </c>
      <c r="I380">
        <v>1191.890625</v>
      </c>
      <c r="J380">
        <v>1117.6101074000001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98.438132999999993</v>
      </c>
      <c r="B381" s="1">
        <f>DATE(2010,8,7) + TIME(10,30,54)</f>
        <v>40397.438125000001</v>
      </c>
      <c r="C381">
        <v>80</v>
      </c>
      <c r="D381">
        <v>79.949676514000004</v>
      </c>
      <c r="E381">
        <v>50</v>
      </c>
      <c r="F381">
        <v>14.998227118999999</v>
      </c>
      <c r="G381">
        <v>1415.8076172000001</v>
      </c>
      <c r="H381">
        <v>1391.7211914</v>
      </c>
      <c r="I381">
        <v>1191.8964844</v>
      </c>
      <c r="J381">
        <v>1117.6158447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98.919791000000004</v>
      </c>
      <c r="B382" s="1">
        <f>DATE(2010,8,7) + TIME(22,4,29)</f>
        <v>40397.91978009259</v>
      </c>
      <c r="C382">
        <v>80</v>
      </c>
      <c r="D382">
        <v>79.949714661000002</v>
      </c>
      <c r="E382">
        <v>50</v>
      </c>
      <c r="F382">
        <v>14.99823761</v>
      </c>
      <c r="G382">
        <v>1415.7458495999999</v>
      </c>
      <c r="H382">
        <v>1391.6597899999999</v>
      </c>
      <c r="I382">
        <v>1191.9022216999999</v>
      </c>
      <c r="J382">
        <v>1117.6213379000001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99.401449</v>
      </c>
      <c r="B383" s="1">
        <f>DATE(2010,8,8) + TIME(9,38,5)</f>
        <v>40398.401446759257</v>
      </c>
      <c r="C383">
        <v>80</v>
      </c>
      <c r="D383">
        <v>79.949760436999995</v>
      </c>
      <c r="E383">
        <v>50</v>
      </c>
      <c r="F383">
        <v>14.998246193</v>
      </c>
      <c r="G383">
        <v>1415.7145995999999</v>
      </c>
      <c r="H383">
        <v>1391.6287841999999</v>
      </c>
      <c r="I383">
        <v>1191.9051514</v>
      </c>
      <c r="J383">
        <v>1117.6242675999999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99.883106999999995</v>
      </c>
      <c r="B384" s="1">
        <f>DATE(2010,8,8) + TIME(21,11,40)</f>
        <v>40398.883101851854</v>
      </c>
      <c r="C384">
        <v>80</v>
      </c>
      <c r="D384">
        <v>79.949798584000007</v>
      </c>
      <c r="E384">
        <v>50</v>
      </c>
      <c r="F384">
        <v>14.998253822000001</v>
      </c>
      <c r="G384">
        <v>1415.684082</v>
      </c>
      <c r="H384">
        <v>1391.5985106999999</v>
      </c>
      <c r="I384">
        <v>1191.9082031</v>
      </c>
      <c r="J384">
        <v>1117.6271973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100.36476500000001</v>
      </c>
      <c r="B385" s="1">
        <f>DATE(2010,8,9) + TIME(8,45,15)</f>
        <v>40399.364756944444</v>
      </c>
      <c r="C385">
        <v>80</v>
      </c>
      <c r="D385">
        <v>79.949836731000005</v>
      </c>
      <c r="E385">
        <v>50</v>
      </c>
      <c r="F385">
        <v>14.998261451999999</v>
      </c>
      <c r="G385">
        <v>1415.6538086</v>
      </c>
      <c r="H385">
        <v>1391.5683594</v>
      </c>
      <c r="I385">
        <v>1191.9111327999999</v>
      </c>
      <c r="J385">
        <v>1117.6301269999999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100.846423</v>
      </c>
      <c r="B386" s="1">
        <f>DATE(2010,8,9) + TIME(20,18,50)</f>
        <v>40399.846412037034</v>
      </c>
      <c r="C386">
        <v>80</v>
      </c>
      <c r="D386">
        <v>79.949882506999998</v>
      </c>
      <c r="E386">
        <v>50</v>
      </c>
      <c r="F386">
        <v>14.998268126999999</v>
      </c>
      <c r="G386">
        <v>1415.6235352000001</v>
      </c>
      <c r="H386">
        <v>1391.5384521000001</v>
      </c>
      <c r="I386">
        <v>1191.9141846</v>
      </c>
      <c r="J386">
        <v>1117.6331786999999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101.328081</v>
      </c>
      <c r="B387" s="1">
        <f>DATE(2010,8,10) + TIME(7,52,26)</f>
        <v>40400.3280787037</v>
      </c>
      <c r="C387">
        <v>80</v>
      </c>
      <c r="D387">
        <v>79.949920653999996</v>
      </c>
      <c r="E387">
        <v>50</v>
      </c>
      <c r="F387">
        <v>14.998274802999999</v>
      </c>
      <c r="G387">
        <v>1415.5936279</v>
      </c>
      <c r="H387">
        <v>1391.5086670000001</v>
      </c>
      <c r="I387">
        <v>1191.9172363</v>
      </c>
      <c r="J387">
        <v>1117.6361084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101.80973899999999</v>
      </c>
      <c r="B388" s="1">
        <f>DATE(2010,8,10) + TIME(19,26,1)</f>
        <v>40400.809733796297</v>
      </c>
      <c r="C388">
        <v>80</v>
      </c>
      <c r="D388">
        <v>79.949958800999994</v>
      </c>
      <c r="E388">
        <v>50</v>
      </c>
      <c r="F388">
        <v>14.998281478999999</v>
      </c>
      <c r="G388">
        <v>1415.5637207</v>
      </c>
      <c r="H388">
        <v>1391.479126</v>
      </c>
      <c r="I388">
        <v>1191.9202881000001</v>
      </c>
      <c r="J388">
        <v>1117.6390381000001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102.291397</v>
      </c>
      <c r="B389" s="1">
        <f>DATE(2010,8,11) + TIME(6,59,36)</f>
        <v>40401.291388888887</v>
      </c>
      <c r="C389">
        <v>80</v>
      </c>
      <c r="D389">
        <v>79.949996948000006</v>
      </c>
      <c r="E389">
        <v>50</v>
      </c>
      <c r="F389">
        <v>14.998288154999999</v>
      </c>
      <c r="G389">
        <v>1415.5340576000001</v>
      </c>
      <c r="H389">
        <v>1391.4495850000001</v>
      </c>
      <c r="I389">
        <v>1191.9233397999999</v>
      </c>
      <c r="J389">
        <v>1117.6420897999999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103.254713</v>
      </c>
      <c r="B390" s="1">
        <f>DATE(2010,8,12) + TIME(6,6,47)</f>
        <v>40402.254710648151</v>
      </c>
      <c r="C390">
        <v>80</v>
      </c>
      <c r="D390">
        <v>79.950080872000001</v>
      </c>
      <c r="E390">
        <v>50</v>
      </c>
      <c r="F390">
        <v>14.998296738000001</v>
      </c>
      <c r="G390">
        <v>1415.5050048999999</v>
      </c>
      <c r="H390">
        <v>1391.4207764</v>
      </c>
      <c r="I390">
        <v>1191.9266356999999</v>
      </c>
      <c r="J390">
        <v>1117.6452637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104.21827999999999</v>
      </c>
      <c r="B391" s="1">
        <f>DATE(2010,8,13) + TIME(5,14,19)</f>
        <v>40403.218275462961</v>
      </c>
      <c r="C391">
        <v>80</v>
      </c>
      <c r="D391">
        <v>79.950157165999997</v>
      </c>
      <c r="E391">
        <v>50</v>
      </c>
      <c r="F391">
        <v>14.998308182000001</v>
      </c>
      <c r="G391">
        <v>1415.4467772999999</v>
      </c>
      <c r="H391">
        <v>1391.3630370999999</v>
      </c>
      <c r="I391">
        <v>1191.9327393000001</v>
      </c>
      <c r="J391">
        <v>1117.6512451000001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105.189229</v>
      </c>
      <c r="B392" s="1">
        <f>DATE(2010,8,14) + TIME(4,32,29)</f>
        <v>40404.18922453704</v>
      </c>
      <c r="C392">
        <v>80</v>
      </c>
      <c r="D392">
        <v>79.950233459000003</v>
      </c>
      <c r="E392">
        <v>50</v>
      </c>
      <c r="F392">
        <v>14.99832058</v>
      </c>
      <c r="G392">
        <v>1415.3887939000001</v>
      </c>
      <c r="H392">
        <v>1391.3055420000001</v>
      </c>
      <c r="I392">
        <v>1191.9388428</v>
      </c>
      <c r="J392">
        <v>1117.6572266000001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106.169076</v>
      </c>
      <c r="B393" s="1">
        <f>DATE(2010,8,15) + TIME(4,3,28)</f>
        <v>40405.169074074074</v>
      </c>
      <c r="C393">
        <v>80</v>
      </c>
      <c r="D393">
        <v>79.950317382999998</v>
      </c>
      <c r="E393">
        <v>50</v>
      </c>
      <c r="F393">
        <v>14.998332977</v>
      </c>
      <c r="G393">
        <v>1415.3309326000001</v>
      </c>
      <c r="H393">
        <v>1391.2482910000001</v>
      </c>
      <c r="I393">
        <v>1191.9451904</v>
      </c>
      <c r="J393">
        <v>1117.6633300999999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107.159763</v>
      </c>
      <c r="B394" s="1">
        <f>DATE(2010,8,16) + TIME(3,50,3)</f>
        <v>40406.159756944442</v>
      </c>
      <c r="C394">
        <v>80</v>
      </c>
      <c r="D394">
        <v>79.950393676999994</v>
      </c>
      <c r="E394">
        <v>50</v>
      </c>
      <c r="F394">
        <v>14.998346329</v>
      </c>
      <c r="G394">
        <v>1415.2731934000001</v>
      </c>
      <c r="H394">
        <v>1391.1910399999999</v>
      </c>
      <c r="I394">
        <v>1191.9515381000001</v>
      </c>
      <c r="J394">
        <v>1117.6695557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108.16287</v>
      </c>
      <c r="B395" s="1">
        <f>DATE(2010,8,17) + TIME(3,54,31)</f>
        <v>40407.162858796299</v>
      </c>
      <c r="C395">
        <v>80</v>
      </c>
      <c r="D395">
        <v>79.950477599999999</v>
      </c>
      <c r="E395">
        <v>50</v>
      </c>
      <c r="F395">
        <v>14.998358726999999</v>
      </c>
      <c r="G395">
        <v>1415.2154541</v>
      </c>
      <c r="H395">
        <v>1391.1336670000001</v>
      </c>
      <c r="I395">
        <v>1191.9580077999999</v>
      </c>
      <c r="J395">
        <v>1117.6759033000001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109.18007299999999</v>
      </c>
      <c r="B396" s="1">
        <f>DATE(2010,8,18) + TIME(4,19,18)</f>
        <v>40408.180069444446</v>
      </c>
      <c r="C396">
        <v>80</v>
      </c>
      <c r="D396">
        <v>79.950553893999995</v>
      </c>
      <c r="E396">
        <v>50</v>
      </c>
      <c r="F396">
        <v>14.998371124</v>
      </c>
      <c r="G396">
        <v>1415.1574707</v>
      </c>
      <c r="H396">
        <v>1391.0762939000001</v>
      </c>
      <c r="I396">
        <v>1191.9645995999999</v>
      </c>
      <c r="J396">
        <v>1117.682251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110.212058</v>
      </c>
      <c r="B397" s="1">
        <f>DATE(2010,8,19) + TIME(5,5,21)</f>
        <v>40409.212048611109</v>
      </c>
      <c r="C397">
        <v>80</v>
      </c>
      <c r="D397">
        <v>79.950637817</v>
      </c>
      <c r="E397">
        <v>50</v>
      </c>
      <c r="F397">
        <v>14.998384476</v>
      </c>
      <c r="G397">
        <v>1415.0993652</v>
      </c>
      <c r="H397">
        <v>1391.0186768000001</v>
      </c>
      <c r="I397">
        <v>1191.9714355000001</v>
      </c>
      <c r="J397">
        <v>1117.6888428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111.256536</v>
      </c>
      <c r="B398" s="1">
        <f>DATE(2010,8,20) + TIME(6,9,24)</f>
        <v>40410.256527777776</v>
      </c>
      <c r="C398">
        <v>80</v>
      </c>
      <c r="D398">
        <v>79.950721740999995</v>
      </c>
      <c r="E398">
        <v>50</v>
      </c>
      <c r="F398">
        <v>14.998397827</v>
      </c>
      <c r="G398">
        <v>1415.0408935999999</v>
      </c>
      <c r="H398">
        <v>1390.9608154</v>
      </c>
      <c r="I398">
        <v>1191.9782714999999</v>
      </c>
      <c r="J398">
        <v>1117.6955565999999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111.78090400000001</v>
      </c>
      <c r="B399" s="1">
        <f>DATE(2010,8,20) + TIME(18,44,30)</f>
        <v>40410.780902777777</v>
      </c>
      <c r="C399">
        <v>80</v>
      </c>
      <c r="D399">
        <v>79.950759887999993</v>
      </c>
      <c r="E399">
        <v>50</v>
      </c>
      <c r="F399">
        <v>14.998407364</v>
      </c>
      <c r="G399">
        <v>1414.9822998</v>
      </c>
      <c r="H399">
        <v>1390.9027100000001</v>
      </c>
      <c r="I399">
        <v>1191.9851074000001</v>
      </c>
      <c r="J399">
        <v>1117.7022704999999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112.305272</v>
      </c>
      <c r="B400" s="1">
        <f>DATE(2010,8,21) + TIME(7,19,35)</f>
        <v>40411.305266203701</v>
      </c>
      <c r="C400">
        <v>80</v>
      </c>
      <c r="D400">
        <v>79.950805664000001</v>
      </c>
      <c r="E400">
        <v>50</v>
      </c>
      <c r="F400">
        <v>14.998415947</v>
      </c>
      <c r="G400">
        <v>1414.9525146000001</v>
      </c>
      <c r="H400">
        <v>1390.8731689000001</v>
      </c>
      <c r="I400">
        <v>1191.9887695</v>
      </c>
      <c r="J400">
        <v>1117.7058105000001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112.82964</v>
      </c>
      <c r="B401" s="1">
        <f>DATE(2010,8,21) + TIME(19,54,40)</f>
        <v>40411.829629629632</v>
      </c>
      <c r="C401">
        <v>80</v>
      </c>
      <c r="D401">
        <v>79.950843810999999</v>
      </c>
      <c r="E401">
        <v>50</v>
      </c>
      <c r="F401">
        <v>14.998422623</v>
      </c>
      <c r="G401">
        <v>1414.9234618999999</v>
      </c>
      <c r="H401">
        <v>1390.8444824000001</v>
      </c>
      <c r="I401">
        <v>1191.9923096</v>
      </c>
      <c r="J401">
        <v>1117.7092285000001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113.354009</v>
      </c>
      <c r="B402" s="1">
        <f>DATE(2010,8,22) + TIME(8,29,46)</f>
        <v>40412.354004629633</v>
      </c>
      <c r="C402">
        <v>80</v>
      </c>
      <c r="D402">
        <v>79.950889587000006</v>
      </c>
      <c r="E402">
        <v>50</v>
      </c>
      <c r="F402">
        <v>14.998429298</v>
      </c>
      <c r="G402">
        <v>1414.8945312000001</v>
      </c>
      <c r="H402">
        <v>1390.8157959</v>
      </c>
      <c r="I402">
        <v>1191.9958495999999</v>
      </c>
      <c r="J402">
        <v>1117.7127685999999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113.878377</v>
      </c>
      <c r="B403" s="1">
        <f>DATE(2010,8,22) + TIME(21,4,51)</f>
        <v>40412.878368055557</v>
      </c>
      <c r="C403">
        <v>80</v>
      </c>
      <c r="D403">
        <v>79.950927734000004</v>
      </c>
      <c r="E403">
        <v>50</v>
      </c>
      <c r="F403">
        <v>14.998435974</v>
      </c>
      <c r="G403">
        <v>1414.8657227000001</v>
      </c>
      <c r="H403">
        <v>1390.7873535000001</v>
      </c>
      <c r="I403">
        <v>1191.9995117000001</v>
      </c>
      <c r="J403">
        <v>1117.7161865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114.402745</v>
      </c>
      <c r="B404" s="1">
        <f>DATE(2010,8,23) + TIME(9,39,57)</f>
        <v>40413.402743055558</v>
      </c>
      <c r="C404">
        <v>80</v>
      </c>
      <c r="D404">
        <v>79.950973511000001</v>
      </c>
      <c r="E404">
        <v>50</v>
      </c>
      <c r="F404">
        <v>14.998442649999999</v>
      </c>
      <c r="G404">
        <v>1414.8371582</v>
      </c>
      <c r="H404">
        <v>1390.7589111</v>
      </c>
      <c r="I404">
        <v>1192.0030518000001</v>
      </c>
      <c r="J404">
        <v>1117.7197266000001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114.92711300000001</v>
      </c>
      <c r="B405" s="1">
        <f>DATE(2010,8,23) + TIME(22,15,2)</f>
        <v>40413.927106481482</v>
      </c>
      <c r="C405">
        <v>80</v>
      </c>
      <c r="D405">
        <v>79.951011657999999</v>
      </c>
      <c r="E405">
        <v>50</v>
      </c>
      <c r="F405">
        <v>14.998448372</v>
      </c>
      <c r="G405">
        <v>1414.8085937999999</v>
      </c>
      <c r="H405">
        <v>1390.7307129000001</v>
      </c>
      <c r="I405">
        <v>1192.0067139</v>
      </c>
      <c r="J405">
        <v>1117.7232666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115.451481</v>
      </c>
      <c r="B406" s="1">
        <f>DATE(2010,8,24) + TIME(10,50,7)</f>
        <v>40414.451469907406</v>
      </c>
      <c r="C406">
        <v>80</v>
      </c>
      <c r="D406">
        <v>79.951049804999997</v>
      </c>
      <c r="E406">
        <v>50</v>
      </c>
      <c r="F406">
        <v>14.998455048</v>
      </c>
      <c r="G406">
        <v>1414.7802733999999</v>
      </c>
      <c r="H406">
        <v>1390.7026367000001</v>
      </c>
      <c r="I406">
        <v>1192.010376</v>
      </c>
      <c r="J406">
        <v>1117.7268065999999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115.975849</v>
      </c>
      <c r="B407" s="1">
        <f>DATE(2010,8,24) + TIME(23,25,13)</f>
        <v>40414.975844907407</v>
      </c>
      <c r="C407">
        <v>80</v>
      </c>
      <c r="D407">
        <v>79.951095581000004</v>
      </c>
      <c r="E407">
        <v>50</v>
      </c>
      <c r="F407">
        <v>14.998460769999999</v>
      </c>
      <c r="G407">
        <v>1414.7520752</v>
      </c>
      <c r="H407">
        <v>1390.6748047000001</v>
      </c>
      <c r="I407">
        <v>1192.0140381000001</v>
      </c>
      <c r="J407">
        <v>1117.7304687999999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117.024585</v>
      </c>
      <c r="B408" s="1">
        <f>DATE(2010,8,26) + TIME(0,35,24)</f>
        <v>40416.024583333332</v>
      </c>
      <c r="C408">
        <v>80</v>
      </c>
      <c r="D408">
        <v>79.951179503999995</v>
      </c>
      <c r="E408">
        <v>50</v>
      </c>
      <c r="F408">
        <v>14.998469353000001</v>
      </c>
      <c r="G408">
        <v>1414.7243652</v>
      </c>
      <c r="H408">
        <v>1390.6473389</v>
      </c>
      <c r="I408">
        <v>1192.0179443</v>
      </c>
      <c r="J408">
        <v>1117.7341309000001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118.075396</v>
      </c>
      <c r="B409" s="1">
        <f>DATE(2010,8,27) + TIME(1,48,34)</f>
        <v>40417.07539351852</v>
      </c>
      <c r="C409">
        <v>80</v>
      </c>
      <c r="D409">
        <v>79.951255798000005</v>
      </c>
      <c r="E409">
        <v>50</v>
      </c>
      <c r="F409">
        <v>14.998479843</v>
      </c>
      <c r="G409">
        <v>1414.6690673999999</v>
      </c>
      <c r="H409">
        <v>1390.5926514</v>
      </c>
      <c r="I409">
        <v>1192.0252685999999</v>
      </c>
      <c r="J409">
        <v>1117.7413329999999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119.135294</v>
      </c>
      <c r="B410" s="1">
        <f>DATE(2010,8,28) + TIME(3,14,49)</f>
        <v>40418.135289351849</v>
      </c>
      <c r="C410">
        <v>80</v>
      </c>
      <c r="D410">
        <v>79.951339722</v>
      </c>
      <c r="E410">
        <v>50</v>
      </c>
      <c r="F410">
        <v>14.998491287</v>
      </c>
      <c r="G410">
        <v>1414.6137695</v>
      </c>
      <c r="H410">
        <v>1390.5379639</v>
      </c>
      <c r="I410">
        <v>1192.0327147999999</v>
      </c>
      <c r="J410">
        <v>1117.7485352000001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120.20598</v>
      </c>
      <c r="B411" s="1">
        <f>DATE(2010,8,29) + TIME(4,56,36)</f>
        <v>40419.205972222226</v>
      </c>
      <c r="C411">
        <v>80</v>
      </c>
      <c r="D411">
        <v>79.951423645000006</v>
      </c>
      <c r="E411">
        <v>50</v>
      </c>
      <c r="F411">
        <v>14.998503684999999</v>
      </c>
      <c r="G411">
        <v>1414.5585937999999</v>
      </c>
      <c r="H411">
        <v>1390.4833983999999</v>
      </c>
      <c r="I411">
        <v>1192.0402832</v>
      </c>
      <c r="J411">
        <v>1117.7559814000001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121.28969499999999</v>
      </c>
      <c r="B412" s="1">
        <f>DATE(2010,8,30) + TIME(6,57,9)</f>
        <v>40420.289687500001</v>
      </c>
      <c r="C412">
        <v>80</v>
      </c>
      <c r="D412">
        <v>79.951507567999997</v>
      </c>
      <c r="E412">
        <v>50</v>
      </c>
      <c r="F412">
        <v>14.998516083</v>
      </c>
      <c r="G412">
        <v>1414.503418</v>
      </c>
      <c r="H412">
        <v>1390.4287108999999</v>
      </c>
      <c r="I412">
        <v>1192.0479736</v>
      </c>
      <c r="J412">
        <v>1117.7634277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122.38792100000001</v>
      </c>
      <c r="B413" s="1">
        <f>DATE(2010,8,31) + TIME(9,18,36)</f>
        <v>40421.387916666667</v>
      </c>
      <c r="C413">
        <v>80</v>
      </c>
      <c r="D413">
        <v>79.951591492000006</v>
      </c>
      <c r="E413">
        <v>50</v>
      </c>
      <c r="F413">
        <v>14.998527527</v>
      </c>
      <c r="G413">
        <v>1414.4481201000001</v>
      </c>
      <c r="H413">
        <v>1390.3740233999999</v>
      </c>
      <c r="I413">
        <v>1192.0559082</v>
      </c>
      <c r="J413">
        <v>1117.7709961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123</v>
      </c>
      <c r="B414" s="1">
        <f>DATE(2010,9,1) + TIME(0,0,0)</f>
        <v>40422</v>
      </c>
      <c r="C414">
        <v>80</v>
      </c>
      <c r="D414">
        <v>79.951637267999999</v>
      </c>
      <c r="E414">
        <v>50</v>
      </c>
      <c r="F414">
        <v>14.998538017</v>
      </c>
      <c r="G414">
        <v>1414.3924560999999</v>
      </c>
      <c r="H414">
        <v>1390.3189697</v>
      </c>
      <c r="I414">
        <v>1192.0637207</v>
      </c>
      <c r="J414">
        <v>1117.7786865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124.113367</v>
      </c>
      <c r="B415" s="1">
        <f>DATE(2010,9,2) + TIME(2,43,14)</f>
        <v>40423.113356481481</v>
      </c>
      <c r="C415">
        <v>80</v>
      </c>
      <c r="D415">
        <v>79.951721191000004</v>
      </c>
      <c r="E415">
        <v>50</v>
      </c>
      <c r="F415">
        <v>14.998547554</v>
      </c>
      <c r="G415">
        <v>1414.3614502</v>
      </c>
      <c r="H415">
        <v>1390.2883300999999</v>
      </c>
      <c r="I415">
        <v>1192.0683594</v>
      </c>
      <c r="J415">
        <v>1117.7832031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125.244691</v>
      </c>
      <c r="B416" s="1">
        <f>DATE(2010,9,3) + TIME(5,52,21)</f>
        <v>40424.244687500002</v>
      </c>
      <c r="C416">
        <v>80</v>
      </c>
      <c r="D416">
        <v>79.951805114999999</v>
      </c>
      <c r="E416">
        <v>50</v>
      </c>
      <c r="F416">
        <v>14.998558998</v>
      </c>
      <c r="G416">
        <v>1414.3062743999999</v>
      </c>
      <c r="H416">
        <v>1390.2336425999999</v>
      </c>
      <c r="I416">
        <v>1192.0766602000001</v>
      </c>
      <c r="J416">
        <v>1117.7912598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125.812899</v>
      </c>
      <c r="B417" s="1">
        <f>DATE(2010,9,3) + TIME(19,30,34)</f>
        <v>40424.812893518516</v>
      </c>
      <c r="C417">
        <v>80</v>
      </c>
      <c r="D417">
        <v>79.951850891000007</v>
      </c>
      <c r="E417">
        <v>50</v>
      </c>
      <c r="F417">
        <v>14.998568535</v>
      </c>
      <c r="G417">
        <v>1414.2502440999999</v>
      </c>
      <c r="H417">
        <v>1390.1783447</v>
      </c>
      <c r="I417">
        <v>1192.0848389</v>
      </c>
      <c r="J417">
        <v>1117.7991943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126.381107</v>
      </c>
      <c r="B418" s="1">
        <f>DATE(2010,9,4) + TIME(9,8,47)</f>
        <v>40425.381099537037</v>
      </c>
      <c r="C418">
        <v>80</v>
      </c>
      <c r="D418">
        <v>79.951889038000004</v>
      </c>
      <c r="E418">
        <v>50</v>
      </c>
      <c r="F418">
        <v>14.998576163999999</v>
      </c>
      <c r="G418">
        <v>1414.2218018000001</v>
      </c>
      <c r="H418">
        <v>1390.1501464999999</v>
      </c>
      <c r="I418">
        <v>1192.0892334</v>
      </c>
      <c r="J418">
        <v>1117.8034668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126.949315</v>
      </c>
      <c r="B419" s="1">
        <f>DATE(2010,9,4) + TIME(22,47,0)</f>
        <v>40425.949305555558</v>
      </c>
      <c r="C419">
        <v>80</v>
      </c>
      <c r="D419">
        <v>79.951934813999998</v>
      </c>
      <c r="E419">
        <v>50</v>
      </c>
      <c r="F419">
        <v>14.998582839999999</v>
      </c>
      <c r="G419">
        <v>1414.1939697</v>
      </c>
      <c r="H419">
        <v>1390.1226807</v>
      </c>
      <c r="I419">
        <v>1192.0935059000001</v>
      </c>
      <c r="J419">
        <v>1117.8076172000001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127.517523</v>
      </c>
      <c r="B420" s="1">
        <f>DATE(2010,9,5) + TIME(12,25,14)</f>
        <v>40426.517523148148</v>
      </c>
      <c r="C420">
        <v>80</v>
      </c>
      <c r="D420">
        <v>79.951980590999995</v>
      </c>
      <c r="E420">
        <v>50</v>
      </c>
      <c r="F420">
        <v>14.998589515999999</v>
      </c>
      <c r="G420">
        <v>1414.1663818</v>
      </c>
      <c r="H420">
        <v>1390.0953368999999</v>
      </c>
      <c r="I420">
        <v>1192.0977783000001</v>
      </c>
      <c r="J420">
        <v>1117.8117675999999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128.08573100000001</v>
      </c>
      <c r="B421" s="1">
        <f>DATE(2010,9,6) + TIME(2,3,27)</f>
        <v>40427.085729166669</v>
      </c>
      <c r="C421">
        <v>80</v>
      </c>
      <c r="D421">
        <v>79.952018738000007</v>
      </c>
      <c r="E421">
        <v>50</v>
      </c>
      <c r="F421">
        <v>14.998595238</v>
      </c>
      <c r="G421">
        <v>1414.1387939000001</v>
      </c>
      <c r="H421">
        <v>1390.0681152</v>
      </c>
      <c r="I421">
        <v>1192.1021728999999</v>
      </c>
      <c r="J421">
        <v>1117.8160399999999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128.65393900000001</v>
      </c>
      <c r="B422" s="1">
        <f>DATE(2010,9,6) + TIME(15,41,40)</f>
        <v>40427.653935185182</v>
      </c>
      <c r="C422">
        <v>80</v>
      </c>
      <c r="D422">
        <v>79.952064514</v>
      </c>
      <c r="E422">
        <v>50</v>
      </c>
      <c r="F422">
        <v>14.998601913</v>
      </c>
      <c r="G422">
        <v>1414.1114502</v>
      </c>
      <c r="H422">
        <v>1390.0410156</v>
      </c>
      <c r="I422">
        <v>1192.1065673999999</v>
      </c>
      <c r="J422">
        <v>1117.8201904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129.22214700000001</v>
      </c>
      <c r="B423" s="1">
        <f>DATE(2010,9,7) + TIME(5,19,53)</f>
        <v>40428.222141203703</v>
      </c>
      <c r="C423">
        <v>80</v>
      </c>
      <c r="D423">
        <v>79.952102660999998</v>
      </c>
      <c r="E423">
        <v>50</v>
      </c>
      <c r="F423">
        <v>14.998607635000001</v>
      </c>
      <c r="G423">
        <v>1414.0841064000001</v>
      </c>
      <c r="H423">
        <v>1390.0141602000001</v>
      </c>
      <c r="I423">
        <v>1192.1109618999999</v>
      </c>
      <c r="J423">
        <v>1117.8244629000001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130.358563</v>
      </c>
      <c r="B424" s="1">
        <f>DATE(2010,9,8) + TIME(8,36,19)</f>
        <v>40429.358553240738</v>
      </c>
      <c r="C424">
        <v>80</v>
      </c>
      <c r="D424">
        <v>79.952194214000002</v>
      </c>
      <c r="E424">
        <v>50</v>
      </c>
      <c r="F424">
        <v>14.998615265</v>
      </c>
      <c r="G424">
        <v>1414.0573730000001</v>
      </c>
      <c r="H424">
        <v>1389.9876709</v>
      </c>
      <c r="I424">
        <v>1192.1154785000001</v>
      </c>
      <c r="J424">
        <v>1117.8289795000001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131.49684099999999</v>
      </c>
      <c r="B425" s="1">
        <f>DATE(2010,9,9) + TIME(11,55,27)</f>
        <v>40430.496840277781</v>
      </c>
      <c r="C425">
        <v>80</v>
      </c>
      <c r="D425">
        <v>79.952278136999993</v>
      </c>
      <c r="E425">
        <v>50</v>
      </c>
      <c r="F425">
        <v>14.998625755000001</v>
      </c>
      <c r="G425">
        <v>1414.0039062000001</v>
      </c>
      <c r="H425">
        <v>1389.9346923999999</v>
      </c>
      <c r="I425">
        <v>1192.1243896000001</v>
      </c>
      <c r="J425">
        <v>1117.8375243999999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132.644025</v>
      </c>
      <c r="B426" s="1">
        <f>DATE(2010,9,10) + TIME(15,27,23)</f>
        <v>40431.644016203703</v>
      </c>
      <c r="C426">
        <v>80</v>
      </c>
      <c r="D426">
        <v>79.952362061000002</v>
      </c>
      <c r="E426">
        <v>50</v>
      </c>
      <c r="F426">
        <v>14.998637198999999</v>
      </c>
      <c r="G426">
        <v>1413.9504394999999</v>
      </c>
      <c r="H426">
        <v>1389.8819579999999</v>
      </c>
      <c r="I426">
        <v>1192.1333007999999</v>
      </c>
      <c r="J426">
        <v>1117.8461914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133.80192199999999</v>
      </c>
      <c r="B427" s="1">
        <f>DATE(2010,9,11) + TIME(19,14,46)</f>
        <v>40432.801921296297</v>
      </c>
      <c r="C427">
        <v>80</v>
      </c>
      <c r="D427">
        <v>79.952445983999993</v>
      </c>
      <c r="E427">
        <v>50</v>
      </c>
      <c r="F427">
        <v>14.998648642999999</v>
      </c>
      <c r="G427">
        <v>1413.8970947</v>
      </c>
      <c r="H427">
        <v>1389.8292236</v>
      </c>
      <c r="I427">
        <v>1192.1423339999999</v>
      </c>
      <c r="J427">
        <v>1117.8549805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134.97272699999999</v>
      </c>
      <c r="B428" s="1">
        <f>DATE(2010,9,12) + TIME(23,20,43)</f>
        <v>40433.972719907404</v>
      </c>
      <c r="C428">
        <v>80</v>
      </c>
      <c r="D428">
        <v>79.952529906999999</v>
      </c>
      <c r="E428">
        <v>50</v>
      </c>
      <c r="F428">
        <v>14.998660087999999</v>
      </c>
      <c r="G428">
        <v>1413.8436279</v>
      </c>
      <c r="H428">
        <v>1389.7764893000001</v>
      </c>
      <c r="I428">
        <v>1192.1516113</v>
      </c>
      <c r="J428">
        <v>1117.8638916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136.15720200000001</v>
      </c>
      <c r="B429" s="1">
        <f>DATE(2010,9,14) + TIME(3,46,22)</f>
        <v>40435.157199074078</v>
      </c>
      <c r="C429">
        <v>80</v>
      </c>
      <c r="D429">
        <v>79.952621460000003</v>
      </c>
      <c r="E429">
        <v>50</v>
      </c>
      <c r="F429">
        <v>14.998671531999999</v>
      </c>
      <c r="G429">
        <v>1413.7901611</v>
      </c>
      <c r="H429">
        <v>1389.7236327999999</v>
      </c>
      <c r="I429">
        <v>1192.1610106999999</v>
      </c>
      <c r="J429">
        <v>1117.8730469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137.350584</v>
      </c>
      <c r="B430" s="1">
        <f>DATE(2010,9,15) + TIME(8,24,50)</f>
        <v>40436.350578703707</v>
      </c>
      <c r="C430">
        <v>80</v>
      </c>
      <c r="D430">
        <v>79.952705382999994</v>
      </c>
      <c r="E430">
        <v>50</v>
      </c>
      <c r="F430">
        <v>14.998683929</v>
      </c>
      <c r="G430">
        <v>1413.7365723</v>
      </c>
      <c r="H430">
        <v>1389.6706543</v>
      </c>
      <c r="I430">
        <v>1192.1706543</v>
      </c>
      <c r="J430">
        <v>1117.8823242000001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138.55490800000001</v>
      </c>
      <c r="B431" s="1">
        <f>DATE(2010,9,16) + TIME(13,19,4)</f>
        <v>40437.554907407408</v>
      </c>
      <c r="C431">
        <v>80</v>
      </c>
      <c r="D431">
        <v>79.952789307000003</v>
      </c>
      <c r="E431">
        <v>50</v>
      </c>
      <c r="F431">
        <v>14.998695374</v>
      </c>
      <c r="G431">
        <v>1413.6829834</v>
      </c>
      <c r="H431">
        <v>1389.6177978999999</v>
      </c>
      <c r="I431">
        <v>1192.1804199000001</v>
      </c>
      <c r="J431">
        <v>1117.8918457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139.76482899999999</v>
      </c>
      <c r="B432" s="1">
        <f>DATE(2010,9,17) + TIME(18,21,21)</f>
        <v>40438.764826388891</v>
      </c>
      <c r="C432">
        <v>80</v>
      </c>
      <c r="D432">
        <v>79.952880859000004</v>
      </c>
      <c r="E432">
        <v>50</v>
      </c>
      <c r="F432">
        <v>14.998706818</v>
      </c>
      <c r="G432">
        <v>1413.6293945</v>
      </c>
      <c r="H432">
        <v>1389.5648193</v>
      </c>
      <c r="I432">
        <v>1192.1904297000001</v>
      </c>
      <c r="J432">
        <v>1117.9014893000001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140.980266</v>
      </c>
      <c r="B433" s="1">
        <f>DATE(2010,9,18) + TIME(23,31,34)</f>
        <v>40439.980254629627</v>
      </c>
      <c r="C433">
        <v>80</v>
      </c>
      <c r="D433">
        <v>79.952964782999999</v>
      </c>
      <c r="E433">
        <v>50</v>
      </c>
      <c r="F433">
        <v>14.998719214999999</v>
      </c>
      <c r="G433">
        <v>1413.5760498</v>
      </c>
      <c r="H433">
        <v>1389.5120850000001</v>
      </c>
      <c r="I433">
        <v>1192.2005615</v>
      </c>
      <c r="J433">
        <v>1117.9112548999999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142.20095000000001</v>
      </c>
      <c r="B434" s="1">
        <f>DATE(2010,9,20) + TIME(4,49,22)</f>
        <v>40441.200949074075</v>
      </c>
      <c r="C434">
        <v>80</v>
      </c>
      <c r="D434">
        <v>79.953056334999999</v>
      </c>
      <c r="E434">
        <v>50</v>
      </c>
      <c r="F434">
        <v>14.998730659</v>
      </c>
      <c r="G434">
        <v>1413.5228271000001</v>
      </c>
      <c r="H434">
        <v>1389.4595947</v>
      </c>
      <c r="I434">
        <v>1192.2108154</v>
      </c>
      <c r="J434">
        <v>1117.9212646000001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143.423416</v>
      </c>
      <c r="B435" s="1">
        <f>DATE(2010,9,21) + TIME(10,9,43)</f>
        <v>40442.423414351855</v>
      </c>
      <c r="C435">
        <v>80</v>
      </c>
      <c r="D435">
        <v>79.953140258999994</v>
      </c>
      <c r="E435">
        <v>50</v>
      </c>
      <c r="F435">
        <v>14.998742104</v>
      </c>
      <c r="G435">
        <v>1413.4699707</v>
      </c>
      <c r="H435">
        <v>1389.4074707</v>
      </c>
      <c r="I435">
        <v>1192.2213135</v>
      </c>
      <c r="J435">
        <v>1117.9312743999999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144.649719</v>
      </c>
      <c r="B436" s="1">
        <f>DATE(2010,9,22) + TIME(15,35,35)</f>
        <v>40443.649710648147</v>
      </c>
      <c r="C436">
        <v>80</v>
      </c>
      <c r="D436">
        <v>79.953231811999999</v>
      </c>
      <c r="E436">
        <v>50</v>
      </c>
      <c r="F436">
        <v>14.998754501000001</v>
      </c>
      <c r="G436">
        <v>1413.4173584</v>
      </c>
      <c r="H436">
        <v>1389.3555908000001</v>
      </c>
      <c r="I436">
        <v>1192.2318115</v>
      </c>
      <c r="J436">
        <v>1117.9415283000001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145.881913</v>
      </c>
      <c r="B437" s="1">
        <f>DATE(2010,9,23) + TIME(21,9,57)</f>
        <v>40444.881909722222</v>
      </c>
      <c r="C437">
        <v>80</v>
      </c>
      <c r="D437">
        <v>79.953315735000004</v>
      </c>
      <c r="E437">
        <v>50</v>
      </c>
      <c r="F437">
        <v>14.998765945000001</v>
      </c>
      <c r="G437">
        <v>1413.3651123</v>
      </c>
      <c r="H437">
        <v>1389.3039550999999</v>
      </c>
      <c r="I437">
        <v>1192.2425536999999</v>
      </c>
      <c r="J437">
        <v>1117.9517822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147.121803</v>
      </c>
      <c r="B438" s="1">
        <f>DATE(2010,9,25) + TIME(2,55,23)</f>
        <v>40446.121793981481</v>
      </c>
      <c r="C438">
        <v>80</v>
      </c>
      <c r="D438">
        <v>79.953399657999995</v>
      </c>
      <c r="E438">
        <v>50</v>
      </c>
      <c r="F438">
        <v>14.998777390000001</v>
      </c>
      <c r="G438">
        <v>1413.3131103999999</v>
      </c>
      <c r="H438">
        <v>1389.2525635</v>
      </c>
      <c r="I438">
        <v>1192.253418</v>
      </c>
      <c r="J438">
        <v>1117.9622803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148.36915200000001</v>
      </c>
      <c r="B439" s="1">
        <f>DATE(2010,9,26) + TIME(8,51,34)</f>
        <v>40447.369143518517</v>
      </c>
      <c r="C439">
        <v>80</v>
      </c>
      <c r="D439">
        <v>79.953491210999999</v>
      </c>
      <c r="E439">
        <v>50</v>
      </c>
      <c r="F439">
        <v>14.998789787</v>
      </c>
      <c r="G439">
        <v>1413.2612305</v>
      </c>
      <c r="H439">
        <v>1389.2012939000001</v>
      </c>
      <c r="I439">
        <v>1192.2644043</v>
      </c>
      <c r="J439">
        <v>1117.9729004000001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148.993841</v>
      </c>
      <c r="B440" s="1">
        <f>DATE(2010,9,26) + TIME(23,51,7)</f>
        <v>40447.993831018517</v>
      </c>
      <c r="C440">
        <v>80</v>
      </c>
      <c r="D440">
        <v>79.953529357999997</v>
      </c>
      <c r="E440">
        <v>50</v>
      </c>
      <c r="F440">
        <v>14.998799324</v>
      </c>
      <c r="G440">
        <v>1413.2092285000001</v>
      </c>
      <c r="H440">
        <v>1389.1500243999999</v>
      </c>
      <c r="I440">
        <v>1192.2755127</v>
      </c>
      <c r="J440">
        <v>1117.9836425999999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149.61852999999999</v>
      </c>
      <c r="B441" s="1">
        <f>DATE(2010,9,27) + TIME(14,50,41)</f>
        <v>40448.618530092594</v>
      </c>
      <c r="C441">
        <v>80</v>
      </c>
      <c r="D441">
        <v>79.953575134000005</v>
      </c>
      <c r="E441">
        <v>50</v>
      </c>
      <c r="F441">
        <v>14.998806</v>
      </c>
      <c r="G441">
        <v>1413.1828613</v>
      </c>
      <c r="H441">
        <v>1389.1240233999999</v>
      </c>
      <c r="I441">
        <v>1192.28125</v>
      </c>
      <c r="J441">
        <v>1117.9891356999999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150.24321900000001</v>
      </c>
      <c r="B442" s="1">
        <f>DATE(2010,9,28) + TIME(5,50,14)</f>
        <v>40449.243217592593</v>
      </c>
      <c r="C442">
        <v>80</v>
      </c>
      <c r="D442">
        <v>79.953620911000002</v>
      </c>
      <c r="E442">
        <v>50</v>
      </c>
      <c r="F442">
        <v>14.998812675</v>
      </c>
      <c r="G442">
        <v>1413.1571045000001</v>
      </c>
      <c r="H442">
        <v>1389.0986327999999</v>
      </c>
      <c r="I442">
        <v>1192.2869873</v>
      </c>
      <c r="J442">
        <v>1117.9946289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150.867908</v>
      </c>
      <c r="B443" s="1">
        <f>DATE(2010,9,28) + TIME(20,49,47)</f>
        <v>40449.867905092593</v>
      </c>
      <c r="C443">
        <v>80</v>
      </c>
      <c r="D443">
        <v>79.953659058</v>
      </c>
      <c r="E443">
        <v>50</v>
      </c>
      <c r="F443">
        <v>14.998819351</v>
      </c>
      <c r="G443">
        <v>1413.1315918</v>
      </c>
      <c r="H443">
        <v>1389.0733643000001</v>
      </c>
      <c r="I443">
        <v>1192.2927245999999</v>
      </c>
      <c r="J443">
        <v>1118.0002440999999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151.49259799999999</v>
      </c>
      <c r="B444" s="1">
        <f>DATE(2010,9,29) + TIME(11,49,20)</f>
        <v>40450.492592592593</v>
      </c>
      <c r="C444">
        <v>80</v>
      </c>
      <c r="D444">
        <v>79.953704834000007</v>
      </c>
      <c r="E444">
        <v>50</v>
      </c>
      <c r="F444">
        <v>14.998825073000001</v>
      </c>
      <c r="G444">
        <v>1413.105957</v>
      </c>
      <c r="H444">
        <v>1389.0482178</v>
      </c>
      <c r="I444">
        <v>1192.2985839999999</v>
      </c>
      <c r="J444">
        <v>1118.0057373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152.117287</v>
      </c>
      <c r="B445" s="1">
        <f>DATE(2010,9,30) + TIME(2,48,53)</f>
        <v>40451.117280092592</v>
      </c>
      <c r="C445">
        <v>80</v>
      </c>
      <c r="D445">
        <v>79.95375061</v>
      </c>
      <c r="E445">
        <v>50</v>
      </c>
      <c r="F445">
        <v>14.998831749000001</v>
      </c>
      <c r="G445">
        <v>1413.0805664</v>
      </c>
      <c r="H445">
        <v>1389.0230713000001</v>
      </c>
      <c r="I445">
        <v>1192.3043213000001</v>
      </c>
      <c r="J445">
        <v>1118.0113524999999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153</v>
      </c>
      <c r="B446" s="1">
        <f>DATE(2010,10,1) + TIME(0,0,0)</f>
        <v>40452</v>
      </c>
      <c r="C446">
        <v>80</v>
      </c>
      <c r="D446">
        <v>79.953811646000005</v>
      </c>
      <c r="E446">
        <v>50</v>
      </c>
      <c r="F446">
        <v>14.998838425000001</v>
      </c>
      <c r="G446">
        <v>1413.0554199000001</v>
      </c>
      <c r="H446">
        <v>1388.9981689000001</v>
      </c>
      <c r="I446">
        <v>1192.3103027</v>
      </c>
      <c r="J446">
        <v>1118.0170897999999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154.24937800000001</v>
      </c>
      <c r="B447" s="1">
        <f>DATE(2010,10,2) + TIME(5,59,6)</f>
        <v>40453.249374999999</v>
      </c>
      <c r="C447">
        <v>80</v>
      </c>
      <c r="D447">
        <v>79.953895568999997</v>
      </c>
      <c r="E447">
        <v>50</v>
      </c>
      <c r="F447">
        <v>14.998847008</v>
      </c>
      <c r="G447">
        <v>1413.0201416</v>
      </c>
      <c r="H447">
        <v>1388.9633789</v>
      </c>
      <c r="I447">
        <v>1192.3187256000001</v>
      </c>
      <c r="J447">
        <v>1118.0251464999999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155.50107199999999</v>
      </c>
      <c r="B448" s="1">
        <f>DATE(2010,10,3) + TIME(12,1,32)</f>
        <v>40454.501064814816</v>
      </c>
      <c r="C448">
        <v>80</v>
      </c>
      <c r="D448">
        <v>79.953979492000002</v>
      </c>
      <c r="E448">
        <v>50</v>
      </c>
      <c r="F448">
        <v>14.998857498</v>
      </c>
      <c r="G448">
        <v>1412.9703368999999</v>
      </c>
      <c r="H448">
        <v>1388.9143065999999</v>
      </c>
      <c r="I448">
        <v>1192.3305664</v>
      </c>
      <c r="J448">
        <v>1118.0366211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156.763497</v>
      </c>
      <c r="B449" s="1">
        <f>DATE(2010,10,4) + TIME(18,19,26)</f>
        <v>40455.763495370367</v>
      </c>
      <c r="C449">
        <v>80</v>
      </c>
      <c r="D449">
        <v>79.954071045000006</v>
      </c>
      <c r="E449">
        <v>50</v>
      </c>
      <c r="F449">
        <v>14.998869896</v>
      </c>
      <c r="G449">
        <v>1412.9206543</v>
      </c>
      <c r="H449">
        <v>1388.8653564000001</v>
      </c>
      <c r="I449">
        <v>1192.3425293</v>
      </c>
      <c r="J449">
        <v>1118.0480957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158.03874300000001</v>
      </c>
      <c r="B450" s="1">
        <f>DATE(2010,10,6) + TIME(0,55,47)</f>
        <v>40457.038738425923</v>
      </c>
      <c r="C450">
        <v>80</v>
      </c>
      <c r="D450">
        <v>79.954154967999997</v>
      </c>
      <c r="E450">
        <v>50</v>
      </c>
      <c r="F450">
        <v>14.998882294</v>
      </c>
      <c r="G450">
        <v>1412.8709716999999</v>
      </c>
      <c r="H450">
        <v>1388.8162841999999</v>
      </c>
      <c r="I450">
        <v>1192.3548584</v>
      </c>
      <c r="J450">
        <v>1118.0599365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159.32901000000001</v>
      </c>
      <c r="B451" s="1">
        <f>DATE(2010,10,7) + TIME(7,53,46)</f>
        <v>40458.329004629632</v>
      </c>
      <c r="C451">
        <v>80</v>
      </c>
      <c r="D451">
        <v>79.954238892000006</v>
      </c>
      <c r="E451">
        <v>50</v>
      </c>
      <c r="F451">
        <v>14.998895644999999</v>
      </c>
      <c r="G451">
        <v>1412.8211670000001</v>
      </c>
      <c r="H451">
        <v>1388.7672118999999</v>
      </c>
      <c r="I451">
        <v>1192.3673096</v>
      </c>
      <c r="J451">
        <v>1118.0720214999999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160.62194</v>
      </c>
      <c r="B452" s="1">
        <f>DATE(2010,10,8) + TIME(14,55,35)</f>
        <v>40459.621932870374</v>
      </c>
      <c r="C452">
        <v>80</v>
      </c>
      <c r="D452">
        <v>79.954330443999993</v>
      </c>
      <c r="E452">
        <v>50</v>
      </c>
      <c r="F452">
        <v>14.998908043</v>
      </c>
      <c r="G452">
        <v>1412.7712402</v>
      </c>
      <c r="H452">
        <v>1388.7178954999999</v>
      </c>
      <c r="I452">
        <v>1192.380249</v>
      </c>
      <c r="J452">
        <v>1118.0843506000001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161.27023199999999</v>
      </c>
      <c r="B453" s="1">
        <f>DATE(2010,10,9) + TIME(6,29,8)</f>
        <v>40460.270231481481</v>
      </c>
      <c r="C453">
        <v>80</v>
      </c>
      <c r="D453">
        <v>79.954368591000005</v>
      </c>
      <c r="E453">
        <v>50</v>
      </c>
      <c r="F453">
        <v>14.998919487</v>
      </c>
      <c r="G453">
        <v>1412.7214355000001</v>
      </c>
      <c r="H453">
        <v>1388.6687012</v>
      </c>
      <c r="I453">
        <v>1192.3930664</v>
      </c>
      <c r="J453">
        <v>1118.0966797000001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161.91852399999999</v>
      </c>
      <c r="B454" s="1">
        <f>DATE(2010,10,9) + TIME(22,2,40)</f>
        <v>40460.91851851852</v>
      </c>
      <c r="C454">
        <v>80</v>
      </c>
      <c r="D454">
        <v>79.954414368000002</v>
      </c>
      <c r="E454">
        <v>50</v>
      </c>
      <c r="F454">
        <v>14.998929024000001</v>
      </c>
      <c r="G454">
        <v>1412.6960449000001</v>
      </c>
      <c r="H454">
        <v>1388.6436768000001</v>
      </c>
      <c r="I454">
        <v>1192.3996582</v>
      </c>
      <c r="J454">
        <v>1118.1030272999999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162.56681599999999</v>
      </c>
      <c r="B455" s="1">
        <f>DATE(2010,10,10) + TIME(13,36,12)</f>
        <v>40461.566805555558</v>
      </c>
      <c r="C455">
        <v>80</v>
      </c>
      <c r="D455">
        <v>79.954460143999995</v>
      </c>
      <c r="E455">
        <v>50</v>
      </c>
      <c r="F455">
        <v>14.998936652999999</v>
      </c>
      <c r="G455">
        <v>1412.6713867000001</v>
      </c>
      <c r="H455">
        <v>1388.6192627</v>
      </c>
      <c r="I455">
        <v>1192.4063721</v>
      </c>
      <c r="J455">
        <v>1118.109375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163.21510799999999</v>
      </c>
      <c r="B456" s="1">
        <f>DATE(2010,10,11) + TIME(5,9,45)</f>
        <v>40462.215104166666</v>
      </c>
      <c r="C456">
        <v>80</v>
      </c>
      <c r="D456">
        <v>79.954498290999993</v>
      </c>
      <c r="E456">
        <v>50</v>
      </c>
      <c r="F456">
        <v>14.998944283</v>
      </c>
      <c r="G456">
        <v>1412.6467285000001</v>
      </c>
      <c r="H456">
        <v>1388.5949707</v>
      </c>
      <c r="I456">
        <v>1192.4130858999999</v>
      </c>
      <c r="J456">
        <v>1118.1158447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163.86340000000001</v>
      </c>
      <c r="B457" s="1">
        <f>DATE(2010,10,11) + TIME(20,43,17)</f>
        <v>40462.863391203704</v>
      </c>
      <c r="C457">
        <v>80</v>
      </c>
      <c r="D457">
        <v>79.954544067</v>
      </c>
      <c r="E457">
        <v>50</v>
      </c>
      <c r="F457">
        <v>14.998951912000001</v>
      </c>
      <c r="G457">
        <v>1412.6221923999999</v>
      </c>
      <c r="H457">
        <v>1388.5708007999999</v>
      </c>
      <c r="I457">
        <v>1192.4197998</v>
      </c>
      <c r="J457">
        <v>1118.1223144999999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164.51169200000001</v>
      </c>
      <c r="B458" s="1">
        <f>DATE(2010,10,12) + TIME(12,16,50)</f>
        <v>40463.511689814812</v>
      </c>
      <c r="C458">
        <v>80</v>
      </c>
      <c r="D458">
        <v>79.954589843999997</v>
      </c>
      <c r="E458">
        <v>50</v>
      </c>
      <c r="F458">
        <v>14.998959541</v>
      </c>
      <c r="G458">
        <v>1412.5977783000001</v>
      </c>
      <c r="H458">
        <v>1388.5466309000001</v>
      </c>
      <c r="I458">
        <v>1192.4266356999999</v>
      </c>
      <c r="J458">
        <v>1118.1289062000001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165.15998400000001</v>
      </c>
      <c r="B459" s="1">
        <f>DATE(2010,10,13) + TIME(3,50,22)</f>
        <v>40464.15997685185</v>
      </c>
      <c r="C459">
        <v>80</v>
      </c>
      <c r="D459">
        <v>79.954627990999995</v>
      </c>
      <c r="E459">
        <v>50</v>
      </c>
      <c r="F459">
        <v>14.998968123999999</v>
      </c>
      <c r="G459">
        <v>1412.5733643000001</v>
      </c>
      <c r="H459">
        <v>1388.5227050999999</v>
      </c>
      <c r="I459">
        <v>1192.4334716999999</v>
      </c>
      <c r="J459">
        <v>1118.135376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165.80827600000001</v>
      </c>
      <c r="B460" s="1">
        <f>DATE(2010,10,13) + TIME(19,23,55)</f>
        <v>40464.808275462965</v>
      </c>
      <c r="C460">
        <v>80</v>
      </c>
      <c r="D460">
        <v>79.954673767000003</v>
      </c>
      <c r="E460">
        <v>50</v>
      </c>
      <c r="F460">
        <v>14.998975754</v>
      </c>
      <c r="G460">
        <v>1412.5490723</v>
      </c>
      <c r="H460">
        <v>1388.4986572</v>
      </c>
      <c r="I460">
        <v>1192.4403076000001</v>
      </c>
      <c r="J460">
        <v>1118.1419678</v>
      </c>
      <c r="K460">
        <v>2400</v>
      </c>
      <c r="L460">
        <v>0</v>
      </c>
      <c r="M460">
        <v>0</v>
      </c>
      <c r="N460">
        <v>2400</v>
      </c>
    </row>
    <row r="461" spans="1:14" x14ac:dyDescent="0.25">
      <c r="A461">
        <v>166.456568</v>
      </c>
      <c r="B461" s="1">
        <f>DATE(2010,10,14) + TIME(10,57,27)</f>
        <v>40465.456562500003</v>
      </c>
      <c r="C461">
        <v>80</v>
      </c>
      <c r="D461">
        <v>79.954719542999996</v>
      </c>
      <c r="E461">
        <v>50</v>
      </c>
      <c r="F461">
        <v>14.998984337</v>
      </c>
      <c r="G461">
        <v>1412.5249022999999</v>
      </c>
      <c r="H461">
        <v>1388.4748535000001</v>
      </c>
      <c r="I461">
        <v>1192.4472656</v>
      </c>
      <c r="J461">
        <v>1118.1486815999999</v>
      </c>
      <c r="K461">
        <v>2400</v>
      </c>
      <c r="L461">
        <v>0</v>
      </c>
      <c r="M461">
        <v>0</v>
      </c>
      <c r="N461">
        <v>2400</v>
      </c>
    </row>
    <row r="462" spans="1:14" x14ac:dyDescent="0.25">
      <c r="A462">
        <v>167.10486</v>
      </c>
      <c r="B462" s="1">
        <f>DATE(2010,10,15) + TIME(2,30,59)</f>
        <v>40466.104849537034</v>
      </c>
      <c r="C462">
        <v>80</v>
      </c>
      <c r="D462">
        <v>79.954757689999994</v>
      </c>
      <c r="E462">
        <v>50</v>
      </c>
      <c r="F462">
        <v>14.998992919999999</v>
      </c>
      <c r="G462">
        <v>1412.5008545000001</v>
      </c>
      <c r="H462">
        <v>1388.4510498</v>
      </c>
      <c r="I462">
        <v>1192.4542236</v>
      </c>
      <c r="J462">
        <v>1118.1552733999999</v>
      </c>
      <c r="K462">
        <v>2400</v>
      </c>
      <c r="L462">
        <v>0</v>
      </c>
      <c r="M462">
        <v>0</v>
      </c>
      <c r="N462">
        <v>2400</v>
      </c>
    </row>
    <row r="463" spans="1:14" x14ac:dyDescent="0.25">
      <c r="A463">
        <v>167.753152</v>
      </c>
      <c r="B463" s="1">
        <f>DATE(2010,10,15) + TIME(18,4,32)</f>
        <v>40466.753148148149</v>
      </c>
      <c r="C463">
        <v>80</v>
      </c>
      <c r="D463">
        <v>79.954803467000005</v>
      </c>
      <c r="E463">
        <v>50</v>
      </c>
      <c r="F463">
        <v>14.999002457</v>
      </c>
      <c r="G463">
        <v>1412.4768065999999</v>
      </c>
      <c r="H463">
        <v>1388.4273682</v>
      </c>
      <c r="I463">
        <v>1192.4613036999999</v>
      </c>
      <c r="J463">
        <v>1118.1619873</v>
      </c>
      <c r="K463">
        <v>2400</v>
      </c>
      <c r="L463">
        <v>0</v>
      </c>
      <c r="M463">
        <v>0</v>
      </c>
      <c r="N463">
        <v>2400</v>
      </c>
    </row>
    <row r="464" spans="1:14" x14ac:dyDescent="0.25">
      <c r="A464">
        <v>168.401444</v>
      </c>
      <c r="B464" s="1">
        <f>DATE(2010,10,16) + TIME(9,38,4)</f>
        <v>40467.401435185187</v>
      </c>
      <c r="C464">
        <v>80</v>
      </c>
      <c r="D464">
        <v>79.954841614000003</v>
      </c>
      <c r="E464">
        <v>50</v>
      </c>
      <c r="F464">
        <v>14.999011039999999</v>
      </c>
      <c r="G464">
        <v>1412.4528809000001</v>
      </c>
      <c r="H464">
        <v>1388.4038086</v>
      </c>
      <c r="I464">
        <v>1192.4683838000001</v>
      </c>
      <c r="J464">
        <v>1118.1688231999999</v>
      </c>
      <c r="K464">
        <v>2400</v>
      </c>
      <c r="L464">
        <v>0</v>
      </c>
      <c r="M464">
        <v>0</v>
      </c>
      <c r="N464">
        <v>2400</v>
      </c>
    </row>
    <row r="465" spans="1:14" x14ac:dyDescent="0.25">
      <c r="A465">
        <v>169.049736</v>
      </c>
      <c r="B465" s="1">
        <f>DATE(2010,10,17) + TIME(1,11,37)</f>
        <v>40468.049733796295</v>
      </c>
      <c r="C465">
        <v>80</v>
      </c>
      <c r="D465">
        <v>79.954887389999996</v>
      </c>
      <c r="E465">
        <v>50</v>
      </c>
      <c r="F465">
        <v>14.99902153</v>
      </c>
      <c r="G465">
        <v>1412.4290771000001</v>
      </c>
      <c r="H465">
        <v>1388.3803711</v>
      </c>
      <c r="I465">
        <v>1192.4754639</v>
      </c>
      <c r="J465">
        <v>1118.1756591999999</v>
      </c>
      <c r="K465">
        <v>2400</v>
      </c>
      <c r="L465">
        <v>0</v>
      </c>
      <c r="M465">
        <v>0</v>
      </c>
      <c r="N465">
        <v>2400</v>
      </c>
    </row>
    <row r="466" spans="1:14" x14ac:dyDescent="0.25">
      <c r="A466">
        <v>169.69802799999999</v>
      </c>
      <c r="B466" s="1">
        <f>DATE(2010,10,17) + TIME(16,45,9)</f>
        <v>40468.698020833333</v>
      </c>
      <c r="C466">
        <v>80</v>
      </c>
      <c r="D466">
        <v>79.954925536999994</v>
      </c>
      <c r="E466">
        <v>50</v>
      </c>
      <c r="F466">
        <v>14.999031067000001</v>
      </c>
      <c r="G466">
        <v>1412.4052733999999</v>
      </c>
      <c r="H466">
        <v>1388.3569336</v>
      </c>
      <c r="I466">
        <v>1192.4826660000001</v>
      </c>
      <c r="J466">
        <v>1118.1824951000001</v>
      </c>
      <c r="K466">
        <v>2400</v>
      </c>
      <c r="L466">
        <v>0</v>
      </c>
      <c r="M466">
        <v>0</v>
      </c>
      <c r="N466">
        <v>2400</v>
      </c>
    </row>
    <row r="467" spans="1:14" x14ac:dyDescent="0.25">
      <c r="A467">
        <v>170.99461199999999</v>
      </c>
      <c r="B467" s="1">
        <f>DATE(2010,10,18) + TIME(23,52,14)</f>
        <v>40469.994606481479</v>
      </c>
      <c r="C467">
        <v>80</v>
      </c>
      <c r="D467">
        <v>79.955017089999998</v>
      </c>
      <c r="E467">
        <v>50</v>
      </c>
      <c r="F467">
        <v>14.999044418</v>
      </c>
      <c r="G467">
        <v>1412.3819579999999</v>
      </c>
      <c r="H467">
        <v>1388.3338623</v>
      </c>
      <c r="I467">
        <v>1192.4899902</v>
      </c>
      <c r="J467">
        <v>1118.1895752</v>
      </c>
      <c r="K467">
        <v>2400</v>
      </c>
      <c r="L467">
        <v>0</v>
      </c>
      <c r="M467">
        <v>0</v>
      </c>
      <c r="N467">
        <v>2400</v>
      </c>
    </row>
    <row r="468" spans="1:14" x14ac:dyDescent="0.25">
      <c r="A468">
        <v>172.29483999999999</v>
      </c>
      <c r="B468" s="1">
        <f>DATE(2010,10,20) + TIME(7,4,34)</f>
        <v>40471.29483796296</v>
      </c>
      <c r="C468">
        <v>80</v>
      </c>
      <c r="D468">
        <v>79.955101013000004</v>
      </c>
      <c r="E468">
        <v>50</v>
      </c>
      <c r="F468">
        <v>14.999063491999999</v>
      </c>
      <c r="G468">
        <v>1412.3352050999999</v>
      </c>
      <c r="H468">
        <v>1388.2877197</v>
      </c>
      <c r="I468">
        <v>1192.5045166</v>
      </c>
      <c r="J468">
        <v>1118.2033690999999</v>
      </c>
      <c r="K468">
        <v>2400</v>
      </c>
      <c r="L468">
        <v>0</v>
      </c>
      <c r="M468">
        <v>0</v>
      </c>
      <c r="N468">
        <v>2400</v>
      </c>
    </row>
    <row r="469" spans="1:14" x14ac:dyDescent="0.25">
      <c r="A469">
        <v>173.61392599999999</v>
      </c>
      <c r="B469" s="1">
        <f>DATE(2010,10,21) + TIME(14,44,3)</f>
        <v>40472.613923611112</v>
      </c>
      <c r="C469">
        <v>80</v>
      </c>
      <c r="D469">
        <v>79.955184936999999</v>
      </c>
      <c r="E469">
        <v>50</v>
      </c>
      <c r="F469">
        <v>14.99908638</v>
      </c>
      <c r="G469">
        <v>1412.2884521000001</v>
      </c>
      <c r="H469">
        <v>1388.2415771000001</v>
      </c>
      <c r="I469">
        <v>1192.5192870999999</v>
      </c>
      <c r="J469">
        <v>1118.2174072</v>
      </c>
      <c r="K469">
        <v>2400</v>
      </c>
      <c r="L469">
        <v>0</v>
      </c>
      <c r="M469">
        <v>0</v>
      </c>
      <c r="N469">
        <v>2400</v>
      </c>
    </row>
    <row r="470" spans="1:14" x14ac:dyDescent="0.25">
      <c r="A470">
        <v>174.95118199999999</v>
      </c>
      <c r="B470" s="1">
        <f>DATE(2010,10,22) + TIME(22,49,42)</f>
        <v>40473.951180555552</v>
      </c>
      <c r="C470">
        <v>80</v>
      </c>
      <c r="D470">
        <v>79.955268860000004</v>
      </c>
      <c r="E470">
        <v>50</v>
      </c>
      <c r="F470">
        <v>14.999112129</v>
      </c>
      <c r="G470">
        <v>1412.2413329999999</v>
      </c>
      <c r="H470">
        <v>1388.1951904</v>
      </c>
      <c r="I470">
        <v>1192.5344238</v>
      </c>
      <c r="J470">
        <v>1118.2319336</v>
      </c>
      <c r="K470">
        <v>2400</v>
      </c>
      <c r="L470">
        <v>0</v>
      </c>
      <c r="M470">
        <v>0</v>
      </c>
      <c r="N470">
        <v>2400</v>
      </c>
    </row>
    <row r="471" spans="1:14" x14ac:dyDescent="0.25">
      <c r="A471">
        <v>175.62217699999999</v>
      </c>
      <c r="B471" s="1">
        <f>DATE(2010,10,23) + TIME(14,55,56)</f>
        <v>40474.622175925928</v>
      </c>
      <c r="C471">
        <v>80</v>
      </c>
      <c r="D471">
        <v>79.955307007000002</v>
      </c>
      <c r="E471">
        <v>50</v>
      </c>
      <c r="F471">
        <v>14.999135970999999</v>
      </c>
      <c r="G471">
        <v>1412.1938477000001</v>
      </c>
      <c r="H471">
        <v>1388.1483154</v>
      </c>
      <c r="I471">
        <v>1192.5498047000001</v>
      </c>
      <c r="J471">
        <v>1118.2467041</v>
      </c>
      <c r="K471">
        <v>2400</v>
      </c>
      <c r="L471">
        <v>0</v>
      </c>
      <c r="M471">
        <v>0</v>
      </c>
      <c r="N471">
        <v>2400</v>
      </c>
    </row>
    <row r="472" spans="1:14" x14ac:dyDescent="0.25">
      <c r="A472">
        <v>176.293172</v>
      </c>
      <c r="B472" s="1">
        <f>DATE(2010,10,24) + TIME(7,2,10)</f>
        <v>40475.293171296296</v>
      </c>
      <c r="C472">
        <v>80</v>
      </c>
      <c r="D472">
        <v>79.955352782999995</v>
      </c>
      <c r="E472">
        <v>50</v>
      </c>
      <c r="F472">
        <v>14.999155998000001</v>
      </c>
      <c r="G472">
        <v>1412.1695557</v>
      </c>
      <c r="H472">
        <v>1388.1243896000001</v>
      </c>
      <c r="I472">
        <v>1192.5578613</v>
      </c>
      <c r="J472">
        <v>1118.2542725000001</v>
      </c>
      <c r="K472">
        <v>2400</v>
      </c>
      <c r="L472">
        <v>0</v>
      </c>
      <c r="M472">
        <v>0</v>
      </c>
      <c r="N472">
        <v>2400</v>
      </c>
    </row>
    <row r="473" spans="1:14" x14ac:dyDescent="0.25">
      <c r="A473">
        <v>176.964167</v>
      </c>
      <c r="B473" s="1">
        <f>DATE(2010,10,24) + TIME(23,8,24)</f>
        <v>40475.964166666665</v>
      </c>
      <c r="C473">
        <v>80</v>
      </c>
      <c r="D473">
        <v>79.955398560000006</v>
      </c>
      <c r="E473">
        <v>50</v>
      </c>
      <c r="F473">
        <v>14.999174117999999</v>
      </c>
      <c r="G473">
        <v>1412.1459961</v>
      </c>
      <c r="H473">
        <v>1388.1010742000001</v>
      </c>
      <c r="I473">
        <v>1192.565918</v>
      </c>
      <c r="J473">
        <v>1118.2619629000001</v>
      </c>
      <c r="K473">
        <v>2400</v>
      </c>
      <c r="L473">
        <v>0</v>
      </c>
      <c r="M473">
        <v>0</v>
      </c>
      <c r="N473">
        <v>2400</v>
      </c>
    </row>
    <row r="474" spans="1:14" x14ac:dyDescent="0.25">
      <c r="A474">
        <v>177.63516200000001</v>
      </c>
      <c r="B474" s="1">
        <f>DATE(2010,10,25) + TIME(15,14,37)</f>
        <v>40476.635150462964</v>
      </c>
      <c r="C474">
        <v>80</v>
      </c>
      <c r="D474">
        <v>79.955436707000004</v>
      </c>
      <c r="E474">
        <v>50</v>
      </c>
      <c r="F474">
        <v>14.999193192</v>
      </c>
      <c r="G474">
        <v>1412.1223144999999</v>
      </c>
      <c r="H474">
        <v>1388.0778809000001</v>
      </c>
      <c r="I474">
        <v>1192.5739745999999</v>
      </c>
      <c r="J474">
        <v>1118.2696533000001</v>
      </c>
      <c r="K474">
        <v>2400</v>
      </c>
      <c r="L474">
        <v>0</v>
      </c>
      <c r="M474">
        <v>0</v>
      </c>
      <c r="N474">
        <v>2400</v>
      </c>
    </row>
    <row r="475" spans="1:14" x14ac:dyDescent="0.25">
      <c r="A475">
        <v>178.30615700000001</v>
      </c>
      <c r="B475" s="1">
        <f>DATE(2010,10,26) + TIME(7,20,51)</f>
        <v>40477.306145833332</v>
      </c>
      <c r="C475">
        <v>80</v>
      </c>
      <c r="D475">
        <v>79.955482482999997</v>
      </c>
      <c r="E475">
        <v>50</v>
      </c>
      <c r="F475">
        <v>14.999212265000001</v>
      </c>
      <c r="G475">
        <v>1412.0988769999999</v>
      </c>
      <c r="H475">
        <v>1388.0546875</v>
      </c>
      <c r="I475">
        <v>1192.5821533000001</v>
      </c>
      <c r="J475">
        <v>1118.2774658000001</v>
      </c>
      <c r="K475">
        <v>2400</v>
      </c>
      <c r="L475">
        <v>0</v>
      </c>
      <c r="M475">
        <v>0</v>
      </c>
      <c r="N475">
        <v>2400</v>
      </c>
    </row>
    <row r="476" spans="1:14" x14ac:dyDescent="0.25">
      <c r="A476">
        <v>178.97715099999999</v>
      </c>
      <c r="B476" s="1">
        <f>DATE(2010,10,26) + TIME(23,27,5)</f>
        <v>40477.977141203701</v>
      </c>
      <c r="C476">
        <v>80</v>
      </c>
      <c r="D476">
        <v>79.955528259000005</v>
      </c>
      <c r="E476">
        <v>50</v>
      </c>
      <c r="F476">
        <v>14.999232292</v>
      </c>
      <c r="G476">
        <v>1412.0754394999999</v>
      </c>
      <c r="H476">
        <v>1388.0316161999999</v>
      </c>
      <c r="I476">
        <v>1192.590332</v>
      </c>
      <c r="J476">
        <v>1118.2852783000001</v>
      </c>
      <c r="K476">
        <v>2400</v>
      </c>
      <c r="L476">
        <v>0</v>
      </c>
      <c r="M476">
        <v>0</v>
      </c>
      <c r="N476">
        <v>2400</v>
      </c>
    </row>
    <row r="477" spans="1:14" x14ac:dyDescent="0.25">
      <c r="A477">
        <v>179.648146</v>
      </c>
      <c r="B477" s="1">
        <f>DATE(2010,10,27) + TIME(15,33,19)</f>
        <v>40478.648136574076</v>
      </c>
      <c r="C477">
        <v>80</v>
      </c>
      <c r="D477">
        <v>79.955566406000003</v>
      </c>
      <c r="E477">
        <v>50</v>
      </c>
      <c r="F477">
        <v>14.999254227</v>
      </c>
      <c r="G477">
        <v>1412.052124</v>
      </c>
      <c r="H477">
        <v>1388.0086670000001</v>
      </c>
      <c r="I477">
        <v>1192.5986327999999</v>
      </c>
      <c r="J477">
        <v>1118.2932129000001</v>
      </c>
      <c r="K477">
        <v>2400</v>
      </c>
      <c r="L477">
        <v>0</v>
      </c>
      <c r="M477">
        <v>0</v>
      </c>
      <c r="N477">
        <v>2400</v>
      </c>
    </row>
    <row r="478" spans="1:14" x14ac:dyDescent="0.25">
      <c r="A478">
        <v>180.319141</v>
      </c>
      <c r="B478" s="1">
        <f>DATE(2010,10,28) + TIME(7,39,33)</f>
        <v>40479.319131944445</v>
      </c>
      <c r="C478">
        <v>80</v>
      </c>
      <c r="D478">
        <v>79.955612183</v>
      </c>
      <c r="E478">
        <v>50</v>
      </c>
      <c r="F478">
        <v>14.999277115</v>
      </c>
      <c r="G478">
        <v>1412.0289307</v>
      </c>
      <c r="H478">
        <v>1387.9857178</v>
      </c>
      <c r="I478">
        <v>1192.6069336</v>
      </c>
      <c r="J478">
        <v>1118.3011475000001</v>
      </c>
      <c r="K478">
        <v>2400</v>
      </c>
      <c r="L478">
        <v>0</v>
      </c>
      <c r="M478">
        <v>0</v>
      </c>
      <c r="N478">
        <v>2400</v>
      </c>
    </row>
    <row r="479" spans="1:14" x14ac:dyDescent="0.25">
      <c r="A479">
        <v>180.99013600000001</v>
      </c>
      <c r="B479" s="1">
        <f>DATE(2010,10,28) + TIME(23,45,47)</f>
        <v>40479.990127314813</v>
      </c>
      <c r="C479">
        <v>80</v>
      </c>
      <c r="D479">
        <v>79.955650329999997</v>
      </c>
      <c r="E479">
        <v>50</v>
      </c>
      <c r="F479">
        <v>14.99930191</v>
      </c>
      <c r="G479">
        <v>1412.0057373</v>
      </c>
      <c r="H479">
        <v>1387.9628906</v>
      </c>
      <c r="I479">
        <v>1192.6153564000001</v>
      </c>
      <c r="J479">
        <v>1118.309082</v>
      </c>
      <c r="K479">
        <v>2400</v>
      </c>
      <c r="L479">
        <v>0</v>
      </c>
      <c r="M479">
        <v>0</v>
      </c>
      <c r="N479">
        <v>2400</v>
      </c>
    </row>
    <row r="480" spans="1:14" x14ac:dyDescent="0.25">
      <c r="A480">
        <v>181.66113100000001</v>
      </c>
      <c r="B480" s="1">
        <f>DATE(2010,10,29) + TIME(15,52,1)</f>
        <v>40480.661122685182</v>
      </c>
      <c r="C480">
        <v>80</v>
      </c>
      <c r="D480">
        <v>79.955696106000005</v>
      </c>
      <c r="E480">
        <v>50</v>
      </c>
      <c r="F480">
        <v>14.999327660000001</v>
      </c>
      <c r="G480">
        <v>1411.9826660000001</v>
      </c>
      <c r="H480">
        <v>1387.9401855000001</v>
      </c>
      <c r="I480">
        <v>1192.6239014</v>
      </c>
      <c r="J480">
        <v>1118.3171387</v>
      </c>
      <c r="K480">
        <v>2400</v>
      </c>
      <c r="L480">
        <v>0</v>
      </c>
      <c r="M480">
        <v>0</v>
      </c>
      <c r="N480">
        <v>2400</v>
      </c>
    </row>
    <row r="481" spans="1:14" x14ac:dyDescent="0.25">
      <c r="A481">
        <v>182.33212599999999</v>
      </c>
      <c r="B481" s="1">
        <f>DATE(2010,10,30) + TIME(7,58,15)</f>
        <v>40481.332118055558</v>
      </c>
      <c r="C481">
        <v>80</v>
      </c>
      <c r="D481">
        <v>79.955734253000003</v>
      </c>
      <c r="E481">
        <v>50</v>
      </c>
      <c r="F481">
        <v>14.999355316000001</v>
      </c>
      <c r="G481">
        <v>1411.9597168</v>
      </c>
      <c r="H481">
        <v>1387.9174805</v>
      </c>
      <c r="I481">
        <v>1192.6324463000001</v>
      </c>
      <c r="J481">
        <v>1118.3253173999999</v>
      </c>
      <c r="K481">
        <v>2400</v>
      </c>
      <c r="L481">
        <v>0</v>
      </c>
      <c r="M481">
        <v>0</v>
      </c>
      <c r="N481">
        <v>2400</v>
      </c>
    </row>
    <row r="482" spans="1:14" x14ac:dyDescent="0.25">
      <c r="A482">
        <v>183.00312</v>
      </c>
      <c r="B482" s="1">
        <f>DATE(2010,10,31) + TIME(0,4,29)</f>
        <v>40482.003113425926</v>
      </c>
      <c r="C482">
        <v>80</v>
      </c>
      <c r="D482">
        <v>79.955780028999996</v>
      </c>
      <c r="E482">
        <v>50</v>
      </c>
      <c r="F482">
        <v>14.999384879999999</v>
      </c>
      <c r="G482">
        <v>1411.9367675999999</v>
      </c>
      <c r="H482">
        <v>1387.8947754000001</v>
      </c>
      <c r="I482">
        <v>1192.6409911999999</v>
      </c>
      <c r="J482">
        <v>1118.3334961</v>
      </c>
      <c r="K482">
        <v>2400</v>
      </c>
      <c r="L482">
        <v>0</v>
      </c>
      <c r="M482">
        <v>0</v>
      </c>
      <c r="N482">
        <v>2400</v>
      </c>
    </row>
    <row r="483" spans="1:14" x14ac:dyDescent="0.25">
      <c r="A483">
        <v>184</v>
      </c>
      <c r="B483" s="1">
        <f>DATE(2010,11,1) + TIME(0,0,0)</f>
        <v>40483</v>
      </c>
      <c r="C483">
        <v>80</v>
      </c>
      <c r="D483">
        <v>79.955841063999998</v>
      </c>
      <c r="E483">
        <v>50</v>
      </c>
      <c r="F483">
        <v>14.999421119999999</v>
      </c>
      <c r="G483">
        <v>1411.9139404</v>
      </c>
      <c r="H483">
        <v>1387.8724365</v>
      </c>
      <c r="I483">
        <v>1192.6497803</v>
      </c>
      <c r="J483">
        <v>1118.3417969</v>
      </c>
      <c r="K483">
        <v>2400</v>
      </c>
      <c r="L483">
        <v>0</v>
      </c>
      <c r="M483">
        <v>0</v>
      </c>
      <c r="N483">
        <v>2400</v>
      </c>
    </row>
    <row r="484" spans="1:14" x14ac:dyDescent="0.25">
      <c r="A484">
        <v>184.000001</v>
      </c>
      <c r="B484" s="1">
        <f>DATE(2010,11,1) + TIME(0,0,0)</f>
        <v>40483</v>
      </c>
      <c r="C484">
        <v>80</v>
      </c>
      <c r="D484">
        <v>79.955589294000006</v>
      </c>
      <c r="E484">
        <v>50</v>
      </c>
      <c r="F484">
        <v>14.999684333999999</v>
      </c>
      <c r="G484">
        <v>1386.1287841999999</v>
      </c>
      <c r="H484">
        <v>1359.5445557</v>
      </c>
      <c r="I484">
        <v>1277.8215332</v>
      </c>
      <c r="J484">
        <v>1194.4013672000001</v>
      </c>
      <c r="K484">
        <v>0</v>
      </c>
      <c r="L484">
        <v>2400</v>
      </c>
      <c r="M484">
        <v>2400</v>
      </c>
      <c r="N484">
        <v>0</v>
      </c>
    </row>
    <row r="485" spans="1:14" x14ac:dyDescent="0.25">
      <c r="A485">
        <v>184.00000399999999</v>
      </c>
      <c r="B485" s="1">
        <f>DATE(2010,11,1) + TIME(0,0,0)</f>
        <v>40483</v>
      </c>
      <c r="C485">
        <v>80</v>
      </c>
      <c r="D485">
        <v>79.954963684000006</v>
      </c>
      <c r="E485">
        <v>50</v>
      </c>
      <c r="F485">
        <v>15.000443459</v>
      </c>
      <c r="G485">
        <v>1381.7253418</v>
      </c>
      <c r="H485">
        <v>1355.1553954999999</v>
      </c>
      <c r="I485">
        <v>1282.7659911999999</v>
      </c>
      <c r="J485">
        <v>1199.3542480000001</v>
      </c>
      <c r="K485">
        <v>0</v>
      </c>
      <c r="L485">
        <v>2400</v>
      </c>
      <c r="M485">
        <v>2400</v>
      </c>
      <c r="N485">
        <v>0</v>
      </c>
    </row>
    <row r="486" spans="1:14" x14ac:dyDescent="0.25">
      <c r="A486">
        <v>184.000013</v>
      </c>
      <c r="B486" s="1">
        <f>DATE(2010,11,1) + TIME(0,0,1)</f>
        <v>40483.000011574077</v>
      </c>
      <c r="C486">
        <v>80</v>
      </c>
      <c r="D486">
        <v>79.953704834000007</v>
      </c>
      <c r="E486">
        <v>50</v>
      </c>
      <c r="F486">
        <v>15.002494812</v>
      </c>
      <c r="G486">
        <v>1372.8525391000001</v>
      </c>
      <c r="H486">
        <v>1346.3562012</v>
      </c>
      <c r="I486">
        <v>1295.3759766000001</v>
      </c>
      <c r="J486">
        <v>1212.0155029</v>
      </c>
      <c r="K486">
        <v>0</v>
      </c>
      <c r="L486">
        <v>2400</v>
      </c>
      <c r="M486">
        <v>2400</v>
      </c>
      <c r="N486">
        <v>0</v>
      </c>
    </row>
    <row r="487" spans="1:14" x14ac:dyDescent="0.25">
      <c r="A487">
        <v>184.00004000000001</v>
      </c>
      <c r="B487" s="1">
        <f>DATE(2010,11,1) + TIME(0,0,3)</f>
        <v>40483.000034722223</v>
      </c>
      <c r="C487">
        <v>80</v>
      </c>
      <c r="D487">
        <v>79.951866150000001</v>
      </c>
      <c r="E487">
        <v>50</v>
      </c>
      <c r="F487">
        <v>15.007425308</v>
      </c>
      <c r="G487">
        <v>1359.9774170000001</v>
      </c>
      <c r="H487">
        <v>1333.6986084</v>
      </c>
      <c r="I487">
        <v>1321.2541504000001</v>
      </c>
      <c r="J487">
        <v>1238.1220702999999</v>
      </c>
      <c r="K487">
        <v>0</v>
      </c>
      <c r="L487">
        <v>2400</v>
      </c>
      <c r="M487">
        <v>2400</v>
      </c>
      <c r="N487">
        <v>0</v>
      </c>
    </row>
    <row r="488" spans="1:14" x14ac:dyDescent="0.25">
      <c r="A488">
        <v>184.00012100000001</v>
      </c>
      <c r="B488" s="1">
        <f>DATE(2010,11,1) + TIME(0,0,10)</f>
        <v>40483.000115740739</v>
      </c>
      <c r="C488">
        <v>80</v>
      </c>
      <c r="D488">
        <v>79.94984436</v>
      </c>
      <c r="E488">
        <v>50</v>
      </c>
      <c r="F488">
        <v>15.018122673000001</v>
      </c>
      <c r="G488">
        <v>1345.9172363</v>
      </c>
      <c r="H488">
        <v>1320.0759277</v>
      </c>
      <c r="I488">
        <v>1359.5804443</v>
      </c>
      <c r="J488">
        <v>1277.0992432</v>
      </c>
      <c r="K488">
        <v>0</v>
      </c>
      <c r="L488">
        <v>2400</v>
      </c>
      <c r="M488">
        <v>2400</v>
      </c>
      <c r="N488">
        <v>0</v>
      </c>
    </row>
    <row r="489" spans="1:14" x14ac:dyDescent="0.25">
      <c r="A489">
        <v>184.00036399999999</v>
      </c>
      <c r="B489" s="1">
        <f>DATE(2010,11,1) + TIME(0,0,31)</f>
        <v>40483.000358796293</v>
      </c>
      <c r="C489">
        <v>80</v>
      </c>
      <c r="D489">
        <v>79.947822571000003</v>
      </c>
      <c r="E489">
        <v>50</v>
      </c>
      <c r="F489">
        <v>15.042331696</v>
      </c>
      <c r="G489">
        <v>1332.3914795000001</v>
      </c>
      <c r="H489">
        <v>1307.2480469</v>
      </c>
      <c r="I489">
        <v>1401.6781006000001</v>
      </c>
      <c r="J489">
        <v>1320.5198975000001</v>
      </c>
      <c r="K489">
        <v>0</v>
      </c>
      <c r="L489">
        <v>2400</v>
      </c>
      <c r="M489">
        <v>2400</v>
      </c>
      <c r="N489">
        <v>0</v>
      </c>
    </row>
    <row r="490" spans="1:14" x14ac:dyDescent="0.25">
      <c r="A490">
        <v>184.001093</v>
      </c>
      <c r="B490" s="1">
        <f>DATE(2010,11,1) + TIME(0,1,34)</f>
        <v>40483.001087962963</v>
      </c>
      <c r="C490">
        <v>80</v>
      </c>
      <c r="D490">
        <v>79.945785521999994</v>
      </c>
      <c r="E490">
        <v>50</v>
      </c>
      <c r="F490">
        <v>15.104290009</v>
      </c>
      <c r="G490">
        <v>1320.0775146000001</v>
      </c>
      <c r="H490">
        <v>1295.7280272999999</v>
      </c>
      <c r="I490">
        <v>1441.5460204999999</v>
      </c>
      <c r="J490">
        <v>1362.5726318</v>
      </c>
      <c r="K490">
        <v>0</v>
      </c>
      <c r="L490">
        <v>2400</v>
      </c>
      <c r="M490">
        <v>2400</v>
      </c>
      <c r="N490">
        <v>0</v>
      </c>
    </row>
    <row r="491" spans="1:14" x14ac:dyDescent="0.25">
      <c r="A491">
        <v>184.00327999999999</v>
      </c>
      <c r="B491" s="1">
        <f>DATE(2010,11,1) + TIME(0,4,43)</f>
        <v>40483.003275462965</v>
      </c>
      <c r="C491">
        <v>80</v>
      </c>
      <c r="D491">
        <v>79.943374633999994</v>
      </c>
      <c r="E491">
        <v>50</v>
      </c>
      <c r="F491">
        <v>15.274958611000001</v>
      </c>
      <c r="G491">
        <v>1309.1602783000001</v>
      </c>
      <c r="H491">
        <v>1285.3419189000001</v>
      </c>
      <c r="I491">
        <v>1476.8378906</v>
      </c>
      <c r="J491">
        <v>1400.6535644999999</v>
      </c>
      <c r="K491">
        <v>0</v>
      </c>
      <c r="L491">
        <v>2400</v>
      </c>
      <c r="M491">
        <v>2400</v>
      </c>
      <c r="N491">
        <v>0</v>
      </c>
    </row>
    <row r="492" spans="1:14" x14ac:dyDescent="0.25">
      <c r="A492">
        <v>184.00984099999999</v>
      </c>
      <c r="B492" s="1">
        <f>DATE(2010,11,1) + TIME(0,14,10)</f>
        <v>40483.009837962964</v>
      </c>
      <c r="C492">
        <v>80</v>
      </c>
      <c r="D492">
        <v>79.939292907999999</v>
      </c>
      <c r="E492">
        <v>50</v>
      </c>
      <c r="F492">
        <v>15.759910583</v>
      </c>
      <c r="G492">
        <v>1298.2867432</v>
      </c>
      <c r="H492">
        <v>1274.6385498</v>
      </c>
      <c r="I492">
        <v>1504.9233397999999</v>
      </c>
      <c r="J492">
        <v>1431.4963379000001</v>
      </c>
      <c r="K492">
        <v>0</v>
      </c>
      <c r="L492">
        <v>2400</v>
      </c>
      <c r="M492">
        <v>2400</v>
      </c>
      <c r="N492">
        <v>0</v>
      </c>
    </row>
    <row r="493" spans="1:14" x14ac:dyDescent="0.25">
      <c r="A493">
        <v>184.021334</v>
      </c>
      <c r="B493" s="1">
        <f>DATE(2010,11,1) + TIME(0,30,43)</f>
        <v>40483.021331018521</v>
      </c>
      <c r="C493">
        <v>80</v>
      </c>
      <c r="D493">
        <v>79.933723450000002</v>
      </c>
      <c r="E493">
        <v>50</v>
      </c>
      <c r="F493">
        <v>16.578460693</v>
      </c>
      <c r="G493">
        <v>1289.9244385</v>
      </c>
      <c r="H493">
        <v>1266.2817382999999</v>
      </c>
      <c r="I493">
        <v>1519.2772216999999</v>
      </c>
      <c r="J493">
        <v>1448.0849608999999</v>
      </c>
      <c r="K493">
        <v>0</v>
      </c>
      <c r="L493">
        <v>2400</v>
      </c>
      <c r="M493">
        <v>2400</v>
      </c>
      <c r="N493">
        <v>0</v>
      </c>
    </row>
    <row r="494" spans="1:14" x14ac:dyDescent="0.25">
      <c r="A494">
        <v>184.033017</v>
      </c>
      <c r="B494" s="1">
        <f>DATE(2010,11,1) + TIME(0,47,32)</f>
        <v>40483.033009259256</v>
      </c>
      <c r="C494">
        <v>80</v>
      </c>
      <c r="D494">
        <v>79.928634643999999</v>
      </c>
      <c r="E494">
        <v>50</v>
      </c>
      <c r="F494">
        <v>17.387973785</v>
      </c>
      <c r="G494">
        <v>1285.3332519999999</v>
      </c>
      <c r="H494">
        <v>1261.6777344</v>
      </c>
      <c r="I494">
        <v>1524.4018555</v>
      </c>
      <c r="J494">
        <v>1454.9105225000001</v>
      </c>
      <c r="K494">
        <v>0</v>
      </c>
      <c r="L494">
        <v>2400</v>
      </c>
      <c r="M494">
        <v>2400</v>
      </c>
      <c r="N494">
        <v>0</v>
      </c>
    </row>
    <row r="495" spans="1:14" x14ac:dyDescent="0.25">
      <c r="A495">
        <v>184.04496900000001</v>
      </c>
      <c r="B495" s="1">
        <f>DATE(2010,11,1) + TIME(1,4,45)</f>
        <v>40483.044965277775</v>
      </c>
      <c r="C495">
        <v>80</v>
      </c>
      <c r="D495">
        <v>79.923736571999996</v>
      </c>
      <c r="E495">
        <v>50</v>
      </c>
      <c r="F495">
        <v>18.194858550999999</v>
      </c>
      <c r="G495">
        <v>1282.6412353999999</v>
      </c>
      <c r="H495">
        <v>1258.9759521000001</v>
      </c>
      <c r="I495">
        <v>1525.9351807</v>
      </c>
      <c r="J495">
        <v>1457.9880370999999</v>
      </c>
      <c r="K495">
        <v>0</v>
      </c>
      <c r="L495">
        <v>2400</v>
      </c>
      <c r="M495">
        <v>2400</v>
      </c>
      <c r="N495">
        <v>0</v>
      </c>
    </row>
    <row r="496" spans="1:14" x14ac:dyDescent="0.25">
      <c r="A496">
        <v>184.057222</v>
      </c>
      <c r="B496" s="1">
        <f>DATE(2010,11,1) + TIME(1,22,23)</f>
        <v>40483.057210648149</v>
      </c>
      <c r="C496">
        <v>80</v>
      </c>
      <c r="D496">
        <v>79.918922424000002</v>
      </c>
      <c r="E496">
        <v>50</v>
      </c>
      <c r="F496">
        <v>19.000844955000002</v>
      </c>
      <c r="G496">
        <v>1281.0288086</v>
      </c>
      <c r="H496">
        <v>1257.3575439000001</v>
      </c>
      <c r="I496">
        <v>1525.7614745999999</v>
      </c>
      <c r="J496">
        <v>1459.2819824000001</v>
      </c>
      <c r="K496">
        <v>0</v>
      </c>
      <c r="L496">
        <v>2400</v>
      </c>
      <c r="M496">
        <v>2400</v>
      </c>
      <c r="N496">
        <v>0</v>
      </c>
    </row>
    <row r="497" spans="1:14" x14ac:dyDescent="0.25">
      <c r="A497">
        <v>184.06980100000001</v>
      </c>
      <c r="B497" s="1">
        <f>DATE(2010,11,1) + TIME(1,40,30)</f>
        <v>40483.069791666669</v>
      </c>
      <c r="C497">
        <v>80</v>
      </c>
      <c r="D497">
        <v>79.914108275999993</v>
      </c>
      <c r="E497">
        <v>50</v>
      </c>
      <c r="F497">
        <v>19.806581497</v>
      </c>
      <c r="G497">
        <v>1280.0567627</v>
      </c>
      <c r="H497">
        <v>1256.3817139</v>
      </c>
      <c r="I497">
        <v>1524.7022704999999</v>
      </c>
      <c r="J497">
        <v>1459.6347656</v>
      </c>
      <c r="K497">
        <v>0</v>
      </c>
      <c r="L497">
        <v>2400</v>
      </c>
      <c r="M497">
        <v>2400</v>
      </c>
      <c r="N497">
        <v>0</v>
      </c>
    </row>
    <row r="498" spans="1:14" x14ac:dyDescent="0.25">
      <c r="A498">
        <v>184.08271999999999</v>
      </c>
      <c r="B498" s="1">
        <f>DATE(2010,11,1) + TIME(1,59,7)</f>
        <v>40483.082719907405</v>
      </c>
      <c r="C498">
        <v>80</v>
      </c>
      <c r="D498">
        <v>79.909263611</v>
      </c>
      <c r="E498">
        <v>50</v>
      </c>
      <c r="F498">
        <v>20.612489700000001</v>
      </c>
      <c r="G498">
        <v>1279.4700928</v>
      </c>
      <c r="H498">
        <v>1255.7926024999999</v>
      </c>
      <c r="I498">
        <v>1523.1759033000001</v>
      </c>
      <c r="J498">
        <v>1459.4708252</v>
      </c>
      <c r="K498">
        <v>0</v>
      </c>
      <c r="L498">
        <v>2400</v>
      </c>
      <c r="M498">
        <v>2400</v>
      </c>
      <c r="N498">
        <v>0</v>
      </c>
    </row>
    <row r="499" spans="1:14" x14ac:dyDescent="0.25">
      <c r="A499">
        <v>184.096011</v>
      </c>
      <c r="B499" s="1">
        <f>DATE(2010,11,1) + TIME(2,18,15)</f>
        <v>40483.096006944441</v>
      </c>
      <c r="C499">
        <v>80</v>
      </c>
      <c r="D499">
        <v>79.904357910000002</v>
      </c>
      <c r="E499">
        <v>50</v>
      </c>
      <c r="F499">
        <v>21.418945312000002</v>
      </c>
      <c r="G499">
        <v>1279.1158447</v>
      </c>
      <c r="H499">
        <v>1255.4366454999999</v>
      </c>
      <c r="I499">
        <v>1521.4112548999999</v>
      </c>
      <c r="J499">
        <v>1459.0225829999999</v>
      </c>
      <c r="K499">
        <v>0</v>
      </c>
      <c r="L499">
        <v>2400</v>
      </c>
      <c r="M499">
        <v>2400</v>
      </c>
      <c r="N499">
        <v>0</v>
      </c>
    </row>
    <row r="500" spans="1:14" x14ac:dyDescent="0.25">
      <c r="A500">
        <v>184.109703</v>
      </c>
      <c r="B500" s="1">
        <f>DATE(2010,11,1) + TIME(2,37,58)</f>
        <v>40483.109699074077</v>
      </c>
      <c r="C500">
        <v>80</v>
      </c>
      <c r="D500">
        <v>79.899368285999998</v>
      </c>
      <c r="E500">
        <v>50</v>
      </c>
      <c r="F500">
        <v>22.226327896000001</v>
      </c>
      <c r="G500">
        <v>1278.9016113</v>
      </c>
      <c r="H500">
        <v>1255.2213135</v>
      </c>
      <c r="I500">
        <v>1519.5371094</v>
      </c>
      <c r="J500">
        <v>1458.4213867000001</v>
      </c>
      <c r="K500">
        <v>0</v>
      </c>
      <c r="L500">
        <v>2400</v>
      </c>
      <c r="M500">
        <v>2400</v>
      </c>
      <c r="N500">
        <v>0</v>
      </c>
    </row>
    <row r="501" spans="1:14" x14ac:dyDescent="0.25">
      <c r="A501">
        <v>184.123829</v>
      </c>
      <c r="B501" s="1">
        <f>DATE(2010,11,1) + TIME(2,58,18)</f>
        <v>40483.123819444445</v>
      </c>
      <c r="C501">
        <v>80</v>
      </c>
      <c r="D501">
        <v>79.894279479999994</v>
      </c>
      <c r="E501">
        <v>50</v>
      </c>
      <c r="F501">
        <v>23.03503418</v>
      </c>
      <c r="G501">
        <v>1278.7717285000001</v>
      </c>
      <c r="H501">
        <v>1255.0905762</v>
      </c>
      <c r="I501">
        <v>1517.6259766000001</v>
      </c>
      <c r="J501">
        <v>1457.7424315999999</v>
      </c>
      <c r="K501">
        <v>0</v>
      </c>
      <c r="L501">
        <v>2400</v>
      </c>
      <c r="M501">
        <v>2400</v>
      </c>
      <c r="N501">
        <v>0</v>
      </c>
    </row>
    <row r="502" spans="1:14" x14ac:dyDescent="0.25">
      <c r="A502">
        <v>184.13842299999999</v>
      </c>
      <c r="B502" s="1">
        <f>DATE(2010,11,1) + TIME(3,19,19)</f>
        <v>40483.138414351852</v>
      </c>
      <c r="C502">
        <v>80</v>
      </c>
      <c r="D502">
        <v>79.889083862000007</v>
      </c>
      <c r="E502">
        <v>50</v>
      </c>
      <c r="F502">
        <v>23.845478058000001</v>
      </c>
      <c r="G502">
        <v>1278.6926269999999</v>
      </c>
      <c r="H502">
        <v>1255.0107422000001</v>
      </c>
      <c r="I502">
        <v>1515.7183838000001</v>
      </c>
      <c r="J502">
        <v>1457.0279541</v>
      </c>
      <c r="K502">
        <v>0</v>
      </c>
      <c r="L502">
        <v>2400</v>
      </c>
      <c r="M502">
        <v>2400</v>
      </c>
      <c r="N502">
        <v>0</v>
      </c>
    </row>
    <row r="503" spans="1:14" x14ac:dyDescent="0.25">
      <c r="A503">
        <v>184.15351799999999</v>
      </c>
      <c r="B503" s="1">
        <f>DATE(2010,11,1) + TIME(3,41,3)</f>
        <v>40483.153506944444</v>
      </c>
      <c r="C503">
        <v>80</v>
      </c>
      <c r="D503">
        <v>79.883758545000006</v>
      </c>
      <c r="E503">
        <v>50</v>
      </c>
      <c r="F503">
        <v>24.657758713</v>
      </c>
      <c r="G503">
        <v>1278.644043</v>
      </c>
      <c r="H503">
        <v>1254.9615478999999</v>
      </c>
      <c r="I503">
        <v>1513.8366699000001</v>
      </c>
      <c r="J503">
        <v>1456.3022461</v>
      </c>
      <c r="K503">
        <v>0</v>
      </c>
      <c r="L503">
        <v>2400</v>
      </c>
      <c r="M503">
        <v>2400</v>
      </c>
      <c r="N503">
        <v>0</v>
      </c>
    </row>
    <row r="504" spans="1:14" x14ac:dyDescent="0.25">
      <c r="A504">
        <v>184.16915900000001</v>
      </c>
      <c r="B504" s="1">
        <f>DATE(2010,11,1) + TIME(4,3,35)</f>
        <v>40483.16915509259</v>
      </c>
      <c r="C504">
        <v>80</v>
      </c>
      <c r="D504">
        <v>79.878295898000005</v>
      </c>
      <c r="E504">
        <v>50</v>
      </c>
      <c r="F504">
        <v>25.472755432</v>
      </c>
      <c r="G504">
        <v>1278.6138916</v>
      </c>
      <c r="H504">
        <v>1254.9309082</v>
      </c>
      <c r="I504">
        <v>1511.9910889</v>
      </c>
      <c r="J504">
        <v>1455.5778809000001</v>
      </c>
      <c r="K504">
        <v>0</v>
      </c>
      <c r="L504">
        <v>2400</v>
      </c>
      <c r="M504">
        <v>2400</v>
      </c>
      <c r="N504">
        <v>0</v>
      </c>
    </row>
    <row r="505" spans="1:14" x14ac:dyDescent="0.25">
      <c r="A505">
        <v>184.18539899999999</v>
      </c>
      <c r="B505" s="1">
        <f>DATE(2010,11,1) + TIME(4,26,58)</f>
        <v>40483.185393518521</v>
      </c>
      <c r="C505">
        <v>80</v>
      </c>
      <c r="D505">
        <v>79.872688292999996</v>
      </c>
      <c r="E505">
        <v>50</v>
      </c>
      <c r="F505">
        <v>26.291076660000002</v>
      </c>
      <c r="G505">
        <v>1278.5948486</v>
      </c>
      <c r="H505">
        <v>1254.9112548999999</v>
      </c>
      <c r="I505">
        <v>1510.1859131000001</v>
      </c>
      <c r="J505">
        <v>1454.8609618999999</v>
      </c>
      <c r="K505">
        <v>0</v>
      </c>
      <c r="L505">
        <v>2400</v>
      </c>
      <c r="M505">
        <v>2400</v>
      </c>
      <c r="N505">
        <v>0</v>
      </c>
    </row>
    <row r="506" spans="1:14" x14ac:dyDescent="0.25">
      <c r="A506">
        <v>184.202293</v>
      </c>
      <c r="B506" s="1">
        <f>DATE(2010,11,1) + TIME(4,51,18)</f>
        <v>40483.202291666668</v>
      </c>
      <c r="C506">
        <v>80</v>
      </c>
      <c r="D506">
        <v>79.866912842000005</v>
      </c>
      <c r="E506">
        <v>50</v>
      </c>
      <c r="F506">
        <v>27.112998961999999</v>
      </c>
      <c r="G506">
        <v>1278.5826416</v>
      </c>
      <c r="H506">
        <v>1254.8985596</v>
      </c>
      <c r="I506">
        <v>1508.4226074000001</v>
      </c>
      <c r="J506">
        <v>1454.1546631000001</v>
      </c>
      <c r="K506">
        <v>0</v>
      </c>
      <c r="L506">
        <v>2400</v>
      </c>
      <c r="M506">
        <v>2400</v>
      </c>
      <c r="N506">
        <v>0</v>
      </c>
    </row>
    <row r="507" spans="1:14" x14ac:dyDescent="0.25">
      <c r="A507">
        <v>184.21990400000001</v>
      </c>
      <c r="B507" s="1">
        <f>DATE(2010,11,1) + TIME(5,16,39)</f>
        <v>40483.219895833332</v>
      </c>
      <c r="C507">
        <v>80</v>
      </c>
      <c r="D507">
        <v>79.860946655000006</v>
      </c>
      <c r="E507">
        <v>50</v>
      </c>
      <c r="F507">
        <v>27.939056396000002</v>
      </c>
      <c r="G507">
        <v>1278.574707</v>
      </c>
      <c r="H507">
        <v>1254.8901367000001</v>
      </c>
      <c r="I507">
        <v>1506.7001952999999</v>
      </c>
      <c r="J507">
        <v>1453.4594727000001</v>
      </c>
      <c r="K507">
        <v>0</v>
      </c>
      <c r="L507">
        <v>2400</v>
      </c>
      <c r="M507">
        <v>2400</v>
      </c>
      <c r="N507">
        <v>0</v>
      </c>
    </row>
    <row r="508" spans="1:14" x14ac:dyDescent="0.25">
      <c r="A508">
        <v>184.238303</v>
      </c>
      <c r="B508" s="1">
        <f>DATE(2010,11,1) + TIME(5,43,9)</f>
        <v>40483.238298611112</v>
      </c>
      <c r="C508">
        <v>80</v>
      </c>
      <c r="D508">
        <v>79.854782103999995</v>
      </c>
      <c r="E508">
        <v>50</v>
      </c>
      <c r="F508">
        <v>28.7697258</v>
      </c>
      <c r="G508">
        <v>1278.5693358999999</v>
      </c>
      <c r="H508">
        <v>1254.8841553</v>
      </c>
      <c r="I508">
        <v>1505.0169678</v>
      </c>
      <c r="J508">
        <v>1452.7753906</v>
      </c>
      <c r="K508">
        <v>0</v>
      </c>
      <c r="L508">
        <v>2400</v>
      </c>
      <c r="M508">
        <v>2400</v>
      </c>
      <c r="N508">
        <v>0</v>
      </c>
    </row>
    <row r="509" spans="1:14" x14ac:dyDescent="0.25">
      <c r="A509">
        <v>184.25757100000001</v>
      </c>
      <c r="B509" s="1">
        <f>DATE(2010,11,1) + TIME(6,10,54)</f>
        <v>40483.257569444446</v>
      </c>
      <c r="C509">
        <v>80</v>
      </c>
      <c r="D509">
        <v>79.848403931000007</v>
      </c>
      <c r="E509">
        <v>50</v>
      </c>
      <c r="F509">
        <v>29.605562209999999</v>
      </c>
      <c r="G509">
        <v>1278.5655518000001</v>
      </c>
      <c r="H509">
        <v>1254.8798827999999</v>
      </c>
      <c r="I509">
        <v>1503.3708495999999</v>
      </c>
      <c r="J509">
        <v>1452.1015625</v>
      </c>
      <c r="K509">
        <v>0</v>
      </c>
      <c r="L509">
        <v>2400</v>
      </c>
      <c r="M509">
        <v>2400</v>
      </c>
      <c r="N509">
        <v>0</v>
      </c>
    </row>
    <row r="510" spans="1:14" x14ac:dyDescent="0.25">
      <c r="A510">
        <v>184.277804</v>
      </c>
      <c r="B510" s="1">
        <f>DATE(2010,11,1) + TIME(6,40,2)</f>
        <v>40483.277800925927</v>
      </c>
      <c r="C510">
        <v>80</v>
      </c>
      <c r="D510">
        <v>79.841773986999996</v>
      </c>
      <c r="E510">
        <v>50</v>
      </c>
      <c r="F510">
        <v>30.447406769000001</v>
      </c>
      <c r="G510">
        <v>1278.5628661999999</v>
      </c>
      <c r="H510">
        <v>1254.8765868999999</v>
      </c>
      <c r="I510">
        <v>1501.7589111</v>
      </c>
      <c r="J510">
        <v>1451.4368896000001</v>
      </c>
      <c r="K510">
        <v>0</v>
      </c>
      <c r="L510">
        <v>2400</v>
      </c>
      <c r="M510">
        <v>2400</v>
      </c>
      <c r="N510">
        <v>0</v>
      </c>
    </row>
    <row r="511" spans="1:14" x14ac:dyDescent="0.25">
      <c r="A511">
        <v>184.299114</v>
      </c>
      <c r="B511" s="1">
        <f>DATE(2010,11,1) + TIME(7,10,43)</f>
        <v>40483.299108796295</v>
      </c>
      <c r="C511">
        <v>80</v>
      </c>
      <c r="D511">
        <v>79.834869385000005</v>
      </c>
      <c r="E511">
        <v>50</v>
      </c>
      <c r="F511">
        <v>31.29593277</v>
      </c>
      <c r="G511">
        <v>1278.5606689000001</v>
      </c>
      <c r="H511">
        <v>1254.8739014</v>
      </c>
      <c r="I511">
        <v>1500.1787108999999</v>
      </c>
      <c r="J511">
        <v>1450.7800293</v>
      </c>
      <c r="K511">
        <v>0</v>
      </c>
      <c r="L511">
        <v>2400</v>
      </c>
      <c r="M511">
        <v>2400</v>
      </c>
      <c r="N511">
        <v>0</v>
      </c>
    </row>
    <row r="512" spans="1:14" x14ac:dyDescent="0.25">
      <c r="A512">
        <v>184.321631</v>
      </c>
      <c r="B512" s="1">
        <f>DATE(2010,11,1) + TIME(7,43,8)</f>
        <v>40483.321620370371</v>
      </c>
      <c r="C512">
        <v>80</v>
      </c>
      <c r="D512">
        <v>79.827659607000001</v>
      </c>
      <c r="E512">
        <v>50</v>
      </c>
      <c r="F512">
        <v>32.151775360000002</v>
      </c>
      <c r="G512">
        <v>1278.5589600000001</v>
      </c>
      <c r="H512">
        <v>1254.8714600000001</v>
      </c>
      <c r="I512">
        <v>1498.6274414</v>
      </c>
      <c r="J512">
        <v>1450.1296387</v>
      </c>
      <c r="K512">
        <v>0</v>
      </c>
      <c r="L512">
        <v>2400</v>
      </c>
      <c r="M512">
        <v>2400</v>
      </c>
      <c r="N512">
        <v>0</v>
      </c>
    </row>
    <row r="513" spans="1:14" x14ac:dyDescent="0.25">
      <c r="A513">
        <v>184.34550899999999</v>
      </c>
      <c r="B513" s="1">
        <f>DATE(2010,11,1) + TIME(8,17,31)</f>
        <v>40483.345497685186</v>
      </c>
      <c r="C513">
        <v>80</v>
      </c>
      <c r="D513">
        <v>79.820114136000001</v>
      </c>
      <c r="E513">
        <v>50</v>
      </c>
      <c r="F513">
        <v>33.015716552999997</v>
      </c>
      <c r="G513">
        <v>1278.5573730000001</v>
      </c>
      <c r="H513">
        <v>1254.8692627</v>
      </c>
      <c r="I513">
        <v>1497.1026611</v>
      </c>
      <c r="J513">
        <v>1449.4842529</v>
      </c>
      <c r="K513">
        <v>0</v>
      </c>
      <c r="L513">
        <v>2400</v>
      </c>
      <c r="M513">
        <v>2400</v>
      </c>
      <c r="N513">
        <v>0</v>
      </c>
    </row>
    <row r="514" spans="1:14" x14ac:dyDescent="0.25">
      <c r="A514">
        <v>184.37092999999999</v>
      </c>
      <c r="B514" s="1">
        <f>DATE(2010,11,1) + TIME(8,54,8)</f>
        <v>40483.370925925927</v>
      </c>
      <c r="C514">
        <v>80</v>
      </c>
      <c r="D514">
        <v>79.812171935999999</v>
      </c>
      <c r="E514">
        <v>50</v>
      </c>
      <c r="F514">
        <v>33.888591765999998</v>
      </c>
      <c r="G514">
        <v>1278.5559082</v>
      </c>
      <c r="H514">
        <v>1254.8671875</v>
      </c>
      <c r="I514">
        <v>1495.6015625</v>
      </c>
      <c r="J514">
        <v>1448.8422852000001</v>
      </c>
      <c r="K514">
        <v>0</v>
      </c>
      <c r="L514">
        <v>2400</v>
      </c>
      <c r="M514">
        <v>2400</v>
      </c>
      <c r="N514">
        <v>0</v>
      </c>
    </row>
    <row r="515" spans="1:14" x14ac:dyDescent="0.25">
      <c r="A515">
        <v>184.39811700000001</v>
      </c>
      <c r="B515" s="1">
        <f>DATE(2010,11,1) + TIME(9,33,17)</f>
        <v>40483.398113425923</v>
      </c>
      <c r="C515">
        <v>80</v>
      </c>
      <c r="D515">
        <v>79.803794861</v>
      </c>
      <c r="E515">
        <v>50</v>
      </c>
      <c r="F515">
        <v>34.771308898999997</v>
      </c>
      <c r="G515">
        <v>1278.5545654</v>
      </c>
      <c r="H515">
        <v>1254.8649902</v>
      </c>
      <c r="I515">
        <v>1494.1213379000001</v>
      </c>
      <c r="J515">
        <v>1448.2021483999999</v>
      </c>
      <c r="K515">
        <v>0</v>
      </c>
      <c r="L515">
        <v>2400</v>
      </c>
      <c r="M515">
        <v>2400</v>
      </c>
      <c r="N515">
        <v>0</v>
      </c>
    </row>
    <row r="516" spans="1:14" x14ac:dyDescent="0.25">
      <c r="A516">
        <v>184.42733799999999</v>
      </c>
      <c r="B516" s="1">
        <f>DATE(2010,11,1) + TIME(10,15,22)</f>
        <v>40483.427337962959</v>
      </c>
      <c r="C516">
        <v>80</v>
      </c>
      <c r="D516">
        <v>79.794914246000005</v>
      </c>
      <c r="E516">
        <v>50</v>
      </c>
      <c r="F516">
        <v>35.664840697999999</v>
      </c>
      <c r="G516">
        <v>1278.5529785000001</v>
      </c>
      <c r="H516">
        <v>1254.862793</v>
      </c>
      <c r="I516">
        <v>1492.6591797000001</v>
      </c>
      <c r="J516">
        <v>1447.5620117000001</v>
      </c>
      <c r="K516">
        <v>0</v>
      </c>
      <c r="L516">
        <v>2400</v>
      </c>
      <c r="M516">
        <v>2400</v>
      </c>
      <c r="N516">
        <v>0</v>
      </c>
    </row>
    <row r="517" spans="1:14" x14ac:dyDescent="0.25">
      <c r="A517">
        <v>184.45893000000001</v>
      </c>
      <c r="B517" s="1">
        <f>DATE(2010,11,1) + TIME(11,0,51)</f>
        <v>40483.458923611113</v>
      </c>
      <c r="C517">
        <v>80</v>
      </c>
      <c r="D517">
        <v>79.785453795999999</v>
      </c>
      <c r="E517">
        <v>50</v>
      </c>
      <c r="F517">
        <v>36.570247649999999</v>
      </c>
      <c r="G517">
        <v>1278.5513916</v>
      </c>
      <c r="H517">
        <v>1254.8603516000001</v>
      </c>
      <c r="I517">
        <v>1491.2119141000001</v>
      </c>
      <c r="J517">
        <v>1446.9197998</v>
      </c>
      <c r="K517">
        <v>0</v>
      </c>
      <c r="L517">
        <v>2400</v>
      </c>
      <c r="M517">
        <v>2400</v>
      </c>
      <c r="N517">
        <v>0</v>
      </c>
    </row>
    <row r="518" spans="1:14" x14ac:dyDescent="0.25">
      <c r="A518">
        <v>184.49331000000001</v>
      </c>
      <c r="B518" s="1">
        <f>DATE(2010,11,1) + TIME(11,50,21)</f>
        <v>40483.493298611109</v>
      </c>
      <c r="C518">
        <v>80</v>
      </c>
      <c r="D518">
        <v>79.775314331000004</v>
      </c>
      <c r="E518">
        <v>50</v>
      </c>
      <c r="F518">
        <v>37.488658905000001</v>
      </c>
      <c r="G518">
        <v>1278.5496826000001</v>
      </c>
      <c r="H518">
        <v>1254.8579102000001</v>
      </c>
      <c r="I518">
        <v>1489.7764893000001</v>
      </c>
      <c r="J518">
        <v>1446.2733154</v>
      </c>
      <c r="K518">
        <v>0</v>
      </c>
      <c r="L518">
        <v>2400</v>
      </c>
      <c r="M518">
        <v>2400</v>
      </c>
      <c r="N518">
        <v>0</v>
      </c>
    </row>
    <row r="519" spans="1:14" x14ac:dyDescent="0.25">
      <c r="A519">
        <v>184.53048200000001</v>
      </c>
      <c r="B519" s="1">
        <f>DATE(2010,11,1) + TIME(12,43,53)</f>
        <v>40483.530474537038</v>
      </c>
      <c r="C519">
        <v>80</v>
      </c>
      <c r="D519">
        <v>79.764526367000002</v>
      </c>
      <c r="E519">
        <v>50</v>
      </c>
      <c r="F519">
        <v>38.409069060999997</v>
      </c>
      <c r="G519">
        <v>1278.5478516000001</v>
      </c>
      <c r="H519">
        <v>1254.8551024999999</v>
      </c>
      <c r="I519">
        <v>1488.3652344</v>
      </c>
      <c r="J519">
        <v>1445.6257324000001</v>
      </c>
      <c r="K519">
        <v>0</v>
      </c>
      <c r="L519">
        <v>2400</v>
      </c>
      <c r="M519">
        <v>2400</v>
      </c>
      <c r="N519">
        <v>0</v>
      </c>
    </row>
    <row r="520" spans="1:14" x14ac:dyDescent="0.25">
      <c r="A520">
        <v>184.57084800000001</v>
      </c>
      <c r="B520" s="1">
        <f>DATE(2010,11,1) + TIME(13,42,1)</f>
        <v>40483.570844907408</v>
      </c>
      <c r="C520">
        <v>80</v>
      </c>
      <c r="D520">
        <v>79.752990722999996</v>
      </c>
      <c r="E520">
        <v>50</v>
      </c>
      <c r="F520">
        <v>39.329677582000002</v>
      </c>
      <c r="G520">
        <v>1278.5457764</v>
      </c>
      <c r="H520">
        <v>1254.8521728999999</v>
      </c>
      <c r="I520">
        <v>1486.979126</v>
      </c>
      <c r="J520">
        <v>1444.9775391000001</v>
      </c>
      <c r="K520">
        <v>0</v>
      </c>
      <c r="L520">
        <v>2400</v>
      </c>
      <c r="M520">
        <v>2400</v>
      </c>
      <c r="N520">
        <v>0</v>
      </c>
    </row>
    <row r="521" spans="1:14" x14ac:dyDescent="0.25">
      <c r="A521">
        <v>184.61469600000001</v>
      </c>
      <c r="B521" s="1">
        <f>DATE(2010,11,1) + TIME(14,45,9)</f>
        <v>40483.614687499998</v>
      </c>
      <c r="C521">
        <v>80</v>
      </c>
      <c r="D521">
        <v>79.740661621000001</v>
      </c>
      <c r="E521">
        <v>50</v>
      </c>
      <c r="F521">
        <v>40.244472504000001</v>
      </c>
      <c r="G521">
        <v>1278.5435791</v>
      </c>
      <c r="H521">
        <v>1254.848999</v>
      </c>
      <c r="I521">
        <v>1485.6223144999999</v>
      </c>
      <c r="J521">
        <v>1444.3292236</v>
      </c>
      <c r="K521">
        <v>0</v>
      </c>
      <c r="L521">
        <v>2400</v>
      </c>
      <c r="M521">
        <v>2400</v>
      </c>
      <c r="N521">
        <v>0</v>
      </c>
    </row>
    <row r="522" spans="1:14" x14ac:dyDescent="0.25">
      <c r="A522">
        <v>184.66262800000001</v>
      </c>
      <c r="B522" s="1">
        <f>DATE(2010,11,1) + TIME(15,54,11)</f>
        <v>40483.662627314814</v>
      </c>
      <c r="C522">
        <v>80</v>
      </c>
      <c r="D522">
        <v>79.727416992000002</v>
      </c>
      <c r="E522">
        <v>50</v>
      </c>
      <c r="F522">
        <v>41.152065276999998</v>
      </c>
      <c r="G522">
        <v>1278.5411377</v>
      </c>
      <c r="H522">
        <v>1254.8454589999999</v>
      </c>
      <c r="I522">
        <v>1484.2933350000001</v>
      </c>
      <c r="J522">
        <v>1443.6793213000001</v>
      </c>
      <c r="K522">
        <v>0</v>
      </c>
      <c r="L522">
        <v>2400</v>
      </c>
      <c r="M522">
        <v>2400</v>
      </c>
      <c r="N522">
        <v>0</v>
      </c>
    </row>
    <row r="523" spans="1:14" x14ac:dyDescent="0.25">
      <c r="A523">
        <v>184.71544</v>
      </c>
      <c r="B523" s="1">
        <f>DATE(2010,11,1) + TIME(17,10,14)</f>
        <v>40483.715439814812</v>
      </c>
      <c r="C523">
        <v>80</v>
      </c>
      <c r="D523">
        <v>79.713088988999999</v>
      </c>
      <c r="E523">
        <v>50</v>
      </c>
      <c r="F523">
        <v>42.050899506</v>
      </c>
      <c r="G523">
        <v>1278.5384521000001</v>
      </c>
      <c r="H523">
        <v>1254.8416748</v>
      </c>
      <c r="I523">
        <v>1482.9891356999999</v>
      </c>
      <c r="J523">
        <v>1443.0252685999999</v>
      </c>
      <c r="K523">
        <v>0</v>
      </c>
      <c r="L523">
        <v>2400</v>
      </c>
      <c r="M523">
        <v>2400</v>
      </c>
      <c r="N523">
        <v>0</v>
      </c>
    </row>
    <row r="524" spans="1:14" x14ac:dyDescent="0.25">
      <c r="A524">
        <v>184.768946</v>
      </c>
      <c r="B524" s="1">
        <f>DATE(2010,11,1) + TIME(18,27,16)</f>
        <v>40483.768935185188</v>
      </c>
      <c r="C524">
        <v>80</v>
      </c>
      <c r="D524">
        <v>79.698699950999995</v>
      </c>
      <c r="E524">
        <v>50</v>
      </c>
      <c r="F524">
        <v>42.868255615000002</v>
      </c>
      <c r="G524">
        <v>1278.5355225000001</v>
      </c>
      <c r="H524">
        <v>1254.8376464999999</v>
      </c>
      <c r="I524">
        <v>1481.7830810999999</v>
      </c>
      <c r="J524">
        <v>1442.3908690999999</v>
      </c>
      <c r="K524">
        <v>0</v>
      </c>
      <c r="L524">
        <v>2400</v>
      </c>
      <c r="M524">
        <v>2400</v>
      </c>
      <c r="N524">
        <v>0</v>
      </c>
    </row>
    <row r="525" spans="1:14" x14ac:dyDescent="0.25">
      <c r="A525">
        <v>184.82318599999999</v>
      </c>
      <c r="B525" s="1">
        <f>DATE(2010,11,1) + TIME(19,45,23)</f>
        <v>40483.823182870372</v>
      </c>
      <c r="C525">
        <v>80</v>
      </c>
      <c r="D525">
        <v>79.684234618999994</v>
      </c>
      <c r="E525">
        <v>50</v>
      </c>
      <c r="F525">
        <v>43.610755920000003</v>
      </c>
      <c r="G525">
        <v>1278.5323486</v>
      </c>
      <c r="H525">
        <v>1254.8336182</v>
      </c>
      <c r="I525">
        <v>1480.6839600000001</v>
      </c>
      <c r="J525">
        <v>1441.7957764</v>
      </c>
      <c r="K525">
        <v>0</v>
      </c>
      <c r="L525">
        <v>2400</v>
      </c>
      <c r="M525">
        <v>2400</v>
      </c>
      <c r="N525">
        <v>0</v>
      </c>
    </row>
    <row r="526" spans="1:14" x14ac:dyDescent="0.25">
      <c r="A526">
        <v>184.87845200000001</v>
      </c>
      <c r="B526" s="1">
        <f>DATE(2010,11,1) + TIME(21,4,58)</f>
        <v>40483.878449074073</v>
      </c>
      <c r="C526">
        <v>80</v>
      </c>
      <c r="D526">
        <v>79.669624329000001</v>
      </c>
      <c r="E526">
        <v>50</v>
      </c>
      <c r="F526">
        <v>44.287281036000003</v>
      </c>
      <c r="G526">
        <v>1278.5292969</v>
      </c>
      <c r="H526">
        <v>1254.8294678</v>
      </c>
      <c r="I526">
        <v>1479.6757812000001</v>
      </c>
      <c r="J526">
        <v>1441.2344971</v>
      </c>
      <c r="K526">
        <v>0</v>
      </c>
      <c r="L526">
        <v>2400</v>
      </c>
      <c r="M526">
        <v>2400</v>
      </c>
      <c r="N526">
        <v>0</v>
      </c>
    </row>
    <row r="527" spans="1:14" x14ac:dyDescent="0.25">
      <c r="A527">
        <v>184.93499299999999</v>
      </c>
      <c r="B527" s="1">
        <f>DATE(2010,11,1) + TIME(22,26,23)</f>
        <v>40483.934988425928</v>
      </c>
      <c r="C527">
        <v>80</v>
      </c>
      <c r="D527">
        <v>79.654808044000006</v>
      </c>
      <c r="E527">
        <v>50</v>
      </c>
      <c r="F527">
        <v>44.904586792000003</v>
      </c>
      <c r="G527">
        <v>1278.5261230000001</v>
      </c>
      <c r="H527">
        <v>1254.8251952999999</v>
      </c>
      <c r="I527">
        <v>1478.7449951000001</v>
      </c>
      <c r="J527">
        <v>1440.7010498</v>
      </c>
      <c r="K527">
        <v>0</v>
      </c>
      <c r="L527">
        <v>2400</v>
      </c>
      <c r="M527">
        <v>2400</v>
      </c>
      <c r="N527">
        <v>0</v>
      </c>
    </row>
    <row r="528" spans="1:14" x14ac:dyDescent="0.25">
      <c r="A528">
        <v>184.99306200000001</v>
      </c>
      <c r="B528" s="1">
        <f>DATE(2010,11,1) + TIME(23,50,0)</f>
        <v>40483.993055555555</v>
      </c>
      <c r="C528">
        <v>80</v>
      </c>
      <c r="D528">
        <v>79.639732361</v>
      </c>
      <c r="E528">
        <v>50</v>
      </c>
      <c r="F528">
        <v>45.468292236000003</v>
      </c>
      <c r="G528">
        <v>1278.5228271000001</v>
      </c>
      <c r="H528">
        <v>1254.8209228999999</v>
      </c>
      <c r="I528">
        <v>1477.8807373</v>
      </c>
      <c r="J528">
        <v>1440.1910399999999</v>
      </c>
      <c r="K528">
        <v>0</v>
      </c>
      <c r="L528">
        <v>2400</v>
      </c>
      <c r="M528">
        <v>2400</v>
      </c>
      <c r="N528">
        <v>0</v>
      </c>
    </row>
    <row r="529" spans="1:14" x14ac:dyDescent="0.25">
      <c r="A529">
        <v>185.052922</v>
      </c>
      <c r="B529" s="1">
        <f>DATE(2010,11,2) + TIME(1,16,12)</f>
        <v>40484.052916666667</v>
      </c>
      <c r="C529">
        <v>80</v>
      </c>
      <c r="D529">
        <v>79.624320983999993</v>
      </c>
      <c r="E529">
        <v>50</v>
      </c>
      <c r="F529">
        <v>45.983123779000003</v>
      </c>
      <c r="G529">
        <v>1278.5195312000001</v>
      </c>
      <c r="H529">
        <v>1254.8165283000001</v>
      </c>
      <c r="I529">
        <v>1477.0739745999999</v>
      </c>
      <c r="J529">
        <v>1439.7005615</v>
      </c>
      <c r="K529">
        <v>0</v>
      </c>
      <c r="L529">
        <v>2400</v>
      </c>
      <c r="M529">
        <v>2400</v>
      </c>
      <c r="N529">
        <v>0</v>
      </c>
    </row>
    <row r="530" spans="1:14" x14ac:dyDescent="0.25">
      <c r="A530">
        <v>185.11484300000001</v>
      </c>
      <c r="B530" s="1">
        <f>DATE(2010,11,2) + TIME(2,45,22)</f>
        <v>40484.114837962959</v>
      </c>
      <c r="C530">
        <v>80</v>
      </c>
      <c r="D530">
        <v>79.608528136999993</v>
      </c>
      <c r="E530">
        <v>50</v>
      </c>
      <c r="F530">
        <v>46.453018188000001</v>
      </c>
      <c r="G530">
        <v>1278.5161132999999</v>
      </c>
      <c r="H530">
        <v>1254.8120117000001</v>
      </c>
      <c r="I530">
        <v>1476.3170166</v>
      </c>
      <c r="J530">
        <v>1439.2261963000001</v>
      </c>
      <c r="K530">
        <v>0</v>
      </c>
      <c r="L530">
        <v>2400</v>
      </c>
      <c r="M530">
        <v>2400</v>
      </c>
      <c r="N530">
        <v>0</v>
      </c>
    </row>
    <row r="531" spans="1:14" x14ac:dyDescent="0.25">
      <c r="A531">
        <v>185.17914200000001</v>
      </c>
      <c r="B531" s="1">
        <f>DATE(2010,11,2) + TIME(4,17,57)</f>
        <v>40484.179131944446</v>
      </c>
      <c r="C531">
        <v>80</v>
      </c>
      <c r="D531">
        <v>79.592277526999993</v>
      </c>
      <c r="E531">
        <v>50</v>
      </c>
      <c r="F531">
        <v>46.881565094000003</v>
      </c>
      <c r="G531">
        <v>1278.5124512</v>
      </c>
      <c r="H531">
        <v>1254.807251</v>
      </c>
      <c r="I531">
        <v>1475.6033935999999</v>
      </c>
      <c r="J531">
        <v>1438.7651367000001</v>
      </c>
      <c r="K531">
        <v>0</v>
      </c>
      <c r="L531">
        <v>2400</v>
      </c>
      <c r="M531">
        <v>2400</v>
      </c>
      <c r="N531">
        <v>0</v>
      </c>
    </row>
    <row r="532" spans="1:14" x14ac:dyDescent="0.25">
      <c r="A532">
        <v>185.24616</v>
      </c>
      <c r="B532" s="1">
        <f>DATE(2010,11,2) + TIME(5,54,28)</f>
        <v>40484.246157407404</v>
      </c>
      <c r="C532">
        <v>80</v>
      </c>
      <c r="D532">
        <v>79.575500488000003</v>
      </c>
      <c r="E532">
        <v>50</v>
      </c>
      <c r="F532">
        <v>47.271781920999999</v>
      </c>
      <c r="G532">
        <v>1278.5087891000001</v>
      </c>
      <c r="H532">
        <v>1254.8023682</v>
      </c>
      <c r="I532">
        <v>1474.9276123</v>
      </c>
      <c r="J532">
        <v>1438.3146973</v>
      </c>
      <c r="K532">
        <v>0</v>
      </c>
      <c r="L532">
        <v>2400</v>
      </c>
      <c r="M532">
        <v>2400</v>
      </c>
      <c r="N532">
        <v>0</v>
      </c>
    </row>
    <row r="533" spans="1:14" x14ac:dyDescent="0.25">
      <c r="A533">
        <v>185.316282</v>
      </c>
      <c r="B533" s="1">
        <f>DATE(2010,11,2) + TIME(7,35,26)</f>
        <v>40484.31627314815</v>
      </c>
      <c r="C533">
        <v>80</v>
      </c>
      <c r="D533">
        <v>79.558113098000007</v>
      </c>
      <c r="E533">
        <v>50</v>
      </c>
      <c r="F533">
        <v>47.626338959000002</v>
      </c>
      <c r="G533">
        <v>1278.5048827999999</v>
      </c>
      <c r="H533">
        <v>1254.7973632999999</v>
      </c>
      <c r="I533">
        <v>1474.2843018000001</v>
      </c>
      <c r="J533">
        <v>1437.8723144999999</v>
      </c>
      <c r="K533">
        <v>0</v>
      </c>
      <c r="L533">
        <v>2400</v>
      </c>
      <c r="M533">
        <v>2400</v>
      </c>
      <c r="N533">
        <v>0</v>
      </c>
    </row>
    <row r="534" spans="1:14" x14ac:dyDescent="0.25">
      <c r="A534">
        <v>185.38936699999999</v>
      </c>
      <c r="B534" s="1">
        <f>DATE(2010,11,2) + TIME(9,20,41)</f>
        <v>40484.389363425929</v>
      </c>
      <c r="C534">
        <v>80</v>
      </c>
      <c r="D534">
        <v>79.540145874000004</v>
      </c>
      <c r="E534">
        <v>50</v>
      </c>
      <c r="F534">
        <v>47.945434570000003</v>
      </c>
      <c r="G534">
        <v>1278.5008545000001</v>
      </c>
      <c r="H534">
        <v>1254.7919922000001</v>
      </c>
      <c r="I534">
        <v>1473.6710204999999</v>
      </c>
      <c r="J534">
        <v>1437.4362793</v>
      </c>
      <c r="K534">
        <v>0</v>
      </c>
      <c r="L534">
        <v>2400</v>
      </c>
      <c r="M534">
        <v>2400</v>
      </c>
      <c r="N534">
        <v>0</v>
      </c>
    </row>
    <row r="535" spans="1:14" x14ac:dyDescent="0.25">
      <c r="A535">
        <v>185.4657</v>
      </c>
      <c r="B535" s="1">
        <f>DATE(2010,11,2) + TIME(11,10,36)</f>
        <v>40484.465694444443</v>
      </c>
      <c r="C535">
        <v>80</v>
      </c>
      <c r="D535">
        <v>79.521545410000002</v>
      </c>
      <c r="E535">
        <v>50</v>
      </c>
      <c r="F535">
        <v>48.231445311999998</v>
      </c>
      <c r="G535">
        <v>1278.496582</v>
      </c>
      <c r="H535">
        <v>1254.786499</v>
      </c>
      <c r="I535">
        <v>1473.0858154</v>
      </c>
      <c r="J535">
        <v>1437.0072021000001</v>
      </c>
      <c r="K535">
        <v>0</v>
      </c>
      <c r="L535">
        <v>2400</v>
      </c>
      <c r="M535">
        <v>2400</v>
      </c>
      <c r="N535">
        <v>0</v>
      </c>
    </row>
    <row r="536" spans="1:14" x14ac:dyDescent="0.25">
      <c r="A536">
        <v>185.545762</v>
      </c>
      <c r="B536" s="1">
        <f>DATE(2010,11,2) + TIME(13,5,53)</f>
        <v>40484.545752314814</v>
      </c>
      <c r="C536">
        <v>80</v>
      </c>
      <c r="D536">
        <v>79.502212524000001</v>
      </c>
      <c r="E536">
        <v>50</v>
      </c>
      <c r="F536">
        <v>48.487079620000003</v>
      </c>
      <c r="G536">
        <v>1278.4920654</v>
      </c>
      <c r="H536">
        <v>1254.7806396000001</v>
      </c>
      <c r="I536">
        <v>1472.5251464999999</v>
      </c>
      <c r="J536">
        <v>1436.5832519999999</v>
      </c>
      <c r="K536">
        <v>0</v>
      </c>
      <c r="L536">
        <v>2400</v>
      </c>
      <c r="M536">
        <v>2400</v>
      </c>
      <c r="N536">
        <v>0</v>
      </c>
    </row>
    <row r="537" spans="1:14" x14ac:dyDescent="0.25">
      <c r="A537">
        <v>185.630101</v>
      </c>
      <c r="B537" s="1">
        <f>DATE(2010,11,2) + TIME(15,7,20)</f>
        <v>40484.63009259259</v>
      </c>
      <c r="C537">
        <v>80</v>
      </c>
      <c r="D537">
        <v>79.482032775999997</v>
      </c>
      <c r="E537">
        <v>50</v>
      </c>
      <c r="F537">
        <v>48.714740753000001</v>
      </c>
      <c r="G537">
        <v>1278.4874268000001</v>
      </c>
      <c r="H537">
        <v>1254.7745361</v>
      </c>
      <c r="I537">
        <v>1471.9849853999999</v>
      </c>
      <c r="J537">
        <v>1436.1622314000001</v>
      </c>
      <c r="K537">
        <v>0</v>
      </c>
      <c r="L537">
        <v>2400</v>
      </c>
      <c r="M537">
        <v>2400</v>
      </c>
      <c r="N537">
        <v>0</v>
      </c>
    </row>
    <row r="538" spans="1:14" x14ac:dyDescent="0.25">
      <c r="A538">
        <v>185.718909</v>
      </c>
      <c r="B538" s="1">
        <f>DATE(2010,11,2) + TIME(17,15,13)</f>
        <v>40484.718900462962</v>
      </c>
      <c r="C538">
        <v>80</v>
      </c>
      <c r="D538">
        <v>79.460975646999998</v>
      </c>
      <c r="E538">
        <v>50</v>
      </c>
      <c r="F538">
        <v>48.915748596</v>
      </c>
      <c r="G538">
        <v>1278.4824219</v>
      </c>
      <c r="H538">
        <v>1254.7681885</v>
      </c>
      <c r="I538">
        <v>1471.4619141000001</v>
      </c>
      <c r="J538">
        <v>1435.7423096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185.81268800000001</v>
      </c>
      <c r="B539" s="1">
        <f>DATE(2010,11,2) + TIME(19,30,16)</f>
        <v>40484.812685185185</v>
      </c>
      <c r="C539">
        <v>80</v>
      </c>
      <c r="D539">
        <v>79.438941955999994</v>
      </c>
      <c r="E539">
        <v>50</v>
      </c>
      <c r="F539">
        <v>49.092121124000002</v>
      </c>
      <c r="G539">
        <v>1278.4771728999999</v>
      </c>
      <c r="H539">
        <v>1254.7614745999999</v>
      </c>
      <c r="I539">
        <v>1470.9543457</v>
      </c>
      <c r="J539">
        <v>1435.3229980000001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185.91221899999999</v>
      </c>
      <c r="B540" s="1">
        <f>DATE(2010,11,2) + TIME(21,53,35)</f>
        <v>40484.912210648145</v>
      </c>
      <c r="C540">
        <v>80</v>
      </c>
      <c r="D540">
        <v>79.415786742999998</v>
      </c>
      <c r="E540">
        <v>50</v>
      </c>
      <c r="F540">
        <v>49.246070862000003</v>
      </c>
      <c r="G540">
        <v>1278.4715576000001</v>
      </c>
      <c r="H540">
        <v>1254.7542725000001</v>
      </c>
      <c r="I540">
        <v>1470.4592285000001</v>
      </c>
      <c r="J540">
        <v>1434.9029541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186.018406</v>
      </c>
      <c r="B541" s="1">
        <f>DATE(2010,11,3) + TIME(0,26,30)</f>
        <v>40485.01840277778</v>
      </c>
      <c r="C541">
        <v>80</v>
      </c>
      <c r="D541">
        <v>79.391342163000004</v>
      </c>
      <c r="E541">
        <v>50</v>
      </c>
      <c r="F541">
        <v>49.379562378000003</v>
      </c>
      <c r="G541">
        <v>1278.4656981999999</v>
      </c>
      <c r="H541">
        <v>1254.7467041</v>
      </c>
      <c r="I541">
        <v>1469.9730225000001</v>
      </c>
      <c r="J541">
        <v>1434.4798584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186.13096899999999</v>
      </c>
      <c r="B542" s="1">
        <f>DATE(2010,11,3) + TIME(3,8,35)</f>
        <v>40485.130960648145</v>
      </c>
      <c r="C542">
        <v>80</v>
      </c>
      <c r="D542">
        <v>79.365646362000007</v>
      </c>
      <c r="E542">
        <v>50</v>
      </c>
      <c r="F542">
        <v>49.493309021000002</v>
      </c>
      <c r="G542">
        <v>1278.4593506000001</v>
      </c>
      <c r="H542">
        <v>1254.7386475000001</v>
      </c>
      <c r="I542">
        <v>1469.4932861</v>
      </c>
      <c r="J542">
        <v>1434.0516356999999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186.25101100000001</v>
      </c>
      <c r="B543" s="1">
        <f>DATE(2010,11,3) + TIME(6,1,27)</f>
        <v>40485.251006944447</v>
      </c>
      <c r="C543">
        <v>80</v>
      </c>
      <c r="D543">
        <v>79.338500976999995</v>
      </c>
      <c r="E543">
        <v>50</v>
      </c>
      <c r="F543">
        <v>49.589580536</v>
      </c>
      <c r="G543">
        <v>1278.4525146000001</v>
      </c>
      <c r="H543">
        <v>1254.7301024999999</v>
      </c>
      <c r="I543">
        <v>1469.0209961</v>
      </c>
      <c r="J543">
        <v>1433.6207274999999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186.37969699999999</v>
      </c>
      <c r="B544" s="1">
        <f>DATE(2010,11,3) + TIME(9,6,45)</f>
        <v>40485.379687499997</v>
      </c>
      <c r="C544">
        <v>80</v>
      </c>
      <c r="D544">
        <v>79.309707642000006</v>
      </c>
      <c r="E544">
        <v>50</v>
      </c>
      <c r="F544">
        <v>49.670307158999996</v>
      </c>
      <c r="G544">
        <v>1278.4453125</v>
      </c>
      <c r="H544">
        <v>1254.7209473</v>
      </c>
      <c r="I544">
        <v>1468.5523682</v>
      </c>
      <c r="J544">
        <v>1433.1845702999999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186.510413</v>
      </c>
      <c r="B545" s="1">
        <f>DATE(2010,11,3) + TIME(12,14,59)</f>
        <v>40485.510405092595</v>
      </c>
      <c r="C545">
        <v>80</v>
      </c>
      <c r="D545">
        <v>79.280380249000004</v>
      </c>
      <c r="E545">
        <v>50</v>
      </c>
      <c r="F545">
        <v>49.734249114999997</v>
      </c>
      <c r="G545">
        <v>1278.4375</v>
      </c>
      <c r="H545">
        <v>1254.7111815999999</v>
      </c>
      <c r="I545">
        <v>1468.0863036999999</v>
      </c>
      <c r="J545">
        <v>1432.7414550999999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186.642675</v>
      </c>
      <c r="B546" s="1">
        <f>DATE(2010,11,3) + TIME(15,25,27)</f>
        <v>40485.64267361111</v>
      </c>
      <c r="C546">
        <v>80</v>
      </c>
      <c r="D546">
        <v>79.250656128000003</v>
      </c>
      <c r="E546">
        <v>50</v>
      </c>
      <c r="F546">
        <v>49.784599303999997</v>
      </c>
      <c r="G546">
        <v>1278.4294434000001</v>
      </c>
      <c r="H546">
        <v>1254.7012939000001</v>
      </c>
      <c r="I546">
        <v>1467.6433105000001</v>
      </c>
      <c r="J546">
        <v>1432.3139647999999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186.77643699999999</v>
      </c>
      <c r="B547" s="1">
        <f>DATE(2010,11,3) + TIME(18,38,4)</f>
        <v>40485.776435185187</v>
      </c>
      <c r="C547">
        <v>80</v>
      </c>
      <c r="D547">
        <v>79.220588684000006</v>
      </c>
      <c r="E547">
        <v>50</v>
      </c>
      <c r="F547">
        <v>49.824146270999996</v>
      </c>
      <c r="G547">
        <v>1278.4212646000001</v>
      </c>
      <c r="H547">
        <v>1254.6911620999999</v>
      </c>
      <c r="I547">
        <v>1467.222168</v>
      </c>
      <c r="J547">
        <v>1431.9025879000001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186.91225399999999</v>
      </c>
      <c r="B548" s="1">
        <f>DATE(2010,11,3) + TIME(21,53,38)</f>
        <v>40485.912245370368</v>
      </c>
      <c r="C548">
        <v>80</v>
      </c>
      <c r="D548">
        <v>79.190139771000005</v>
      </c>
      <c r="E548">
        <v>50</v>
      </c>
      <c r="F548">
        <v>49.855251312</v>
      </c>
      <c r="G548">
        <v>1278.4130858999999</v>
      </c>
      <c r="H548">
        <v>1254.6810303</v>
      </c>
      <c r="I548">
        <v>1466.8204346</v>
      </c>
      <c r="J548">
        <v>1431.5062256000001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187.050738</v>
      </c>
      <c r="B549" s="1">
        <f>DATE(2010,11,4) + TIME(1,13,3)</f>
        <v>40486.050729166665</v>
      </c>
      <c r="C549">
        <v>80</v>
      </c>
      <c r="D549">
        <v>79.159210204999994</v>
      </c>
      <c r="E549">
        <v>50</v>
      </c>
      <c r="F549">
        <v>49.879734038999999</v>
      </c>
      <c r="G549">
        <v>1278.4047852000001</v>
      </c>
      <c r="H549">
        <v>1254.6706543</v>
      </c>
      <c r="I549">
        <v>1466.4345702999999</v>
      </c>
      <c r="J549">
        <v>1431.1221923999999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187.19253499999999</v>
      </c>
      <c r="B550" s="1">
        <f>DATE(2010,11,4) + TIME(4,37,15)</f>
        <v>40486.19253472222</v>
      </c>
      <c r="C550">
        <v>80</v>
      </c>
      <c r="D550">
        <v>79.127723693999997</v>
      </c>
      <c r="E550">
        <v>50</v>
      </c>
      <c r="F550">
        <v>49.899002074999999</v>
      </c>
      <c r="G550">
        <v>1278.3962402</v>
      </c>
      <c r="H550">
        <v>1254.6600341999999</v>
      </c>
      <c r="I550">
        <v>1466.0615233999999</v>
      </c>
      <c r="J550">
        <v>1430.7481689000001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187.33832799999999</v>
      </c>
      <c r="B551" s="1">
        <f>DATE(2010,11,4) + TIME(8,7,11)</f>
        <v>40486.338321759256</v>
      </c>
      <c r="C551">
        <v>80</v>
      </c>
      <c r="D551">
        <v>79.095565796000002</v>
      </c>
      <c r="E551">
        <v>50</v>
      </c>
      <c r="F551">
        <v>49.914150237999998</v>
      </c>
      <c r="G551">
        <v>1278.3875731999999</v>
      </c>
      <c r="H551">
        <v>1254.6491699000001</v>
      </c>
      <c r="I551">
        <v>1465.6986084</v>
      </c>
      <c r="J551">
        <v>1430.3819579999999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187.48884200000001</v>
      </c>
      <c r="B552" s="1">
        <f>DATE(2010,11,4) + TIME(11,43,55)</f>
        <v>40486.48883101852</v>
      </c>
      <c r="C552">
        <v>80</v>
      </c>
      <c r="D552">
        <v>79.062622070000003</v>
      </c>
      <c r="E552">
        <v>50</v>
      </c>
      <c r="F552">
        <v>49.926040649000001</v>
      </c>
      <c r="G552">
        <v>1278.3786620999999</v>
      </c>
      <c r="H552">
        <v>1254.6380615</v>
      </c>
      <c r="I552">
        <v>1465.3435059000001</v>
      </c>
      <c r="J552">
        <v>1430.0217285000001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187.64488</v>
      </c>
      <c r="B553" s="1">
        <f>DATE(2010,11,4) + TIME(15,28,37)</f>
        <v>40486.644872685189</v>
      </c>
      <c r="C553">
        <v>80</v>
      </c>
      <c r="D553">
        <v>79.028747558999996</v>
      </c>
      <c r="E553">
        <v>50</v>
      </c>
      <c r="F553">
        <v>49.935352324999997</v>
      </c>
      <c r="G553">
        <v>1278.3693848</v>
      </c>
      <c r="H553">
        <v>1254.6264647999999</v>
      </c>
      <c r="I553">
        <v>1464.9942627</v>
      </c>
      <c r="J553">
        <v>1429.6657714999999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187.80688000000001</v>
      </c>
      <c r="B554" s="1">
        <f>DATE(2010,11,4) + TIME(19,21,54)</f>
        <v>40486.806875000002</v>
      </c>
      <c r="C554">
        <v>80</v>
      </c>
      <c r="D554">
        <v>78.993865967000005</v>
      </c>
      <c r="E554">
        <v>50</v>
      </c>
      <c r="F554">
        <v>49.942607879999997</v>
      </c>
      <c r="G554">
        <v>1278.3597411999999</v>
      </c>
      <c r="H554">
        <v>1254.6145019999999</v>
      </c>
      <c r="I554">
        <v>1464.6489257999999</v>
      </c>
      <c r="J554">
        <v>1429.3123779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187.97552200000001</v>
      </c>
      <c r="B555" s="1">
        <f>DATE(2010,11,4) + TIME(23,24,45)</f>
        <v>40486.97552083333</v>
      </c>
      <c r="C555">
        <v>80</v>
      </c>
      <c r="D555">
        <v>78.957870482999994</v>
      </c>
      <c r="E555">
        <v>50</v>
      </c>
      <c r="F555">
        <v>49.948238373000002</v>
      </c>
      <c r="G555">
        <v>1278.3497314000001</v>
      </c>
      <c r="H555">
        <v>1254.6020507999999</v>
      </c>
      <c r="I555">
        <v>1464.3068848</v>
      </c>
      <c r="J555">
        <v>1428.9610596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188.151545</v>
      </c>
      <c r="B556" s="1">
        <f>DATE(2010,11,5) + TIME(3,38,13)</f>
        <v>40487.151539351849</v>
      </c>
      <c r="C556">
        <v>80</v>
      </c>
      <c r="D556">
        <v>78.920616150000001</v>
      </c>
      <c r="E556">
        <v>50</v>
      </c>
      <c r="F556">
        <v>49.952590942</v>
      </c>
      <c r="G556">
        <v>1278.3393555</v>
      </c>
      <c r="H556">
        <v>1254.5891113</v>
      </c>
      <c r="I556">
        <v>1463.9669189000001</v>
      </c>
      <c r="J556">
        <v>1428.6110839999999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188.33617100000001</v>
      </c>
      <c r="B557" s="1">
        <f>DATE(2010,11,5) + TIME(8,4,5)</f>
        <v>40487.336168981485</v>
      </c>
      <c r="C557">
        <v>80</v>
      </c>
      <c r="D557">
        <v>78.881919861</v>
      </c>
      <c r="E557">
        <v>50</v>
      </c>
      <c r="F557">
        <v>49.955951691000003</v>
      </c>
      <c r="G557">
        <v>1278.3284911999999</v>
      </c>
      <c r="H557">
        <v>1254.5755615</v>
      </c>
      <c r="I557">
        <v>1463.6281738</v>
      </c>
      <c r="J557">
        <v>1428.2612305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188.53083599999999</v>
      </c>
      <c r="B558" s="1">
        <f>DATE(2010,11,5) + TIME(12,44,24)</f>
        <v>40487.530833333331</v>
      </c>
      <c r="C558">
        <v>80</v>
      </c>
      <c r="D558">
        <v>78.841545104999994</v>
      </c>
      <c r="E558">
        <v>50</v>
      </c>
      <c r="F558">
        <v>49.958538054999998</v>
      </c>
      <c r="G558">
        <v>1278.3170166</v>
      </c>
      <c r="H558">
        <v>1254.5612793</v>
      </c>
      <c r="I558">
        <v>1463.2890625</v>
      </c>
      <c r="J558">
        <v>1427.9102783000001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188.73679999999999</v>
      </c>
      <c r="B559" s="1">
        <f>DATE(2010,11,5) + TIME(17,40,59)</f>
        <v>40487.736793981479</v>
      </c>
      <c r="C559">
        <v>80</v>
      </c>
      <c r="D559">
        <v>78.799278259000005</v>
      </c>
      <c r="E559">
        <v>50</v>
      </c>
      <c r="F559">
        <v>49.960521698000001</v>
      </c>
      <c r="G559">
        <v>1278.3049315999999</v>
      </c>
      <c r="H559">
        <v>1254.5462646000001</v>
      </c>
      <c r="I559">
        <v>1462.9476318</v>
      </c>
      <c r="J559">
        <v>1427.5563964999999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188.95375999999999</v>
      </c>
      <c r="B560" s="1">
        <f>DATE(2010,11,5) + TIME(22,53,24)</f>
        <v>40487.953750000001</v>
      </c>
      <c r="C560">
        <v>80</v>
      </c>
      <c r="D560">
        <v>78.755111693999993</v>
      </c>
      <c r="E560">
        <v>50</v>
      </c>
      <c r="F560">
        <v>49.962036132999998</v>
      </c>
      <c r="G560">
        <v>1278.2921143000001</v>
      </c>
      <c r="H560">
        <v>1254.5303954999999</v>
      </c>
      <c r="I560">
        <v>1462.6031493999999</v>
      </c>
      <c r="J560">
        <v>1427.1984863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189.174429</v>
      </c>
      <c r="B561" s="1">
        <f>DATE(2010,11,6) + TIME(4,11,10)</f>
        <v>40488.174421296295</v>
      </c>
      <c r="C561">
        <v>80</v>
      </c>
      <c r="D561">
        <v>78.710014342999997</v>
      </c>
      <c r="E561">
        <v>50</v>
      </c>
      <c r="F561">
        <v>49.963153839</v>
      </c>
      <c r="G561">
        <v>1278.2783202999999</v>
      </c>
      <c r="H561">
        <v>1254.5136719</v>
      </c>
      <c r="I561">
        <v>1462.2570800999999</v>
      </c>
      <c r="J561">
        <v>1426.8383789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189.39621</v>
      </c>
      <c r="B562" s="1">
        <f>DATE(2010,11,6) + TIME(9,30,32)</f>
        <v>40488.396203703705</v>
      </c>
      <c r="C562">
        <v>80</v>
      </c>
      <c r="D562">
        <v>78.664482117000006</v>
      </c>
      <c r="E562">
        <v>50</v>
      </c>
      <c r="F562">
        <v>49.963985442999999</v>
      </c>
      <c r="G562">
        <v>1278.2644043</v>
      </c>
      <c r="H562">
        <v>1254.4967041</v>
      </c>
      <c r="I562">
        <v>1461.9213867000001</v>
      </c>
      <c r="J562">
        <v>1426.4887695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189.62025</v>
      </c>
      <c r="B563" s="1">
        <f>DATE(2010,11,6) + TIME(14,53,9)</f>
        <v>40488.620243055557</v>
      </c>
      <c r="C563">
        <v>80</v>
      </c>
      <c r="D563">
        <v>78.618537903000004</v>
      </c>
      <c r="E563">
        <v>50</v>
      </c>
      <c r="F563">
        <v>49.964614867999998</v>
      </c>
      <c r="G563">
        <v>1278.2503661999999</v>
      </c>
      <c r="H563">
        <v>1254.4794922000001</v>
      </c>
      <c r="I563">
        <v>1461.5993652</v>
      </c>
      <c r="J563">
        <v>1426.152832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189.84760800000001</v>
      </c>
      <c r="B564" s="1">
        <f>DATE(2010,11,6) + TIME(20,20,33)</f>
        <v>40488.847604166665</v>
      </c>
      <c r="C564">
        <v>80</v>
      </c>
      <c r="D564">
        <v>78.572120666999993</v>
      </c>
      <c r="E564">
        <v>50</v>
      </c>
      <c r="F564">
        <v>49.965095519999998</v>
      </c>
      <c r="G564">
        <v>1278.2360839999999</v>
      </c>
      <c r="H564">
        <v>1254.4620361</v>
      </c>
      <c r="I564">
        <v>1461.2884521000001</v>
      </c>
      <c r="J564">
        <v>1425.828125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190.07940500000001</v>
      </c>
      <c r="B565" s="1">
        <f>DATE(2010,11,7) + TIME(1,54,20)</f>
        <v>40489.079398148147</v>
      </c>
      <c r="C565">
        <v>80</v>
      </c>
      <c r="D565">
        <v>78.525108337000006</v>
      </c>
      <c r="E565">
        <v>50</v>
      </c>
      <c r="F565">
        <v>49.965473175</v>
      </c>
      <c r="G565">
        <v>1278.2216797000001</v>
      </c>
      <c r="H565">
        <v>1254.4443358999999</v>
      </c>
      <c r="I565">
        <v>1460.9863281</v>
      </c>
      <c r="J565">
        <v>1425.5123291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190.31627</v>
      </c>
      <c r="B566" s="1">
        <f>DATE(2010,11,7) + TIME(7,35,25)</f>
        <v>40489.316261574073</v>
      </c>
      <c r="C566">
        <v>80</v>
      </c>
      <c r="D566">
        <v>78.477432250999996</v>
      </c>
      <c r="E566">
        <v>50</v>
      </c>
      <c r="F566">
        <v>49.965774535999998</v>
      </c>
      <c r="G566">
        <v>1278.2070312000001</v>
      </c>
      <c r="H566">
        <v>1254.4261475000001</v>
      </c>
      <c r="I566">
        <v>1460.6912841999999</v>
      </c>
      <c r="J566">
        <v>1425.2036132999999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190.559179</v>
      </c>
      <c r="B567" s="1">
        <f>DATE(2010,11,7) + TIME(13,25,13)</f>
        <v>40489.559178240743</v>
      </c>
      <c r="C567">
        <v>80</v>
      </c>
      <c r="D567">
        <v>78.428955078000001</v>
      </c>
      <c r="E567">
        <v>50</v>
      </c>
      <c r="F567">
        <v>49.966014862000002</v>
      </c>
      <c r="G567">
        <v>1278.1918945</v>
      </c>
      <c r="H567">
        <v>1254.4075928</v>
      </c>
      <c r="I567">
        <v>1460.4020995999999</v>
      </c>
      <c r="J567">
        <v>1424.9008789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190.809279</v>
      </c>
      <c r="B568" s="1">
        <f>DATE(2010,11,7) + TIME(19,25,21)</f>
        <v>40489.809270833335</v>
      </c>
      <c r="C568">
        <v>80</v>
      </c>
      <c r="D568">
        <v>78.379501343000001</v>
      </c>
      <c r="E568">
        <v>50</v>
      </c>
      <c r="F568">
        <v>49.966213226000001</v>
      </c>
      <c r="G568">
        <v>1278.1763916</v>
      </c>
      <c r="H568">
        <v>1254.3885498</v>
      </c>
      <c r="I568">
        <v>1460.1176757999999</v>
      </c>
      <c r="J568">
        <v>1424.6029053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191.06760600000001</v>
      </c>
      <c r="B569" s="1">
        <f>DATE(2010,11,8) + TIME(1,37,21)</f>
        <v>40490.067604166667</v>
      </c>
      <c r="C569">
        <v>80</v>
      </c>
      <c r="D569">
        <v>78.328910828000005</v>
      </c>
      <c r="E569">
        <v>50</v>
      </c>
      <c r="F569">
        <v>49.966377258000001</v>
      </c>
      <c r="G569">
        <v>1278.1604004000001</v>
      </c>
      <c r="H569">
        <v>1254.3687743999999</v>
      </c>
      <c r="I569">
        <v>1459.8366699000001</v>
      </c>
      <c r="J569">
        <v>1424.3081055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191.33568</v>
      </c>
      <c r="B570" s="1">
        <f>DATE(2010,11,8) + TIME(8,3,22)</f>
        <v>40490.3356712963</v>
      </c>
      <c r="C570">
        <v>80</v>
      </c>
      <c r="D570">
        <v>78.276962280000006</v>
      </c>
      <c r="E570">
        <v>50</v>
      </c>
      <c r="F570">
        <v>49.966518401999998</v>
      </c>
      <c r="G570">
        <v>1278.1437988</v>
      </c>
      <c r="H570">
        <v>1254.3483887</v>
      </c>
      <c r="I570">
        <v>1459.5579834</v>
      </c>
      <c r="J570">
        <v>1424.0157471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191.61523500000001</v>
      </c>
      <c r="B571" s="1">
        <f>DATE(2010,11,8) + TIME(14,45,56)</f>
        <v>40490.615231481483</v>
      </c>
      <c r="C571">
        <v>80</v>
      </c>
      <c r="D571">
        <v>78.223388671999999</v>
      </c>
      <c r="E571">
        <v>50</v>
      </c>
      <c r="F571">
        <v>49.966640472000002</v>
      </c>
      <c r="G571">
        <v>1278.1265868999999</v>
      </c>
      <c r="H571">
        <v>1254.3272704999999</v>
      </c>
      <c r="I571">
        <v>1459.2803954999999</v>
      </c>
      <c r="J571">
        <v>1423.7243652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191.907793</v>
      </c>
      <c r="B572" s="1">
        <f>DATE(2010,11,8) + TIME(21,47,13)</f>
        <v>40490.907789351855</v>
      </c>
      <c r="C572">
        <v>80</v>
      </c>
      <c r="D572">
        <v>78.167938231999997</v>
      </c>
      <c r="E572">
        <v>50</v>
      </c>
      <c r="F572">
        <v>49.966747284</v>
      </c>
      <c r="G572">
        <v>1278.1085204999999</v>
      </c>
      <c r="H572">
        <v>1254.3050536999999</v>
      </c>
      <c r="I572">
        <v>1459.0025635</v>
      </c>
      <c r="J572">
        <v>1423.4326172000001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192.21484799999999</v>
      </c>
      <c r="B573" s="1">
        <f>DATE(2010,11,9) + TIME(5,9,22)</f>
        <v>40491.214837962965</v>
      </c>
      <c r="C573">
        <v>80</v>
      </c>
      <c r="D573">
        <v>78.110382079999994</v>
      </c>
      <c r="E573">
        <v>50</v>
      </c>
      <c r="F573">
        <v>49.966838836999997</v>
      </c>
      <c r="G573">
        <v>1278.0895995999999</v>
      </c>
      <c r="H573">
        <v>1254.2817382999999</v>
      </c>
      <c r="I573">
        <v>1458.7236327999999</v>
      </c>
      <c r="J573">
        <v>1423.1394043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192.53069300000001</v>
      </c>
      <c r="B574" s="1">
        <f>DATE(2010,11,9) + TIME(12,44,11)</f>
        <v>40491.530682870369</v>
      </c>
      <c r="C574">
        <v>80</v>
      </c>
      <c r="D574">
        <v>78.051246642999999</v>
      </c>
      <c r="E574">
        <v>50</v>
      </c>
      <c r="F574">
        <v>49.966918945000003</v>
      </c>
      <c r="G574">
        <v>1278.0694579999999</v>
      </c>
      <c r="H574">
        <v>1254.2573242000001</v>
      </c>
      <c r="I574">
        <v>1458.442749</v>
      </c>
      <c r="J574">
        <v>1422.8442382999999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192.84705299999999</v>
      </c>
      <c r="B575" s="1">
        <f>DATE(2010,11,9) + TIME(20,19,45)</f>
        <v>40491.847048611111</v>
      </c>
      <c r="C575">
        <v>80</v>
      </c>
      <c r="D575">
        <v>77.991592406999999</v>
      </c>
      <c r="E575">
        <v>50</v>
      </c>
      <c r="F575">
        <v>49.966991425000003</v>
      </c>
      <c r="G575">
        <v>1278.0487060999999</v>
      </c>
      <c r="H575">
        <v>1254.2320557</v>
      </c>
      <c r="I575">
        <v>1458.1657714999999</v>
      </c>
      <c r="J575">
        <v>1422.5528564000001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193.16557299999999</v>
      </c>
      <c r="B576" s="1">
        <f>DATE(2010,11,10) + TIME(3,58,25)</f>
        <v>40492.165567129632</v>
      </c>
      <c r="C576">
        <v>80</v>
      </c>
      <c r="D576">
        <v>77.931587218999994</v>
      </c>
      <c r="E576">
        <v>50</v>
      </c>
      <c r="F576">
        <v>49.967052459999998</v>
      </c>
      <c r="G576">
        <v>1278.027832</v>
      </c>
      <c r="H576">
        <v>1254.206543</v>
      </c>
      <c r="I576">
        <v>1457.8995361</v>
      </c>
      <c r="J576">
        <v>1422.2728271000001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193.48777899999999</v>
      </c>
      <c r="B577" s="1">
        <f>DATE(2010,11,10) + TIME(11,42,24)</f>
        <v>40492.48777777778</v>
      </c>
      <c r="C577">
        <v>80</v>
      </c>
      <c r="D577">
        <v>77.871238708000007</v>
      </c>
      <c r="E577">
        <v>50</v>
      </c>
      <c r="F577">
        <v>49.96710968</v>
      </c>
      <c r="G577">
        <v>1278.0067139</v>
      </c>
      <c r="H577">
        <v>1254.1809082</v>
      </c>
      <c r="I577">
        <v>1457.6420897999999</v>
      </c>
      <c r="J577">
        <v>1422.0019531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193.81497300000001</v>
      </c>
      <c r="B578" s="1">
        <f>DATE(2010,11,10) + TIME(19,33,33)</f>
        <v>40492.814965277779</v>
      </c>
      <c r="C578">
        <v>80</v>
      </c>
      <c r="D578">
        <v>77.810447693</v>
      </c>
      <c r="E578">
        <v>50</v>
      </c>
      <c r="F578">
        <v>49.967163085999999</v>
      </c>
      <c r="G578">
        <v>1277.9853516000001</v>
      </c>
      <c r="H578">
        <v>1254.1546631000001</v>
      </c>
      <c r="I578">
        <v>1457.3917236</v>
      </c>
      <c r="J578">
        <v>1421.7384033000001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194.14876899999999</v>
      </c>
      <c r="B579" s="1">
        <f>DATE(2010,11,11) + TIME(3,34,13)</f>
        <v>40493.148761574077</v>
      </c>
      <c r="C579">
        <v>80</v>
      </c>
      <c r="D579">
        <v>77.749031067000004</v>
      </c>
      <c r="E579">
        <v>50</v>
      </c>
      <c r="F579">
        <v>49.967212676999999</v>
      </c>
      <c r="G579">
        <v>1277.9636230000001</v>
      </c>
      <c r="H579">
        <v>1254.1280518000001</v>
      </c>
      <c r="I579">
        <v>1457.1470947</v>
      </c>
      <c r="J579">
        <v>1421.4807129000001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194.490859</v>
      </c>
      <c r="B580" s="1">
        <f>DATE(2010,11,11) + TIME(11,46,50)</f>
        <v>40493.490856481483</v>
      </c>
      <c r="C580">
        <v>80</v>
      </c>
      <c r="D580">
        <v>77.686767578000001</v>
      </c>
      <c r="E580">
        <v>50</v>
      </c>
      <c r="F580">
        <v>49.967258452999999</v>
      </c>
      <c r="G580">
        <v>1277.9412841999999</v>
      </c>
      <c r="H580">
        <v>1254.1007079999999</v>
      </c>
      <c r="I580">
        <v>1456.9068603999999</v>
      </c>
      <c r="J580">
        <v>1421.2277832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194.84307000000001</v>
      </c>
      <c r="B581" s="1">
        <f>DATE(2010,11,11) + TIME(20,14,1)</f>
        <v>40493.84306712963</v>
      </c>
      <c r="C581">
        <v>80</v>
      </c>
      <c r="D581">
        <v>77.623397827000005</v>
      </c>
      <c r="E581">
        <v>50</v>
      </c>
      <c r="F581">
        <v>49.967300414999997</v>
      </c>
      <c r="G581">
        <v>1277.9183350000001</v>
      </c>
      <c r="H581">
        <v>1254.0726318</v>
      </c>
      <c r="I581">
        <v>1456.6696777</v>
      </c>
      <c r="J581">
        <v>1420.9779053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195.207436</v>
      </c>
      <c r="B582" s="1">
        <f>DATE(2010,11,12) + TIME(4,58,42)</f>
        <v>40494.207430555558</v>
      </c>
      <c r="C582">
        <v>80</v>
      </c>
      <c r="D582">
        <v>77.558631896999998</v>
      </c>
      <c r="E582">
        <v>50</v>
      </c>
      <c r="F582">
        <v>49.967346190999997</v>
      </c>
      <c r="G582">
        <v>1277.8946533000001</v>
      </c>
      <c r="H582">
        <v>1254.043457</v>
      </c>
      <c r="I582">
        <v>1456.4344481999999</v>
      </c>
      <c r="J582">
        <v>1420.7302245999999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195.58627000000001</v>
      </c>
      <c r="B583" s="1">
        <f>DATE(2010,11,12) + TIME(14,4,13)</f>
        <v>40494.586261574077</v>
      </c>
      <c r="C583">
        <v>80</v>
      </c>
      <c r="D583">
        <v>77.492134093999994</v>
      </c>
      <c r="E583">
        <v>50</v>
      </c>
      <c r="F583">
        <v>49.967388153000002</v>
      </c>
      <c r="G583">
        <v>1277.8699951000001</v>
      </c>
      <c r="H583">
        <v>1254.0133057</v>
      </c>
      <c r="I583">
        <v>1456.2000731999999</v>
      </c>
      <c r="J583">
        <v>1420.4832764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195.98063099999999</v>
      </c>
      <c r="B584" s="1">
        <f>DATE(2010,11,12) + TIME(23,32,6)</f>
        <v>40494.980624999997</v>
      </c>
      <c r="C584">
        <v>80</v>
      </c>
      <c r="D584">
        <v>77.423683166999993</v>
      </c>
      <c r="E584">
        <v>50</v>
      </c>
      <c r="F584">
        <v>49.967430114999999</v>
      </c>
      <c r="G584">
        <v>1277.8442382999999</v>
      </c>
      <c r="H584">
        <v>1253.9816894999999</v>
      </c>
      <c r="I584">
        <v>1455.965332</v>
      </c>
      <c r="J584">
        <v>1420.2360839999999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196.39286000000001</v>
      </c>
      <c r="B585" s="1">
        <f>DATE(2010,11,13) + TIME(9,25,43)</f>
        <v>40495.392858796295</v>
      </c>
      <c r="C585">
        <v>80</v>
      </c>
      <c r="D585">
        <v>77.352981567</v>
      </c>
      <c r="E585">
        <v>50</v>
      </c>
      <c r="F585">
        <v>49.967472076</v>
      </c>
      <c r="G585">
        <v>1277.8172606999999</v>
      </c>
      <c r="H585">
        <v>1253.9486084</v>
      </c>
      <c r="I585">
        <v>1455.7301024999999</v>
      </c>
      <c r="J585">
        <v>1419.9882812000001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196.814898</v>
      </c>
      <c r="B586" s="1">
        <f>DATE(2010,11,13) + TIME(19,33,27)</f>
        <v>40495.814895833333</v>
      </c>
      <c r="C586">
        <v>80</v>
      </c>
      <c r="D586">
        <v>77.280616760000001</v>
      </c>
      <c r="E586">
        <v>50</v>
      </c>
      <c r="F586">
        <v>49.967514037999997</v>
      </c>
      <c r="G586">
        <v>1277.7888184000001</v>
      </c>
      <c r="H586">
        <v>1253.9140625</v>
      </c>
      <c r="I586">
        <v>1455.4934082</v>
      </c>
      <c r="J586">
        <v>1419.7390137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197.23715999999999</v>
      </c>
      <c r="B587" s="1">
        <f>DATE(2010,11,14) + TIME(5,41,30)</f>
        <v>40496.23715277778</v>
      </c>
      <c r="C587">
        <v>80</v>
      </c>
      <c r="D587">
        <v>77.207717896000005</v>
      </c>
      <c r="E587">
        <v>50</v>
      </c>
      <c r="F587">
        <v>49.967556000000002</v>
      </c>
      <c r="G587">
        <v>1277.7595214999999</v>
      </c>
      <c r="H587">
        <v>1253.8782959</v>
      </c>
      <c r="I587">
        <v>1455.2602539</v>
      </c>
      <c r="J587">
        <v>1419.4934082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197.66183100000001</v>
      </c>
      <c r="B588" s="1">
        <f>DATE(2010,11,14) + TIME(15,53,2)</f>
        <v>40496.661828703705</v>
      </c>
      <c r="C588">
        <v>80</v>
      </c>
      <c r="D588">
        <v>77.134628296000002</v>
      </c>
      <c r="E588">
        <v>50</v>
      </c>
      <c r="F588">
        <v>49.967597961000003</v>
      </c>
      <c r="G588">
        <v>1277.7299805</v>
      </c>
      <c r="H588">
        <v>1253.8422852000001</v>
      </c>
      <c r="I588">
        <v>1455.0357666</v>
      </c>
      <c r="J588">
        <v>1419.2568358999999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198.09106499999999</v>
      </c>
      <c r="B589" s="1">
        <f>DATE(2010,11,15) + TIME(2,11,8)</f>
        <v>40497.091064814813</v>
      </c>
      <c r="C589">
        <v>80</v>
      </c>
      <c r="D589">
        <v>77.061363220000004</v>
      </c>
      <c r="E589">
        <v>50</v>
      </c>
      <c r="F589">
        <v>49.967636108000001</v>
      </c>
      <c r="G589">
        <v>1277.7001952999999</v>
      </c>
      <c r="H589">
        <v>1253.8059082</v>
      </c>
      <c r="I589">
        <v>1454.8181152</v>
      </c>
      <c r="J589">
        <v>1419.0277100000001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198.527051</v>
      </c>
      <c r="B590" s="1">
        <f>DATE(2010,11,15) + TIME(12,38,57)</f>
        <v>40497.527048611111</v>
      </c>
      <c r="C590">
        <v>80</v>
      </c>
      <c r="D590">
        <v>76.987747192</v>
      </c>
      <c r="E590">
        <v>50</v>
      </c>
      <c r="F590">
        <v>49.967678069999998</v>
      </c>
      <c r="G590">
        <v>1277.6699219</v>
      </c>
      <c r="H590">
        <v>1253.7687988</v>
      </c>
      <c r="I590">
        <v>1454.605957</v>
      </c>
      <c r="J590">
        <v>1418.8043213000001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198.971982</v>
      </c>
      <c r="B591" s="1">
        <f>DATE(2010,11,15) + TIME(23,19,39)</f>
        <v>40497.971979166665</v>
      </c>
      <c r="C591">
        <v>80</v>
      </c>
      <c r="D591">
        <v>76.913513183999996</v>
      </c>
      <c r="E591">
        <v>50</v>
      </c>
      <c r="F591">
        <v>49.967716217000003</v>
      </c>
      <c r="G591">
        <v>1277.6390381000001</v>
      </c>
      <c r="H591">
        <v>1253.7308350000001</v>
      </c>
      <c r="I591">
        <v>1454.3980713000001</v>
      </c>
      <c r="J591">
        <v>1418.5854492000001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199.42818199999999</v>
      </c>
      <c r="B592" s="1">
        <f>DATE(2010,11,16) + TIME(10,16,34)</f>
        <v>40498.428171296298</v>
      </c>
      <c r="C592">
        <v>80</v>
      </c>
      <c r="D592">
        <v>76.838378906000003</v>
      </c>
      <c r="E592">
        <v>50</v>
      </c>
      <c r="F592">
        <v>49.967758179</v>
      </c>
      <c r="G592">
        <v>1277.6072998</v>
      </c>
      <c r="H592">
        <v>1253.6918945</v>
      </c>
      <c r="I592">
        <v>1454.1932373</v>
      </c>
      <c r="J592">
        <v>1418.3698730000001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199.89818600000001</v>
      </c>
      <c r="B593" s="1">
        <f>DATE(2010,11,16) + TIME(21,33,23)</f>
        <v>40498.898182870369</v>
      </c>
      <c r="C593">
        <v>80</v>
      </c>
      <c r="D593">
        <v>76.761985779</v>
      </c>
      <c r="E593">
        <v>50</v>
      </c>
      <c r="F593">
        <v>49.967796325999998</v>
      </c>
      <c r="G593">
        <v>1277.5745850000001</v>
      </c>
      <c r="H593">
        <v>1253.6517334</v>
      </c>
      <c r="I593">
        <v>1453.9904785000001</v>
      </c>
      <c r="J593">
        <v>1418.1564940999999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200.38482999999999</v>
      </c>
      <c r="B594" s="1">
        <f>DATE(2010,11,17) + TIME(9,14,9)</f>
        <v>40499.384826388887</v>
      </c>
      <c r="C594">
        <v>80</v>
      </c>
      <c r="D594">
        <v>76.683967589999995</v>
      </c>
      <c r="E594">
        <v>50</v>
      </c>
      <c r="F594">
        <v>49.967838286999999</v>
      </c>
      <c r="G594">
        <v>1277.5405272999999</v>
      </c>
      <c r="H594">
        <v>1253.6099853999999</v>
      </c>
      <c r="I594">
        <v>1453.7886963000001</v>
      </c>
      <c r="J594">
        <v>1417.9442139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200.88966500000001</v>
      </c>
      <c r="B595" s="1">
        <f>DATE(2010,11,17) + TIME(21,21,7)</f>
        <v>40499.889664351853</v>
      </c>
      <c r="C595">
        <v>80</v>
      </c>
      <c r="D595">
        <v>76.604042053000001</v>
      </c>
      <c r="E595">
        <v>50</v>
      </c>
      <c r="F595">
        <v>49.967880248999997</v>
      </c>
      <c r="G595">
        <v>1277.5051269999999</v>
      </c>
      <c r="H595">
        <v>1253.5665283000001</v>
      </c>
      <c r="I595">
        <v>1453.5870361</v>
      </c>
      <c r="J595">
        <v>1417.7321777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201.413873</v>
      </c>
      <c r="B596" s="1">
        <f>DATE(2010,11,18) + TIME(9,55,58)</f>
        <v>40500.413865740738</v>
      </c>
      <c r="C596">
        <v>80</v>
      </c>
      <c r="D596">
        <v>76.521987914999997</v>
      </c>
      <c r="E596">
        <v>50</v>
      </c>
      <c r="F596">
        <v>49.967926024999997</v>
      </c>
      <c r="G596">
        <v>1277.4681396000001</v>
      </c>
      <c r="H596">
        <v>1253.5209961</v>
      </c>
      <c r="I596">
        <v>1453.3851318</v>
      </c>
      <c r="J596">
        <v>1417.5198975000001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201.94869499999999</v>
      </c>
      <c r="B597" s="1">
        <f>DATE(2010,11,18) + TIME(22,46,7)</f>
        <v>40500.948692129627</v>
      </c>
      <c r="C597">
        <v>80</v>
      </c>
      <c r="D597">
        <v>76.438354492000002</v>
      </c>
      <c r="E597">
        <v>50</v>
      </c>
      <c r="F597">
        <v>49.967967987000002</v>
      </c>
      <c r="G597">
        <v>1277.4293213000001</v>
      </c>
      <c r="H597">
        <v>1253.4735106999999</v>
      </c>
      <c r="I597">
        <v>1453.1828613</v>
      </c>
      <c r="J597">
        <v>1417.3071289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202.484239</v>
      </c>
      <c r="B598" s="1">
        <f>DATE(2010,11,19) + TIME(11,37,18)</f>
        <v>40501.484236111108</v>
      </c>
      <c r="C598">
        <v>80</v>
      </c>
      <c r="D598">
        <v>76.354240417</v>
      </c>
      <c r="E598">
        <v>50</v>
      </c>
      <c r="F598">
        <v>49.968009948999999</v>
      </c>
      <c r="G598">
        <v>1277.3894043</v>
      </c>
      <c r="H598">
        <v>1253.4246826000001</v>
      </c>
      <c r="I598">
        <v>1452.9836425999999</v>
      </c>
      <c r="J598">
        <v>1417.0979004000001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203.0232</v>
      </c>
      <c r="B599" s="1">
        <f>DATE(2010,11,20) + TIME(0,33,24)</f>
        <v>40502.023194444446</v>
      </c>
      <c r="C599">
        <v>80</v>
      </c>
      <c r="D599">
        <v>76.270088196000003</v>
      </c>
      <c r="E599">
        <v>50</v>
      </c>
      <c r="F599">
        <v>49.96805191</v>
      </c>
      <c r="G599">
        <v>1277.3491211</v>
      </c>
      <c r="H599">
        <v>1253.3751221</v>
      </c>
      <c r="I599">
        <v>1452.7911377</v>
      </c>
      <c r="J599">
        <v>1416.8956298999999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203.56844000000001</v>
      </c>
      <c r="B600" s="1">
        <f>DATE(2010,11,20) + TIME(13,38,33)</f>
        <v>40502.568437499998</v>
      </c>
      <c r="C600">
        <v>80</v>
      </c>
      <c r="D600">
        <v>76.185882567999997</v>
      </c>
      <c r="E600">
        <v>50</v>
      </c>
      <c r="F600">
        <v>49.968097686999997</v>
      </c>
      <c r="G600">
        <v>1277.3082274999999</v>
      </c>
      <c r="H600">
        <v>1253.3249512</v>
      </c>
      <c r="I600">
        <v>1452.6040039</v>
      </c>
      <c r="J600">
        <v>1416.6990966999999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204.122716</v>
      </c>
      <c r="B601" s="1">
        <f>DATE(2010,11,21) + TIME(2,56,42)</f>
        <v>40503.122708333336</v>
      </c>
      <c r="C601">
        <v>80</v>
      </c>
      <c r="D601">
        <v>76.101371764999996</v>
      </c>
      <c r="E601">
        <v>50</v>
      </c>
      <c r="F601">
        <v>49.968139647999998</v>
      </c>
      <c r="G601">
        <v>1277.2666016000001</v>
      </c>
      <c r="H601">
        <v>1253.2735596</v>
      </c>
      <c r="I601">
        <v>1452.4210204999999</v>
      </c>
      <c r="J601">
        <v>1416.5070800999999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204.68888100000001</v>
      </c>
      <c r="B602" s="1">
        <f>DATE(2010,11,21) + TIME(16,31,59)</f>
        <v>40503.688877314817</v>
      </c>
      <c r="C602">
        <v>80</v>
      </c>
      <c r="D602">
        <v>76.016242981000005</v>
      </c>
      <c r="E602">
        <v>50</v>
      </c>
      <c r="F602">
        <v>49.968181610000002</v>
      </c>
      <c r="G602">
        <v>1277.223999</v>
      </c>
      <c r="H602">
        <v>1253.2209473</v>
      </c>
      <c r="I602">
        <v>1452.2410889</v>
      </c>
      <c r="J602">
        <v>1416.3182373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205.26998699999999</v>
      </c>
      <c r="B603" s="1">
        <f>DATE(2010,11,22) + TIME(6,28,46)</f>
        <v>40504.269976851851</v>
      </c>
      <c r="C603">
        <v>80</v>
      </c>
      <c r="D603">
        <v>75.930122374999996</v>
      </c>
      <c r="E603">
        <v>50</v>
      </c>
      <c r="F603">
        <v>49.968227386000002</v>
      </c>
      <c r="G603">
        <v>1277.1800536999999</v>
      </c>
      <c r="H603">
        <v>1253.1667480000001</v>
      </c>
      <c r="I603">
        <v>1452.0632324000001</v>
      </c>
      <c r="J603">
        <v>1416.1318358999999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205.86939699999999</v>
      </c>
      <c r="B604" s="1">
        <f>DATE(2010,11,22) + TIME(20,51,55)</f>
        <v>40504.869386574072</v>
      </c>
      <c r="C604">
        <v>80</v>
      </c>
      <c r="D604">
        <v>75.842597960999996</v>
      </c>
      <c r="E604">
        <v>50</v>
      </c>
      <c r="F604">
        <v>49.968273162999999</v>
      </c>
      <c r="G604">
        <v>1277.1345214999999</v>
      </c>
      <c r="H604">
        <v>1253.1104736</v>
      </c>
      <c r="I604">
        <v>1451.8867187999999</v>
      </c>
      <c r="J604">
        <v>1415.9466553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206.489824</v>
      </c>
      <c r="B605" s="1">
        <f>DATE(2010,11,23) + TIME(11,45,20)</f>
        <v>40505.489814814813</v>
      </c>
      <c r="C605">
        <v>80</v>
      </c>
      <c r="D605">
        <v>75.753295898000005</v>
      </c>
      <c r="E605">
        <v>50</v>
      </c>
      <c r="F605">
        <v>49.968318939</v>
      </c>
      <c r="G605">
        <v>1277.0871582</v>
      </c>
      <c r="H605">
        <v>1253.0518798999999</v>
      </c>
      <c r="I605">
        <v>1451.7105713000001</v>
      </c>
      <c r="J605">
        <v>1415.7620850000001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207.13083700000001</v>
      </c>
      <c r="B606" s="1">
        <f>DATE(2010,11,24) + TIME(3,8,24)</f>
        <v>40506.130833333336</v>
      </c>
      <c r="C606">
        <v>80</v>
      </c>
      <c r="D606">
        <v>75.662048339999998</v>
      </c>
      <c r="E606">
        <v>50</v>
      </c>
      <c r="F606">
        <v>49.968364716000004</v>
      </c>
      <c r="G606">
        <v>1277.0375977000001</v>
      </c>
      <c r="H606">
        <v>1252.9907227000001</v>
      </c>
      <c r="I606">
        <v>1451.5341797000001</v>
      </c>
      <c r="J606">
        <v>1415.5773925999999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207.78814299999999</v>
      </c>
      <c r="B607" s="1">
        <f>DATE(2010,11,24) + TIME(18,54,55)</f>
        <v>40506.788136574076</v>
      </c>
      <c r="C607">
        <v>80</v>
      </c>
      <c r="D607">
        <v>75.569091796999999</v>
      </c>
      <c r="E607">
        <v>50</v>
      </c>
      <c r="F607">
        <v>49.968410491999997</v>
      </c>
      <c r="G607">
        <v>1276.9859618999999</v>
      </c>
      <c r="H607">
        <v>1252.9268798999999</v>
      </c>
      <c r="I607">
        <v>1451.3580322</v>
      </c>
      <c r="J607">
        <v>1415.3929443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208.44564099999999</v>
      </c>
      <c r="B608" s="1">
        <f>DATE(2010,11,25) + TIME(10,41,43)</f>
        <v>40507.445636574077</v>
      </c>
      <c r="C608">
        <v>80</v>
      </c>
      <c r="D608">
        <v>75.475585937999995</v>
      </c>
      <c r="E608">
        <v>50</v>
      </c>
      <c r="F608">
        <v>49.968460082999997</v>
      </c>
      <c r="G608">
        <v>1276.9323730000001</v>
      </c>
      <c r="H608">
        <v>1252.8605957</v>
      </c>
      <c r="I608">
        <v>1451.1832274999999</v>
      </c>
      <c r="J608">
        <v>1415.2100829999999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209.10667799999999</v>
      </c>
      <c r="B609" s="1">
        <f>DATE(2010,11,26) + TIME(2,33,36)</f>
        <v>40508.106666666667</v>
      </c>
      <c r="C609">
        <v>80</v>
      </c>
      <c r="D609">
        <v>75.382255553999997</v>
      </c>
      <c r="E609">
        <v>50</v>
      </c>
      <c r="F609">
        <v>49.968505858999997</v>
      </c>
      <c r="G609">
        <v>1276.8781738</v>
      </c>
      <c r="H609">
        <v>1252.7935791</v>
      </c>
      <c r="I609">
        <v>1451.0141602000001</v>
      </c>
      <c r="J609">
        <v>1415.0333252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209.774801</v>
      </c>
      <c r="B610" s="1">
        <f>DATE(2010,11,26) + TIME(18,35,42)</f>
        <v>40508.774791666663</v>
      </c>
      <c r="C610">
        <v>80</v>
      </c>
      <c r="D610">
        <v>75.289100646999998</v>
      </c>
      <c r="E610">
        <v>50</v>
      </c>
      <c r="F610">
        <v>49.968551636000001</v>
      </c>
      <c r="G610">
        <v>1276.8231201000001</v>
      </c>
      <c r="H610">
        <v>1252.7252197</v>
      </c>
      <c r="I610">
        <v>1450.8497314000001</v>
      </c>
      <c r="J610">
        <v>1414.8613281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210.45343500000001</v>
      </c>
      <c r="B611" s="1">
        <f>DATE(2010,11,27) + TIME(10,52,56)</f>
        <v>40509.453425925924</v>
      </c>
      <c r="C611">
        <v>80</v>
      </c>
      <c r="D611">
        <v>75.195846558</v>
      </c>
      <c r="E611">
        <v>50</v>
      </c>
      <c r="F611">
        <v>49.968601227000001</v>
      </c>
      <c r="G611">
        <v>1276.7669678</v>
      </c>
      <c r="H611">
        <v>1252.6553954999999</v>
      </c>
      <c r="I611">
        <v>1450.6887207</v>
      </c>
      <c r="J611">
        <v>1414.6931152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211.14610999999999</v>
      </c>
      <c r="B612" s="1">
        <f>DATE(2010,11,28) + TIME(3,30,23)</f>
        <v>40510.146099537036</v>
      </c>
      <c r="C612">
        <v>80</v>
      </c>
      <c r="D612">
        <v>75.102119446000003</v>
      </c>
      <c r="E612">
        <v>50</v>
      </c>
      <c r="F612">
        <v>49.968647003000001</v>
      </c>
      <c r="G612">
        <v>1276.7093506000001</v>
      </c>
      <c r="H612">
        <v>1252.5834961</v>
      </c>
      <c r="I612">
        <v>1450.5302733999999</v>
      </c>
      <c r="J612">
        <v>1414.5277100000001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211.85659699999999</v>
      </c>
      <c r="B613" s="1">
        <f>DATE(2010,11,28) + TIME(20,33,30)</f>
        <v>40510.85659722222</v>
      </c>
      <c r="C613">
        <v>80</v>
      </c>
      <c r="D613">
        <v>75.007530212000006</v>
      </c>
      <c r="E613">
        <v>50</v>
      </c>
      <c r="F613">
        <v>49.968696594000001</v>
      </c>
      <c r="G613">
        <v>1276.6497803</v>
      </c>
      <c r="H613">
        <v>1252.5093993999999</v>
      </c>
      <c r="I613">
        <v>1450.3735352000001</v>
      </c>
      <c r="J613">
        <v>1414.3641356999999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212.58903900000001</v>
      </c>
      <c r="B614" s="1">
        <f>DATE(2010,11,29) + TIME(14,8,13)</f>
        <v>40511.589039351849</v>
      </c>
      <c r="C614">
        <v>80</v>
      </c>
      <c r="D614">
        <v>74.911544800000001</v>
      </c>
      <c r="E614">
        <v>50</v>
      </c>
      <c r="F614">
        <v>49.968746185000001</v>
      </c>
      <c r="G614">
        <v>1276.5880127</v>
      </c>
      <c r="H614">
        <v>1252.4323730000001</v>
      </c>
      <c r="I614">
        <v>1450.2176514</v>
      </c>
      <c r="J614">
        <v>1414.2015381000001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213.346272</v>
      </c>
      <c r="B615" s="1">
        <f>DATE(2010,11,30) + TIME(8,18,37)</f>
        <v>40512.346261574072</v>
      </c>
      <c r="C615">
        <v>80</v>
      </c>
      <c r="D615">
        <v>74.813781738000003</v>
      </c>
      <c r="E615">
        <v>50</v>
      </c>
      <c r="F615">
        <v>49.968799591</v>
      </c>
      <c r="G615">
        <v>1276.5236815999999</v>
      </c>
      <c r="H615">
        <v>1252.3519286999999</v>
      </c>
      <c r="I615">
        <v>1450.0620117000001</v>
      </c>
      <c r="J615">
        <v>1414.0393065999999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214</v>
      </c>
      <c r="B616" s="1">
        <f>DATE(2010,12,1) + TIME(0,0,0)</f>
        <v>40513</v>
      </c>
      <c r="C616">
        <v>80</v>
      </c>
      <c r="D616">
        <v>74.720787048000005</v>
      </c>
      <c r="E616">
        <v>50</v>
      </c>
      <c r="F616">
        <v>49.968841552999997</v>
      </c>
      <c r="G616">
        <v>1276.4558105000001</v>
      </c>
      <c r="H616">
        <v>1252.2685547000001</v>
      </c>
      <c r="I616">
        <v>1449.9058838000001</v>
      </c>
      <c r="J616">
        <v>1413.8767089999999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214.77981299999999</v>
      </c>
      <c r="B617" s="1">
        <f>DATE(2010,12,1) + TIME(18,42,55)</f>
        <v>40513.779803240737</v>
      </c>
      <c r="C617">
        <v>80</v>
      </c>
      <c r="D617">
        <v>74.626495360999996</v>
      </c>
      <c r="E617">
        <v>50</v>
      </c>
      <c r="F617">
        <v>49.968894958</v>
      </c>
      <c r="G617">
        <v>1276.3973389</v>
      </c>
      <c r="H617">
        <v>1252.1931152</v>
      </c>
      <c r="I617">
        <v>1449.7752685999999</v>
      </c>
      <c r="J617">
        <v>1413.7406006000001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215.57459800000001</v>
      </c>
      <c r="B618" s="1">
        <f>DATE(2010,12,2) + TIME(13,47,25)</f>
        <v>40514.574594907404</v>
      </c>
      <c r="C618">
        <v>80</v>
      </c>
      <c r="D618">
        <v>74.528038025000001</v>
      </c>
      <c r="E618">
        <v>50</v>
      </c>
      <c r="F618">
        <v>49.968944550000003</v>
      </c>
      <c r="G618">
        <v>1276.3261719</v>
      </c>
      <c r="H618">
        <v>1252.1046143000001</v>
      </c>
      <c r="I618">
        <v>1449.6239014</v>
      </c>
      <c r="J618">
        <v>1413.5830077999999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216.37411900000001</v>
      </c>
      <c r="B619" s="1">
        <f>DATE(2010,12,3) + TIME(8,58,43)</f>
        <v>40515.374108796299</v>
      </c>
      <c r="C619">
        <v>80</v>
      </c>
      <c r="D619">
        <v>74.428039550999998</v>
      </c>
      <c r="E619">
        <v>50</v>
      </c>
      <c r="F619">
        <v>49.968997954999999</v>
      </c>
      <c r="G619">
        <v>1276.2528076000001</v>
      </c>
      <c r="H619">
        <v>1252.0126952999999</v>
      </c>
      <c r="I619">
        <v>1449.4742432</v>
      </c>
      <c r="J619">
        <v>1413.4273682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217.182658</v>
      </c>
      <c r="B620" s="1">
        <f>DATE(2010,12,4) + TIME(4,23,1)</f>
        <v>40516.182650462964</v>
      </c>
      <c r="C620">
        <v>80</v>
      </c>
      <c r="D620">
        <v>74.327667235999996</v>
      </c>
      <c r="E620">
        <v>50</v>
      </c>
      <c r="F620">
        <v>49.969051360999998</v>
      </c>
      <c r="G620">
        <v>1276.1779785000001</v>
      </c>
      <c r="H620">
        <v>1251.9185791</v>
      </c>
      <c r="I620">
        <v>1449.328125</v>
      </c>
      <c r="J620">
        <v>1413.2755127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218.00440900000001</v>
      </c>
      <c r="B621" s="1">
        <f>DATE(2010,12,5) + TIME(0,6,20)</f>
        <v>40517.00439814815</v>
      </c>
      <c r="C621">
        <v>80</v>
      </c>
      <c r="D621">
        <v>74.226997374999996</v>
      </c>
      <c r="E621">
        <v>50</v>
      </c>
      <c r="F621">
        <v>49.969104766999997</v>
      </c>
      <c r="G621">
        <v>1276.1011963000001</v>
      </c>
      <c r="H621">
        <v>1251.8220214999999</v>
      </c>
      <c r="I621">
        <v>1449.1849365</v>
      </c>
      <c r="J621">
        <v>1413.1267089999999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218.843727</v>
      </c>
      <c r="B622" s="1">
        <f>DATE(2010,12,5) + TIME(20,14,58)</f>
        <v>40517.843726851854</v>
      </c>
      <c r="C622">
        <v>80</v>
      </c>
      <c r="D622">
        <v>74.125755310000002</v>
      </c>
      <c r="E622">
        <v>50</v>
      </c>
      <c r="F622">
        <v>49.969158172999997</v>
      </c>
      <c r="G622">
        <v>1276.0222168</v>
      </c>
      <c r="H622">
        <v>1251.7222899999999</v>
      </c>
      <c r="I622">
        <v>1449.0435791</v>
      </c>
      <c r="J622">
        <v>1412.9801024999999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219.705288</v>
      </c>
      <c r="B623" s="1">
        <f>DATE(2010,12,6) + TIME(16,55,36)</f>
        <v>40518.705277777779</v>
      </c>
      <c r="C623">
        <v>80</v>
      </c>
      <c r="D623">
        <v>74.023521423000005</v>
      </c>
      <c r="E623">
        <v>50</v>
      </c>
      <c r="F623">
        <v>49.969211577999999</v>
      </c>
      <c r="G623">
        <v>1275.9404297000001</v>
      </c>
      <c r="H623">
        <v>1251.6188964999999</v>
      </c>
      <c r="I623">
        <v>1448.9035644999999</v>
      </c>
      <c r="J623">
        <v>1412.8347168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220.592816</v>
      </c>
      <c r="B624" s="1">
        <f>DATE(2010,12,7) + TIME(14,13,39)</f>
        <v>40519.592812499999</v>
      </c>
      <c r="C624">
        <v>80</v>
      </c>
      <c r="D624">
        <v>73.919860839999998</v>
      </c>
      <c r="E624">
        <v>50</v>
      </c>
      <c r="F624">
        <v>49.969264983999999</v>
      </c>
      <c r="G624">
        <v>1275.8552245999999</v>
      </c>
      <c r="H624">
        <v>1251.5109863</v>
      </c>
      <c r="I624">
        <v>1448.7640381000001</v>
      </c>
      <c r="J624">
        <v>1412.6900635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221.50685300000001</v>
      </c>
      <c r="B625" s="1">
        <f>DATE(2010,12,8) + TIME(12,9,52)</f>
        <v>40520.506851851853</v>
      </c>
      <c r="C625">
        <v>80</v>
      </c>
      <c r="D625">
        <v>73.814506531000006</v>
      </c>
      <c r="E625">
        <v>50</v>
      </c>
      <c r="F625">
        <v>49.969322204999997</v>
      </c>
      <c r="G625">
        <v>1275.7662353999999</v>
      </c>
      <c r="H625">
        <v>1251.3980713000001</v>
      </c>
      <c r="I625">
        <v>1448.6245117000001</v>
      </c>
      <c r="J625">
        <v>1412.5454102000001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222.43976799999999</v>
      </c>
      <c r="B626" s="1">
        <f>DATE(2010,12,9) + TIME(10,33,15)</f>
        <v>40521.439756944441</v>
      </c>
      <c r="C626">
        <v>80</v>
      </c>
      <c r="D626">
        <v>73.707664489999999</v>
      </c>
      <c r="E626">
        <v>50</v>
      </c>
      <c r="F626">
        <v>49.969379425</v>
      </c>
      <c r="G626">
        <v>1275.6730957</v>
      </c>
      <c r="H626">
        <v>1251.2799072</v>
      </c>
      <c r="I626">
        <v>1448.4851074000001</v>
      </c>
      <c r="J626">
        <v>1412.4011230000001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223.37319500000001</v>
      </c>
      <c r="B627" s="1">
        <f>DATE(2010,12,10) + TIME(8,57,24)</f>
        <v>40522.373194444444</v>
      </c>
      <c r="C627">
        <v>80</v>
      </c>
      <c r="D627">
        <v>73.600425720000004</v>
      </c>
      <c r="E627">
        <v>50</v>
      </c>
      <c r="F627">
        <v>49.969436645999998</v>
      </c>
      <c r="G627">
        <v>1275.5765381000001</v>
      </c>
      <c r="H627">
        <v>1251.1572266000001</v>
      </c>
      <c r="I627">
        <v>1448.3470459</v>
      </c>
      <c r="J627">
        <v>1412.2581786999999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224.312106</v>
      </c>
      <c r="B628" s="1">
        <f>DATE(2010,12,11) + TIME(7,29,25)</f>
        <v>40523.312094907407</v>
      </c>
      <c r="C628">
        <v>80</v>
      </c>
      <c r="D628">
        <v>73.493690490999995</v>
      </c>
      <c r="E628">
        <v>50</v>
      </c>
      <c r="F628">
        <v>49.969493866000001</v>
      </c>
      <c r="G628">
        <v>1275.4783935999999</v>
      </c>
      <c r="H628">
        <v>1251.0321045000001</v>
      </c>
      <c r="I628">
        <v>1448.2130127</v>
      </c>
      <c r="J628">
        <v>1412.1195068</v>
      </c>
      <c r="K628">
        <v>0</v>
      </c>
      <c r="L628">
        <v>2400</v>
      </c>
      <c r="M628">
        <v>2400</v>
      </c>
      <c r="N628">
        <v>0</v>
      </c>
    </row>
    <row r="629" spans="1:14" x14ac:dyDescent="0.25">
      <c r="A629">
        <v>225.261527</v>
      </c>
      <c r="B629" s="1">
        <f>DATE(2010,12,12) + TIME(6,16,35)</f>
        <v>40524.261516203704</v>
      </c>
      <c r="C629">
        <v>80</v>
      </c>
      <c r="D629">
        <v>73.387351989999999</v>
      </c>
      <c r="E629">
        <v>50</v>
      </c>
      <c r="F629">
        <v>49.969551086000003</v>
      </c>
      <c r="G629">
        <v>1275.3780518000001</v>
      </c>
      <c r="H629">
        <v>1250.9039307</v>
      </c>
      <c r="I629">
        <v>1448.0820312000001</v>
      </c>
      <c r="J629">
        <v>1411.9840088000001</v>
      </c>
      <c r="K629">
        <v>0</v>
      </c>
      <c r="L629">
        <v>2400</v>
      </c>
      <c r="M629">
        <v>2400</v>
      </c>
      <c r="N629">
        <v>0</v>
      </c>
    </row>
    <row r="630" spans="1:14" x14ac:dyDescent="0.25">
      <c r="A630">
        <v>226.22644600000001</v>
      </c>
      <c r="B630" s="1">
        <f>DATE(2010,12,13) + TIME(5,26,4)</f>
        <v>40525.226435185185</v>
      </c>
      <c r="C630">
        <v>80</v>
      </c>
      <c r="D630">
        <v>73.280982971</v>
      </c>
      <c r="E630">
        <v>50</v>
      </c>
      <c r="F630">
        <v>49.969612122000001</v>
      </c>
      <c r="G630">
        <v>1275.2750243999999</v>
      </c>
      <c r="H630">
        <v>1250.7718506000001</v>
      </c>
      <c r="I630">
        <v>1447.9533690999999</v>
      </c>
      <c r="J630">
        <v>1411.8511963000001</v>
      </c>
      <c r="K630">
        <v>0</v>
      </c>
      <c r="L630">
        <v>2400</v>
      </c>
      <c r="M630">
        <v>2400</v>
      </c>
      <c r="N630">
        <v>0</v>
      </c>
    </row>
    <row r="631" spans="1:14" x14ac:dyDescent="0.25">
      <c r="A631">
        <v>227.21204399999999</v>
      </c>
      <c r="B631" s="1">
        <f>DATE(2010,12,14) + TIME(5,5,20)</f>
        <v>40526.212037037039</v>
      </c>
      <c r="C631">
        <v>80</v>
      </c>
      <c r="D631">
        <v>73.174087524000001</v>
      </c>
      <c r="E631">
        <v>50</v>
      </c>
      <c r="F631">
        <v>49.969669342000003</v>
      </c>
      <c r="G631">
        <v>1275.1685791</v>
      </c>
      <c r="H631">
        <v>1250.6352539</v>
      </c>
      <c r="I631">
        <v>1447.8262939000001</v>
      </c>
      <c r="J631">
        <v>1411.7199707</v>
      </c>
      <c r="K631">
        <v>0</v>
      </c>
      <c r="L631">
        <v>2400</v>
      </c>
      <c r="M631">
        <v>2400</v>
      </c>
      <c r="N631">
        <v>0</v>
      </c>
    </row>
    <row r="632" spans="1:14" x14ac:dyDescent="0.25">
      <c r="A632">
        <v>228.223893</v>
      </c>
      <c r="B632" s="1">
        <f>DATE(2010,12,15) + TIME(5,22,24)</f>
        <v>40527.22388888889</v>
      </c>
      <c r="C632">
        <v>80</v>
      </c>
      <c r="D632">
        <v>73.066108704000001</v>
      </c>
      <c r="E632">
        <v>50</v>
      </c>
      <c r="F632">
        <v>49.969730376999998</v>
      </c>
      <c r="G632">
        <v>1275.0579834</v>
      </c>
      <c r="H632">
        <v>1250.4931641000001</v>
      </c>
      <c r="I632">
        <v>1447.7001952999999</v>
      </c>
      <c r="J632">
        <v>1411.5898437999999</v>
      </c>
      <c r="K632">
        <v>0</v>
      </c>
      <c r="L632">
        <v>2400</v>
      </c>
      <c r="M632">
        <v>2400</v>
      </c>
      <c r="N632">
        <v>0</v>
      </c>
    </row>
    <row r="633" spans="1:14" x14ac:dyDescent="0.25">
      <c r="A633">
        <v>229.26203699999999</v>
      </c>
      <c r="B633" s="1">
        <f>DATE(2010,12,16) + TIME(6,17,19)</f>
        <v>40528.262025462966</v>
      </c>
      <c r="C633">
        <v>80</v>
      </c>
      <c r="D633">
        <v>72.956680297999995</v>
      </c>
      <c r="E633">
        <v>50</v>
      </c>
      <c r="F633">
        <v>49.969791411999999</v>
      </c>
      <c r="G633">
        <v>1274.9426269999999</v>
      </c>
      <c r="H633">
        <v>1250.3444824000001</v>
      </c>
      <c r="I633">
        <v>1447.5743408000001</v>
      </c>
      <c r="J633">
        <v>1411.4600829999999</v>
      </c>
      <c r="K633">
        <v>0</v>
      </c>
      <c r="L633">
        <v>2400</v>
      </c>
      <c r="M633">
        <v>2400</v>
      </c>
      <c r="N633">
        <v>0</v>
      </c>
    </row>
    <row r="634" spans="1:14" x14ac:dyDescent="0.25">
      <c r="A634">
        <v>230.33256900000001</v>
      </c>
      <c r="B634" s="1">
        <f>DATE(2010,12,17) + TIME(7,58,53)</f>
        <v>40529.332557870373</v>
      </c>
      <c r="C634">
        <v>80</v>
      </c>
      <c r="D634">
        <v>72.845489502000007</v>
      </c>
      <c r="E634">
        <v>50</v>
      </c>
      <c r="F634">
        <v>49.969852447999997</v>
      </c>
      <c r="G634">
        <v>1274.8222656</v>
      </c>
      <c r="H634">
        <v>1250.1889647999999</v>
      </c>
      <c r="I634">
        <v>1447.4488524999999</v>
      </c>
      <c r="J634">
        <v>1411.3308105000001</v>
      </c>
      <c r="K634">
        <v>0</v>
      </c>
      <c r="L634">
        <v>2400</v>
      </c>
      <c r="M634">
        <v>2400</v>
      </c>
      <c r="N634">
        <v>0</v>
      </c>
    </row>
    <row r="635" spans="1:14" x14ac:dyDescent="0.25">
      <c r="A635">
        <v>231.42376300000001</v>
      </c>
      <c r="B635" s="1">
        <f>DATE(2010,12,18) + TIME(10,10,13)</f>
        <v>40530.423761574071</v>
      </c>
      <c r="C635">
        <v>80</v>
      </c>
      <c r="D635">
        <v>72.732566833000007</v>
      </c>
      <c r="E635">
        <v>50</v>
      </c>
      <c r="F635">
        <v>49.969917297000002</v>
      </c>
      <c r="G635">
        <v>1274.6958007999999</v>
      </c>
      <c r="H635">
        <v>1250.0255127</v>
      </c>
      <c r="I635">
        <v>1447.3232422000001</v>
      </c>
      <c r="J635">
        <v>1411.2012939000001</v>
      </c>
      <c r="K635">
        <v>0</v>
      </c>
      <c r="L635">
        <v>2400</v>
      </c>
      <c r="M635">
        <v>2400</v>
      </c>
      <c r="N635">
        <v>0</v>
      </c>
    </row>
    <row r="636" spans="1:14" x14ac:dyDescent="0.25">
      <c r="A636">
        <v>232.51619299999999</v>
      </c>
      <c r="B636" s="1">
        <f>DATE(2010,12,19) + TIME(12,23,19)</f>
        <v>40531.516192129631</v>
      </c>
      <c r="C636">
        <v>80</v>
      </c>
      <c r="D636">
        <v>72.619026184000006</v>
      </c>
      <c r="E636">
        <v>50</v>
      </c>
      <c r="F636">
        <v>49.969978333</v>
      </c>
      <c r="G636">
        <v>1274.5645752</v>
      </c>
      <c r="H636">
        <v>1249.8555908000001</v>
      </c>
      <c r="I636">
        <v>1447.1987305</v>
      </c>
      <c r="J636">
        <v>1411.0732422000001</v>
      </c>
      <c r="K636">
        <v>0</v>
      </c>
      <c r="L636">
        <v>2400</v>
      </c>
      <c r="M636">
        <v>2400</v>
      </c>
      <c r="N636">
        <v>0</v>
      </c>
    </row>
    <row r="637" spans="1:14" x14ac:dyDescent="0.25">
      <c r="A637">
        <v>233.615803</v>
      </c>
      <c r="B637" s="1">
        <f>DATE(2010,12,20) + TIME(14,46,45)</f>
        <v>40532.615798611114</v>
      </c>
      <c r="C637">
        <v>80</v>
      </c>
      <c r="D637">
        <v>72.505790709999999</v>
      </c>
      <c r="E637">
        <v>50</v>
      </c>
      <c r="F637">
        <v>49.970043181999998</v>
      </c>
      <c r="G637">
        <v>1274.4307861</v>
      </c>
      <c r="H637">
        <v>1249.6815185999999</v>
      </c>
      <c r="I637">
        <v>1447.0776367000001</v>
      </c>
      <c r="J637">
        <v>1410.9486084</v>
      </c>
      <c r="K637">
        <v>0</v>
      </c>
      <c r="L637">
        <v>2400</v>
      </c>
      <c r="M637">
        <v>2400</v>
      </c>
      <c r="N637">
        <v>0</v>
      </c>
    </row>
    <row r="638" spans="1:14" x14ac:dyDescent="0.25">
      <c r="A638">
        <v>234.72849199999999</v>
      </c>
      <c r="B638" s="1">
        <f>DATE(2010,12,21) + TIME(17,29,1)</f>
        <v>40533.728483796294</v>
      </c>
      <c r="C638">
        <v>80</v>
      </c>
      <c r="D638">
        <v>72.392669678000004</v>
      </c>
      <c r="E638">
        <v>50</v>
      </c>
      <c r="F638">
        <v>49.970104218000003</v>
      </c>
      <c r="G638">
        <v>1274.2935791</v>
      </c>
      <c r="H638">
        <v>1249.5025635</v>
      </c>
      <c r="I638">
        <v>1446.9591064000001</v>
      </c>
      <c r="J638">
        <v>1410.8267822</v>
      </c>
      <c r="K638">
        <v>0</v>
      </c>
      <c r="L638">
        <v>2400</v>
      </c>
      <c r="M638">
        <v>2400</v>
      </c>
      <c r="N638">
        <v>0</v>
      </c>
    </row>
    <row r="639" spans="1:14" x14ac:dyDescent="0.25">
      <c r="A639">
        <v>235.860176</v>
      </c>
      <c r="B639" s="1">
        <f>DATE(2010,12,22) + TIME(20,38,39)</f>
        <v>40534.860173611109</v>
      </c>
      <c r="C639">
        <v>80</v>
      </c>
      <c r="D639">
        <v>72.279136657999999</v>
      </c>
      <c r="E639">
        <v>50</v>
      </c>
      <c r="F639">
        <v>49.970169067</v>
      </c>
      <c r="G639">
        <v>1274.1520995999999</v>
      </c>
      <c r="H639">
        <v>1249.317749</v>
      </c>
      <c r="I639">
        <v>1446.8424072</v>
      </c>
      <c r="J639">
        <v>1410.7070312000001</v>
      </c>
      <c r="K639">
        <v>0</v>
      </c>
      <c r="L639">
        <v>2400</v>
      </c>
      <c r="M639">
        <v>2400</v>
      </c>
      <c r="N639">
        <v>0</v>
      </c>
    </row>
    <row r="640" spans="1:14" x14ac:dyDescent="0.25">
      <c r="A640">
        <v>237.01704899999999</v>
      </c>
      <c r="B640" s="1">
        <f>DATE(2010,12,24) + TIME(0,24,33)</f>
        <v>40536.017048611109</v>
      </c>
      <c r="C640">
        <v>80</v>
      </c>
      <c r="D640">
        <v>72.164581299000005</v>
      </c>
      <c r="E640">
        <v>50</v>
      </c>
      <c r="F640">
        <v>49.970233917000002</v>
      </c>
      <c r="G640">
        <v>1274.0056152</v>
      </c>
      <c r="H640">
        <v>1249.1257324000001</v>
      </c>
      <c r="I640">
        <v>1446.7270507999999</v>
      </c>
      <c r="J640">
        <v>1410.5886230000001</v>
      </c>
      <c r="K640">
        <v>0</v>
      </c>
      <c r="L640">
        <v>2400</v>
      </c>
      <c r="M640">
        <v>2400</v>
      </c>
      <c r="N640">
        <v>0</v>
      </c>
    </row>
    <row r="641" spans="1:14" x14ac:dyDescent="0.25">
      <c r="A641">
        <v>238.20082400000001</v>
      </c>
      <c r="B641" s="1">
        <f>DATE(2010,12,25) + TIME(4,49,11)</f>
        <v>40537.200821759259</v>
      </c>
      <c r="C641">
        <v>80</v>
      </c>
      <c r="D641">
        <v>72.048469542999996</v>
      </c>
      <c r="E641">
        <v>50</v>
      </c>
      <c r="F641">
        <v>49.970298767000003</v>
      </c>
      <c r="G641">
        <v>1273.8530272999999</v>
      </c>
      <c r="H641">
        <v>1248.9254149999999</v>
      </c>
      <c r="I641">
        <v>1446.6123047000001</v>
      </c>
      <c r="J641">
        <v>1410.4709473</v>
      </c>
      <c r="K641">
        <v>0</v>
      </c>
      <c r="L641">
        <v>2400</v>
      </c>
      <c r="M641">
        <v>2400</v>
      </c>
      <c r="N641">
        <v>0</v>
      </c>
    </row>
    <row r="642" spans="1:14" x14ac:dyDescent="0.25">
      <c r="A642">
        <v>239.414603</v>
      </c>
      <c r="B642" s="1">
        <f>DATE(2010,12,26) + TIME(9,57,1)</f>
        <v>40538.414594907408</v>
      </c>
      <c r="C642">
        <v>80</v>
      </c>
      <c r="D642">
        <v>71.930458068999997</v>
      </c>
      <c r="E642">
        <v>50</v>
      </c>
      <c r="F642">
        <v>49.970367432000003</v>
      </c>
      <c r="G642">
        <v>1273.6938477000001</v>
      </c>
      <c r="H642">
        <v>1248.7159423999999</v>
      </c>
      <c r="I642">
        <v>1446.4981689000001</v>
      </c>
      <c r="J642">
        <v>1410.3538818</v>
      </c>
      <c r="K642">
        <v>0</v>
      </c>
      <c r="L642">
        <v>2400</v>
      </c>
      <c r="M642">
        <v>2400</v>
      </c>
      <c r="N642">
        <v>0</v>
      </c>
    </row>
    <row r="643" spans="1:14" x14ac:dyDescent="0.25">
      <c r="A643">
        <v>240.04015000000001</v>
      </c>
      <c r="B643" s="1">
        <f>DATE(2010,12,27) + TIME(0,57,48)</f>
        <v>40539.040138888886</v>
      </c>
      <c r="C643">
        <v>80</v>
      </c>
      <c r="D643">
        <v>71.835540770999998</v>
      </c>
      <c r="E643">
        <v>50</v>
      </c>
      <c r="F643">
        <v>49.970397949000002</v>
      </c>
      <c r="G643">
        <v>1273.5290527</v>
      </c>
      <c r="H643">
        <v>1248.5070800999999</v>
      </c>
      <c r="I643">
        <v>1446.3837891000001</v>
      </c>
      <c r="J643">
        <v>1410.2366943</v>
      </c>
      <c r="K643">
        <v>0</v>
      </c>
      <c r="L643">
        <v>2400</v>
      </c>
      <c r="M643">
        <v>2400</v>
      </c>
      <c r="N643">
        <v>0</v>
      </c>
    </row>
    <row r="644" spans="1:14" x14ac:dyDescent="0.25">
      <c r="A644">
        <v>240.66569799999999</v>
      </c>
      <c r="B644" s="1">
        <f>DATE(2010,12,27) + TIME(15,58,36)</f>
        <v>40539.665694444448</v>
      </c>
      <c r="C644">
        <v>80</v>
      </c>
      <c r="D644">
        <v>71.759811400999993</v>
      </c>
      <c r="E644">
        <v>50</v>
      </c>
      <c r="F644">
        <v>49.970436096</v>
      </c>
      <c r="G644">
        <v>1273.4389647999999</v>
      </c>
      <c r="H644">
        <v>1248.3825684000001</v>
      </c>
      <c r="I644">
        <v>1446.3259277</v>
      </c>
      <c r="J644">
        <v>1410.1774902</v>
      </c>
      <c r="K644">
        <v>0</v>
      </c>
      <c r="L644">
        <v>2400</v>
      </c>
      <c r="M644">
        <v>2400</v>
      </c>
      <c r="N644">
        <v>0</v>
      </c>
    </row>
    <row r="645" spans="1:14" x14ac:dyDescent="0.25">
      <c r="A645">
        <v>241.291245</v>
      </c>
      <c r="B645" s="1">
        <f>DATE(2010,12,28) + TIME(6,59,23)</f>
        <v>40540.291238425925</v>
      </c>
      <c r="C645">
        <v>80</v>
      </c>
      <c r="D645">
        <v>71.692253113000007</v>
      </c>
      <c r="E645">
        <v>50</v>
      </c>
      <c r="F645">
        <v>49.970470427999999</v>
      </c>
      <c r="G645">
        <v>1273.3498535000001</v>
      </c>
      <c r="H645">
        <v>1248.262207</v>
      </c>
      <c r="I645">
        <v>1446.2694091999999</v>
      </c>
      <c r="J645">
        <v>1410.1195068</v>
      </c>
      <c r="K645">
        <v>0</v>
      </c>
      <c r="L645">
        <v>2400</v>
      </c>
      <c r="M645">
        <v>2400</v>
      </c>
      <c r="N645">
        <v>0</v>
      </c>
    </row>
    <row r="646" spans="1:14" x14ac:dyDescent="0.25">
      <c r="A646">
        <v>242.542339</v>
      </c>
      <c r="B646" s="1">
        <f>DATE(2010,12,29) + TIME(13,0,58)</f>
        <v>40541.542337962965</v>
      </c>
      <c r="C646">
        <v>80</v>
      </c>
      <c r="D646">
        <v>71.611000060999999</v>
      </c>
      <c r="E646">
        <v>50</v>
      </c>
      <c r="F646">
        <v>49.970539092999999</v>
      </c>
      <c r="G646">
        <v>1273.2595214999999</v>
      </c>
      <c r="H646">
        <v>1248.1352539</v>
      </c>
      <c r="I646">
        <v>1446.2142334</v>
      </c>
      <c r="J646">
        <v>1410.0631103999999</v>
      </c>
      <c r="K646">
        <v>0</v>
      </c>
      <c r="L646">
        <v>2400</v>
      </c>
      <c r="M646">
        <v>2400</v>
      </c>
      <c r="N646">
        <v>0</v>
      </c>
    </row>
    <row r="647" spans="1:14" x14ac:dyDescent="0.25">
      <c r="A647">
        <v>243.79414700000001</v>
      </c>
      <c r="B647" s="1">
        <f>DATE(2010,12,30) + TIME(19,3,34)</f>
        <v>40542.79414351852</v>
      </c>
      <c r="C647">
        <v>80</v>
      </c>
      <c r="D647">
        <v>71.499511718999997</v>
      </c>
      <c r="E647">
        <v>50</v>
      </c>
      <c r="F647">
        <v>49.970607758</v>
      </c>
      <c r="G647">
        <v>1273.0817870999999</v>
      </c>
      <c r="H647">
        <v>1247.9038086</v>
      </c>
      <c r="I647">
        <v>1446.1048584</v>
      </c>
      <c r="J647">
        <v>1409.9512939000001</v>
      </c>
      <c r="K647">
        <v>0</v>
      </c>
      <c r="L647">
        <v>2400</v>
      </c>
      <c r="M647">
        <v>2400</v>
      </c>
      <c r="N647">
        <v>0</v>
      </c>
    </row>
    <row r="648" spans="1:14" x14ac:dyDescent="0.25">
      <c r="A648">
        <v>245</v>
      </c>
      <c r="B648" s="1">
        <f>DATE(2011,1,1) + TIME(0,0,0)</f>
        <v>40544</v>
      </c>
      <c r="C648">
        <v>80</v>
      </c>
      <c r="D648">
        <v>71.381248474000003</v>
      </c>
      <c r="E648">
        <v>50</v>
      </c>
      <c r="F648">
        <v>49.970672606999997</v>
      </c>
      <c r="G648">
        <v>1272.8984375</v>
      </c>
      <c r="H648">
        <v>1247.6610106999999</v>
      </c>
      <c r="I648">
        <v>1445.9981689000001</v>
      </c>
      <c r="J648">
        <v>1409.8421631000001</v>
      </c>
      <c r="K648">
        <v>0</v>
      </c>
      <c r="L648">
        <v>2400</v>
      </c>
      <c r="M648">
        <v>2400</v>
      </c>
      <c r="N648">
        <v>0</v>
      </c>
    </row>
    <row r="649" spans="1:14" x14ac:dyDescent="0.25">
      <c r="A649">
        <v>246.26967400000001</v>
      </c>
      <c r="B649" s="1">
        <f>DATE(2011,1,2) + TIME(6,28,19)</f>
        <v>40545.26966435185</v>
      </c>
      <c r="C649">
        <v>80</v>
      </c>
      <c r="D649">
        <v>71.261604309000006</v>
      </c>
      <c r="E649">
        <v>50</v>
      </c>
      <c r="F649">
        <v>49.970741271999998</v>
      </c>
      <c r="G649">
        <v>1272.7172852000001</v>
      </c>
      <c r="H649">
        <v>1247.4183350000001</v>
      </c>
      <c r="I649">
        <v>1445.8980713000001</v>
      </c>
      <c r="J649">
        <v>1409.7398682</v>
      </c>
      <c r="K649">
        <v>0</v>
      </c>
      <c r="L649">
        <v>2400</v>
      </c>
      <c r="M649">
        <v>2400</v>
      </c>
      <c r="N649">
        <v>0</v>
      </c>
    </row>
    <row r="650" spans="1:14" x14ac:dyDescent="0.25">
      <c r="A650">
        <v>247.59335200000001</v>
      </c>
      <c r="B650" s="1">
        <f>DATE(2011,1,3) + TIME(14,14,25)</f>
        <v>40546.593344907407</v>
      </c>
      <c r="C650">
        <v>80</v>
      </c>
      <c r="D650">
        <v>71.137275696000003</v>
      </c>
      <c r="E650">
        <v>50</v>
      </c>
      <c r="F650">
        <v>49.970809936999999</v>
      </c>
      <c r="G650">
        <v>1272.5234375</v>
      </c>
      <c r="H650">
        <v>1247.1586914</v>
      </c>
      <c r="I650">
        <v>1445.7952881000001</v>
      </c>
      <c r="J650">
        <v>1409.6350098</v>
      </c>
      <c r="K650">
        <v>0</v>
      </c>
      <c r="L650">
        <v>2400</v>
      </c>
      <c r="M650">
        <v>2400</v>
      </c>
      <c r="N650">
        <v>0</v>
      </c>
    </row>
    <row r="651" spans="1:14" x14ac:dyDescent="0.25">
      <c r="A651">
        <v>248.95190500000001</v>
      </c>
      <c r="B651" s="1">
        <f>DATE(2011,1,4) + TIME(22,50,44)</f>
        <v>40547.951898148145</v>
      </c>
      <c r="C651">
        <v>80</v>
      </c>
      <c r="D651">
        <v>71.008079529</v>
      </c>
      <c r="E651">
        <v>50</v>
      </c>
      <c r="F651">
        <v>49.970882416000002</v>
      </c>
      <c r="G651">
        <v>1272.3173827999999</v>
      </c>
      <c r="H651">
        <v>1246.8822021000001</v>
      </c>
      <c r="I651">
        <v>1445.6910399999999</v>
      </c>
      <c r="J651">
        <v>1409.5285644999999</v>
      </c>
      <c r="K651">
        <v>0</v>
      </c>
      <c r="L651">
        <v>2400</v>
      </c>
      <c r="M651">
        <v>2400</v>
      </c>
      <c r="N651">
        <v>0</v>
      </c>
    </row>
    <row r="652" spans="1:14" x14ac:dyDescent="0.25">
      <c r="A652">
        <v>250.34384</v>
      </c>
      <c r="B652" s="1">
        <f>DATE(2011,1,6) + TIME(8,15,7)</f>
        <v>40549.343831018516</v>
      </c>
      <c r="C652">
        <v>80</v>
      </c>
      <c r="D652">
        <v>70.874771117999998</v>
      </c>
      <c r="E652">
        <v>50</v>
      </c>
      <c r="F652">
        <v>49.970954894999998</v>
      </c>
      <c r="G652">
        <v>1272.1014404</v>
      </c>
      <c r="H652">
        <v>1246.5914307</v>
      </c>
      <c r="I652">
        <v>1445.5867920000001</v>
      </c>
      <c r="J652">
        <v>1409.4222411999999</v>
      </c>
      <c r="K652">
        <v>0</v>
      </c>
      <c r="L652">
        <v>2400</v>
      </c>
      <c r="M652">
        <v>2400</v>
      </c>
      <c r="N652">
        <v>0</v>
      </c>
    </row>
    <row r="653" spans="1:14" x14ac:dyDescent="0.25">
      <c r="A653">
        <v>251.77573599999999</v>
      </c>
      <c r="B653" s="1">
        <f>DATE(2011,1,7) + TIME(18,37,3)</f>
        <v>40550.775729166664</v>
      </c>
      <c r="C653">
        <v>80</v>
      </c>
      <c r="D653">
        <v>70.737297057999996</v>
      </c>
      <c r="E653">
        <v>50</v>
      </c>
      <c r="F653">
        <v>49.971027374000002</v>
      </c>
      <c r="G653">
        <v>1271.8756103999999</v>
      </c>
      <c r="H653">
        <v>1246.2862548999999</v>
      </c>
      <c r="I653">
        <v>1445.4827881000001</v>
      </c>
      <c r="J653">
        <v>1409.3162841999999</v>
      </c>
      <c r="K653">
        <v>0</v>
      </c>
      <c r="L653">
        <v>2400</v>
      </c>
      <c r="M653">
        <v>2400</v>
      </c>
      <c r="N653">
        <v>0</v>
      </c>
    </row>
    <row r="654" spans="1:14" x14ac:dyDescent="0.25">
      <c r="A654">
        <v>253.20818499999999</v>
      </c>
      <c r="B654" s="1">
        <f>DATE(2011,1,9) + TIME(4,59,47)</f>
        <v>40552.208182870374</v>
      </c>
      <c r="C654">
        <v>80</v>
      </c>
      <c r="D654">
        <v>70.596008300999998</v>
      </c>
      <c r="E654">
        <v>50</v>
      </c>
      <c r="F654">
        <v>49.971103667999998</v>
      </c>
      <c r="G654">
        <v>1271.6384277</v>
      </c>
      <c r="H654">
        <v>1245.9654541</v>
      </c>
      <c r="I654">
        <v>1445.3785399999999</v>
      </c>
      <c r="J654">
        <v>1409.2102050999999</v>
      </c>
      <c r="K654">
        <v>0</v>
      </c>
      <c r="L654">
        <v>2400</v>
      </c>
      <c r="M654">
        <v>2400</v>
      </c>
      <c r="N654">
        <v>0</v>
      </c>
    </row>
    <row r="655" spans="1:14" x14ac:dyDescent="0.25">
      <c r="A655">
        <v>254.64941300000001</v>
      </c>
      <c r="B655" s="1">
        <f>DATE(2011,1,10) + TIME(15,35,9)</f>
        <v>40553.649409722224</v>
      </c>
      <c r="C655">
        <v>80</v>
      </c>
      <c r="D655">
        <v>70.452629088999998</v>
      </c>
      <c r="E655">
        <v>50</v>
      </c>
      <c r="F655">
        <v>49.971176147000001</v>
      </c>
      <c r="G655">
        <v>1271.395874</v>
      </c>
      <c r="H655">
        <v>1245.6358643000001</v>
      </c>
      <c r="I655">
        <v>1445.2770995999999</v>
      </c>
      <c r="J655">
        <v>1409.1069336</v>
      </c>
      <c r="K655">
        <v>0</v>
      </c>
      <c r="L655">
        <v>2400</v>
      </c>
      <c r="M655">
        <v>2400</v>
      </c>
      <c r="N655">
        <v>0</v>
      </c>
    </row>
    <row r="656" spans="1:14" x14ac:dyDescent="0.25">
      <c r="A656">
        <v>256.107484</v>
      </c>
      <c r="B656" s="1">
        <f>DATE(2011,1,12) + TIME(2,34,46)</f>
        <v>40555.107476851852</v>
      </c>
      <c r="C656">
        <v>80</v>
      </c>
      <c r="D656">
        <v>70.306770325000002</v>
      </c>
      <c r="E656">
        <v>50</v>
      </c>
      <c r="F656">
        <v>49.971252440999997</v>
      </c>
      <c r="G656">
        <v>1271.1467285000001</v>
      </c>
      <c r="H656">
        <v>1245.2963867000001</v>
      </c>
      <c r="I656">
        <v>1445.1777344</v>
      </c>
      <c r="J656">
        <v>1409.0058594</v>
      </c>
      <c r="K656">
        <v>0</v>
      </c>
      <c r="L656">
        <v>2400</v>
      </c>
      <c r="M656">
        <v>2400</v>
      </c>
      <c r="N656">
        <v>0</v>
      </c>
    </row>
    <row r="657" spans="1:14" x14ac:dyDescent="0.25">
      <c r="A657">
        <v>257.59049399999998</v>
      </c>
      <c r="B657" s="1">
        <f>DATE(2011,1,13) + TIME(14,10,18)</f>
        <v>40556.590486111112</v>
      </c>
      <c r="C657">
        <v>80</v>
      </c>
      <c r="D657">
        <v>70.157524108999993</v>
      </c>
      <c r="E657">
        <v>50</v>
      </c>
      <c r="F657">
        <v>49.971328735</v>
      </c>
      <c r="G657">
        <v>1270.8895264</v>
      </c>
      <c r="H657">
        <v>1244.9447021000001</v>
      </c>
      <c r="I657">
        <v>1445.0798339999999</v>
      </c>
      <c r="J657">
        <v>1408.90625</v>
      </c>
      <c r="K657">
        <v>0</v>
      </c>
      <c r="L657">
        <v>2400</v>
      </c>
      <c r="M657">
        <v>2400</v>
      </c>
      <c r="N657">
        <v>0</v>
      </c>
    </row>
    <row r="658" spans="1:14" x14ac:dyDescent="0.25">
      <c r="A658">
        <v>259.10091799999998</v>
      </c>
      <c r="B658" s="1">
        <f>DATE(2011,1,15) + TIME(2,25,19)</f>
        <v>40558.100914351853</v>
      </c>
      <c r="C658">
        <v>80</v>
      </c>
      <c r="D658">
        <v>70.003974915000001</v>
      </c>
      <c r="E658">
        <v>50</v>
      </c>
      <c r="F658">
        <v>49.971405029000003</v>
      </c>
      <c r="G658">
        <v>1270.6225586</v>
      </c>
      <c r="H658">
        <v>1244.5787353999999</v>
      </c>
      <c r="I658">
        <v>1444.9826660000001</v>
      </c>
      <c r="J658">
        <v>1408.8076172000001</v>
      </c>
      <c r="K658">
        <v>0</v>
      </c>
      <c r="L658">
        <v>2400</v>
      </c>
      <c r="M658">
        <v>2400</v>
      </c>
      <c r="N658">
        <v>0</v>
      </c>
    </row>
    <row r="659" spans="1:14" x14ac:dyDescent="0.25">
      <c r="A659">
        <v>260.63899099999998</v>
      </c>
      <c r="B659" s="1">
        <f>DATE(2011,1,16) + TIME(15,20,8)</f>
        <v>40559.638981481483</v>
      </c>
      <c r="C659">
        <v>80</v>
      </c>
      <c r="D659">
        <v>69.845306395999998</v>
      </c>
      <c r="E659">
        <v>50</v>
      </c>
      <c r="F659">
        <v>49.971481322999999</v>
      </c>
      <c r="G659">
        <v>1270.3449707</v>
      </c>
      <c r="H659">
        <v>1244.1972656</v>
      </c>
      <c r="I659">
        <v>1444.8863524999999</v>
      </c>
      <c r="J659">
        <v>1408.7098389</v>
      </c>
      <c r="K659">
        <v>0</v>
      </c>
      <c r="L659">
        <v>2400</v>
      </c>
      <c r="M659">
        <v>2400</v>
      </c>
      <c r="N659">
        <v>0</v>
      </c>
    </row>
    <row r="660" spans="1:14" x14ac:dyDescent="0.25">
      <c r="A660">
        <v>262.21332200000001</v>
      </c>
      <c r="B660" s="1">
        <f>DATE(2011,1,18) + TIME(5,7,11)</f>
        <v>40561.213321759256</v>
      </c>
      <c r="C660">
        <v>80</v>
      </c>
      <c r="D660">
        <v>69.680801392000006</v>
      </c>
      <c r="E660">
        <v>50</v>
      </c>
      <c r="F660">
        <v>49.971557617000002</v>
      </c>
      <c r="G660">
        <v>1270.0565185999999</v>
      </c>
      <c r="H660">
        <v>1243.7994385</v>
      </c>
      <c r="I660">
        <v>1444.7907714999999</v>
      </c>
      <c r="J660">
        <v>1408.612793</v>
      </c>
      <c r="K660">
        <v>0</v>
      </c>
      <c r="L660">
        <v>2400</v>
      </c>
      <c r="M660">
        <v>2400</v>
      </c>
      <c r="N660">
        <v>0</v>
      </c>
    </row>
    <row r="661" spans="1:14" x14ac:dyDescent="0.25">
      <c r="A661">
        <v>263.831862</v>
      </c>
      <c r="B661" s="1">
        <f>DATE(2011,1,19) + TIME(19,57,52)</f>
        <v>40562.83185185185</v>
      </c>
      <c r="C661">
        <v>80</v>
      </c>
      <c r="D661">
        <v>69.509239196999999</v>
      </c>
      <c r="E661">
        <v>50</v>
      </c>
      <c r="F661">
        <v>49.971637725999997</v>
      </c>
      <c r="G661">
        <v>1269.7551269999999</v>
      </c>
      <c r="H661">
        <v>1243.3826904</v>
      </c>
      <c r="I661">
        <v>1444.6954346</v>
      </c>
      <c r="J661">
        <v>1408.5161132999999</v>
      </c>
      <c r="K661">
        <v>0</v>
      </c>
      <c r="L661">
        <v>2400</v>
      </c>
      <c r="M661">
        <v>2400</v>
      </c>
      <c r="N661">
        <v>0</v>
      </c>
    </row>
    <row r="662" spans="1:14" x14ac:dyDescent="0.25">
      <c r="A662">
        <v>265.45329900000002</v>
      </c>
      <c r="B662" s="1">
        <f>DATE(2011,1,21) + TIME(10,52,45)</f>
        <v>40564.453298611108</v>
      </c>
      <c r="C662">
        <v>80</v>
      </c>
      <c r="D662">
        <v>69.330398560000006</v>
      </c>
      <c r="E662">
        <v>50</v>
      </c>
      <c r="F662">
        <v>49.971717834000003</v>
      </c>
      <c r="G662">
        <v>1269.4390868999999</v>
      </c>
      <c r="H662">
        <v>1242.9448242000001</v>
      </c>
      <c r="I662">
        <v>1444.5998535000001</v>
      </c>
      <c r="J662">
        <v>1408.4193115</v>
      </c>
      <c r="K662">
        <v>0</v>
      </c>
      <c r="L662">
        <v>2400</v>
      </c>
      <c r="M662">
        <v>2400</v>
      </c>
      <c r="N662">
        <v>0</v>
      </c>
    </row>
    <row r="663" spans="1:14" x14ac:dyDescent="0.25">
      <c r="A663">
        <v>267.08678500000002</v>
      </c>
      <c r="B663" s="1">
        <f>DATE(2011,1,23) + TIME(2,4,58)</f>
        <v>40566.086782407408</v>
      </c>
      <c r="C663">
        <v>80</v>
      </c>
      <c r="D663">
        <v>69.146240234000004</v>
      </c>
      <c r="E663">
        <v>50</v>
      </c>
      <c r="F663">
        <v>49.971797942999999</v>
      </c>
      <c r="G663">
        <v>1269.1154785000001</v>
      </c>
      <c r="H663">
        <v>1242.4946289</v>
      </c>
      <c r="I663">
        <v>1444.5065918</v>
      </c>
      <c r="J663">
        <v>1408.3248291</v>
      </c>
      <c r="K663">
        <v>0</v>
      </c>
      <c r="L663">
        <v>2400</v>
      </c>
      <c r="M663">
        <v>2400</v>
      </c>
      <c r="N663">
        <v>0</v>
      </c>
    </row>
    <row r="664" spans="1:14" x14ac:dyDescent="0.25">
      <c r="A664">
        <v>268.74125700000002</v>
      </c>
      <c r="B664" s="1">
        <f>DATE(2011,1,24) + TIME(17,47,24)</f>
        <v>40567.741249999999</v>
      </c>
      <c r="C664">
        <v>80</v>
      </c>
      <c r="D664">
        <v>68.956092834000003</v>
      </c>
      <c r="E664">
        <v>50</v>
      </c>
      <c r="F664">
        <v>49.971878052000001</v>
      </c>
      <c r="G664">
        <v>1268.7827147999999</v>
      </c>
      <c r="H664">
        <v>1242.0302733999999</v>
      </c>
      <c r="I664">
        <v>1444.4149170000001</v>
      </c>
      <c r="J664">
        <v>1408.2320557</v>
      </c>
      <c r="K664">
        <v>0</v>
      </c>
      <c r="L664">
        <v>2400</v>
      </c>
      <c r="M664">
        <v>2400</v>
      </c>
      <c r="N664">
        <v>0</v>
      </c>
    </row>
    <row r="665" spans="1:14" x14ac:dyDescent="0.25">
      <c r="A665">
        <v>270.42574300000001</v>
      </c>
      <c r="B665" s="1">
        <f>DATE(2011,1,26) + TIME(10,13,4)</f>
        <v>40569.425740740742</v>
      </c>
      <c r="C665">
        <v>80</v>
      </c>
      <c r="D665">
        <v>68.758621215999995</v>
      </c>
      <c r="E665">
        <v>50</v>
      </c>
      <c r="F665">
        <v>49.97195816</v>
      </c>
      <c r="G665">
        <v>1268.4388428</v>
      </c>
      <c r="H665">
        <v>1241.5489502</v>
      </c>
      <c r="I665">
        <v>1444.3244629000001</v>
      </c>
      <c r="J665">
        <v>1408.1405029</v>
      </c>
      <c r="K665">
        <v>0</v>
      </c>
      <c r="L665">
        <v>2400</v>
      </c>
      <c r="M665">
        <v>2400</v>
      </c>
      <c r="N665">
        <v>0</v>
      </c>
    </row>
    <row r="666" spans="1:14" x14ac:dyDescent="0.25">
      <c r="A666">
        <v>272.134838</v>
      </c>
      <c r="B666" s="1">
        <f>DATE(2011,1,28) + TIME(3,14,10)</f>
        <v>40571.134837962964</v>
      </c>
      <c r="C666">
        <v>80</v>
      </c>
      <c r="D666">
        <v>68.552597046000002</v>
      </c>
      <c r="E666">
        <v>50</v>
      </c>
      <c r="F666">
        <v>49.972042084000002</v>
      </c>
      <c r="G666">
        <v>1268.0819091999999</v>
      </c>
      <c r="H666">
        <v>1241.0479736</v>
      </c>
      <c r="I666">
        <v>1444.2346190999999</v>
      </c>
      <c r="J666">
        <v>1408.0496826000001</v>
      </c>
      <c r="K666">
        <v>0</v>
      </c>
      <c r="L666">
        <v>2400</v>
      </c>
      <c r="M666">
        <v>2400</v>
      </c>
      <c r="N666">
        <v>0</v>
      </c>
    </row>
    <row r="667" spans="1:14" x14ac:dyDescent="0.25">
      <c r="A667">
        <v>273.87456500000002</v>
      </c>
      <c r="B667" s="1">
        <f>DATE(2011,1,29) + TIME(20,59,22)</f>
        <v>40572.874560185184</v>
      </c>
      <c r="C667">
        <v>80</v>
      </c>
      <c r="D667">
        <v>68.337532042999996</v>
      </c>
      <c r="E667">
        <v>50</v>
      </c>
      <c r="F667">
        <v>49.972122192</v>
      </c>
      <c r="G667">
        <v>1267.7124022999999</v>
      </c>
      <c r="H667">
        <v>1240.527832</v>
      </c>
      <c r="I667">
        <v>1444.1456298999999</v>
      </c>
      <c r="J667">
        <v>1407.9597168</v>
      </c>
      <c r="K667">
        <v>0</v>
      </c>
      <c r="L667">
        <v>2400</v>
      </c>
      <c r="M667">
        <v>2400</v>
      </c>
      <c r="N667">
        <v>0</v>
      </c>
    </row>
    <row r="668" spans="1:14" x14ac:dyDescent="0.25">
      <c r="A668">
        <v>275.654605</v>
      </c>
      <c r="B668" s="1">
        <f>DATE(2011,1,31) + TIME(15,42,37)</f>
        <v>40574.654594907406</v>
      </c>
      <c r="C668">
        <v>80</v>
      </c>
      <c r="D668">
        <v>68.112121582</v>
      </c>
      <c r="E668">
        <v>50</v>
      </c>
      <c r="F668">
        <v>49.972206116000002</v>
      </c>
      <c r="G668">
        <v>1267.3289795000001</v>
      </c>
      <c r="H668">
        <v>1239.9862060999999</v>
      </c>
      <c r="I668">
        <v>1444.0573730000001</v>
      </c>
      <c r="J668">
        <v>1407.8706055</v>
      </c>
      <c r="K668">
        <v>0</v>
      </c>
      <c r="L668">
        <v>2400</v>
      </c>
      <c r="M668">
        <v>2400</v>
      </c>
      <c r="N668">
        <v>0</v>
      </c>
    </row>
    <row r="669" spans="1:14" x14ac:dyDescent="0.25">
      <c r="A669">
        <v>276</v>
      </c>
      <c r="B669" s="1">
        <f>DATE(2011,2,1) + TIME(0,0,0)</f>
        <v>40575</v>
      </c>
      <c r="C669">
        <v>80</v>
      </c>
      <c r="D669">
        <v>67.982566833000007</v>
      </c>
      <c r="E669">
        <v>50</v>
      </c>
      <c r="F669">
        <v>49.972217559999997</v>
      </c>
      <c r="G669">
        <v>1266.9487305</v>
      </c>
      <c r="H669">
        <v>1239.4976807</v>
      </c>
      <c r="I669">
        <v>1443.9696045000001</v>
      </c>
      <c r="J669">
        <v>1407.7819824000001</v>
      </c>
      <c r="K669">
        <v>0</v>
      </c>
      <c r="L669">
        <v>2400</v>
      </c>
      <c r="M669">
        <v>2400</v>
      </c>
      <c r="N669">
        <v>0</v>
      </c>
    </row>
    <row r="670" spans="1:14" x14ac:dyDescent="0.25">
      <c r="A670">
        <v>277.80839300000002</v>
      </c>
      <c r="B670" s="1">
        <f>DATE(2011,2,2) + TIME(19,24,5)</f>
        <v>40576.808391203704</v>
      </c>
      <c r="C670">
        <v>80</v>
      </c>
      <c r="D670">
        <v>67.811088561999995</v>
      </c>
      <c r="E670">
        <v>50</v>
      </c>
      <c r="F670">
        <v>49.972309113000001</v>
      </c>
      <c r="G670">
        <v>1266.8419189000001</v>
      </c>
      <c r="H670">
        <v>1239.2868652</v>
      </c>
      <c r="I670">
        <v>1443.9521483999999</v>
      </c>
      <c r="J670">
        <v>1407.7642822</v>
      </c>
      <c r="K670">
        <v>0</v>
      </c>
      <c r="L670">
        <v>2400</v>
      </c>
      <c r="M670">
        <v>2400</v>
      </c>
      <c r="N670">
        <v>0</v>
      </c>
    </row>
    <row r="671" spans="1:14" x14ac:dyDescent="0.25">
      <c r="A671">
        <v>279.62980599999997</v>
      </c>
      <c r="B671" s="1">
        <f>DATE(2011,2,4) + TIME(15,6,55)</f>
        <v>40578.629803240743</v>
      </c>
      <c r="C671">
        <v>80</v>
      </c>
      <c r="D671">
        <v>67.574668884000005</v>
      </c>
      <c r="E671">
        <v>50</v>
      </c>
      <c r="F671">
        <v>49.972393036</v>
      </c>
      <c r="G671">
        <v>1266.4326172000001</v>
      </c>
      <c r="H671">
        <v>1238.7130127</v>
      </c>
      <c r="I671">
        <v>1443.8653564000001</v>
      </c>
      <c r="J671">
        <v>1407.6768798999999</v>
      </c>
      <c r="K671">
        <v>0</v>
      </c>
      <c r="L671">
        <v>2400</v>
      </c>
      <c r="M671">
        <v>2400</v>
      </c>
      <c r="N671">
        <v>0</v>
      </c>
    </row>
    <row r="672" spans="1:14" x14ac:dyDescent="0.25">
      <c r="A672">
        <v>281.472598</v>
      </c>
      <c r="B672" s="1">
        <f>DATE(2011,2,6) + TIME(11,20,32)</f>
        <v>40580.472592592596</v>
      </c>
      <c r="C672">
        <v>80</v>
      </c>
      <c r="D672">
        <v>67.316917419000006</v>
      </c>
      <c r="E672">
        <v>50</v>
      </c>
      <c r="F672">
        <v>49.972476958999998</v>
      </c>
      <c r="G672">
        <v>1266.0065918</v>
      </c>
      <c r="H672">
        <v>1238.1069336</v>
      </c>
      <c r="I672">
        <v>1443.7799072</v>
      </c>
      <c r="J672">
        <v>1407.5905762</v>
      </c>
      <c r="K672">
        <v>0</v>
      </c>
      <c r="L672">
        <v>2400</v>
      </c>
      <c r="M672">
        <v>2400</v>
      </c>
      <c r="N672">
        <v>0</v>
      </c>
    </row>
    <row r="673" spans="1:14" x14ac:dyDescent="0.25">
      <c r="A673">
        <v>283.347015</v>
      </c>
      <c r="B673" s="1">
        <f>DATE(2011,2,8) + TIME(8,19,42)</f>
        <v>40582.347013888888</v>
      </c>
      <c r="C673">
        <v>80</v>
      </c>
      <c r="D673">
        <v>67.045249939000001</v>
      </c>
      <c r="E673">
        <v>50</v>
      </c>
      <c r="F673">
        <v>49.972564697000003</v>
      </c>
      <c r="G673">
        <v>1265.5662841999999</v>
      </c>
      <c r="H673">
        <v>1237.4775391000001</v>
      </c>
      <c r="I673">
        <v>1443.6954346</v>
      </c>
      <c r="J673">
        <v>1407.5054932</v>
      </c>
      <c r="K673">
        <v>0</v>
      </c>
      <c r="L673">
        <v>2400</v>
      </c>
      <c r="M673">
        <v>2400</v>
      </c>
      <c r="N673">
        <v>0</v>
      </c>
    </row>
    <row r="674" spans="1:14" x14ac:dyDescent="0.25">
      <c r="A674">
        <v>285.24379299999998</v>
      </c>
      <c r="B674" s="1">
        <f>DATE(2011,2,10) + TIME(5,51,3)</f>
        <v>40584.243784722225</v>
      </c>
      <c r="C674">
        <v>80</v>
      </c>
      <c r="D674">
        <v>66.759834290000001</v>
      </c>
      <c r="E674">
        <v>50</v>
      </c>
      <c r="F674">
        <v>49.972648620999998</v>
      </c>
      <c r="G674">
        <v>1265.1101074000001</v>
      </c>
      <c r="H674">
        <v>1236.8234863</v>
      </c>
      <c r="I674">
        <v>1443.6115723</v>
      </c>
      <c r="J674">
        <v>1407.4210204999999</v>
      </c>
      <c r="K674">
        <v>0</v>
      </c>
      <c r="L674">
        <v>2400</v>
      </c>
      <c r="M674">
        <v>2400</v>
      </c>
      <c r="N674">
        <v>0</v>
      </c>
    </row>
    <row r="675" spans="1:14" x14ac:dyDescent="0.25">
      <c r="A675">
        <v>287.17098199999998</v>
      </c>
      <c r="B675" s="1">
        <f>DATE(2011,2,12) + TIME(4,6,12)</f>
        <v>40586.170972222222</v>
      </c>
      <c r="C675">
        <v>80</v>
      </c>
      <c r="D675">
        <v>66.460807799999998</v>
      </c>
      <c r="E675">
        <v>50</v>
      </c>
      <c r="F675">
        <v>49.972736359000002</v>
      </c>
      <c r="G675">
        <v>1264.6397704999999</v>
      </c>
      <c r="H675">
        <v>1236.1468506000001</v>
      </c>
      <c r="I675">
        <v>1443.5285644999999</v>
      </c>
      <c r="J675">
        <v>1407.3375243999999</v>
      </c>
      <c r="K675">
        <v>0</v>
      </c>
      <c r="L675">
        <v>2400</v>
      </c>
      <c r="M675">
        <v>2400</v>
      </c>
      <c r="N675">
        <v>0</v>
      </c>
    </row>
    <row r="676" spans="1:14" x14ac:dyDescent="0.25">
      <c r="A676">
        <v>289.13922300000002</v>
      </c>
      <c r="B676" s="1">
        <f>DATE(2011,2,14) + TIME(3,20,28)</f>
        <v>40588.13921296296</v>
      </c>
      <c r="C676">
        <v>80</v>
      </c>
      <c r="D676">
        <v>66.146545410000002</v>
      </c>
      <c r="E676">
        <v>50</v>
      </c>
      <c r="F676">
        <v>49.972824097</v>
      </c>
      <c r="G676">
        <v>1264.1533202999999</v>
      </c>
      <c r="H676">
        <v>1235.4447021000001</v>
      </c>
      <c r="I676">
        <v>1443.4462891000001</v>
      </c>
      <c r="J676">
        <v>1407.2547606999999</v>
      </c>
      <c r="K676">
        <v>0</v>
      </c>
      <c r="L676">
        <v>2400</v>
      </c>
      <c r="M676">
        <v>2400</v>
      </c>
      <c r="N676">
        <v>0</v>
      </c>
    </row>
    <row r="677" spans="1:14" x14ac:dyDescent="0.25">
      <c r="A677">
        <v>291.15464700000001</v>
      </c>
      <c r="B677" s="1">
        <f>DATE(2011,2,16) + TIME(3,42,41)</f>
        <v>40590.154641203706</v>
      </c>
      <c r="C677">
        <v>80</v>
      </c>
      <c r="D677">
        <v>65.814796447999996</v>
      </c>
      <c r="E677">
        <v>50</v>
      </c>
      <c r="F677">
        <v>49.972915649000001</v>
      </c>
      <c r="G677">
        <v>1263.6477050999999</v>
      </c>
      <c r="H677">
        <v>1234.7128906</v>
      </c>
      <c r="I677">
        <v>1443.3642577999999</v>
      </c>
      <c r="J677">
        <v>1407.1721190999999</v>
      </c>
      <c r="K677">
        <v>0</v>
      </c>
      <c r="L677">
        <v>2400</v>
      </c>
      <c r="M677">
        <v>2400</v>
      </c>
      <c r="N677">
        <v>0</v>
      </c>
    </row>
    <row r="678" spans="1:14" x14ac:dyDescent="0.25">
      <c r="A678">
        <v>293.179147</v>
      </c>
      <c r="B678" s="1">
        <f>DATE(2011,2,18) + TIME(4,17,58)</f>
        <v>40592.179143518515</v>
      </c>
      <c r="C678">
        <v>80</v>
      </c>
      <c r="D678">
        <v>65.464813231999997</v>
      </c>
      <c r="E678">
        <v>50</v>
      </c>
      <c r="F678">
        <v>49.973003386999999</v>
      </c>
      <c r="G678">
        <v>1263.1209716999999</v>
      </c>
      <c r="H678">
        <v>1233.9488524999999</v>
      </c>
      <c r="I678">
        <v>1443.2819824000001</v>
      </c>
      <c r="J678">
        <v>1407.0895995999999</v>
      </c>
      <c r="K678">
        <v>0</v>
      </c>
      <c r="L678">
        <v>2400</v>
      </c>
      <c r="M678">
        <v>2400</v>
      </c>
      <c r="N678">
        <v>0</v>
      </c>
    </row>
    <row r="679" spans="1:14" x14ac:dyDescent="0.25">
      <c r="A679">
        <v>295.22422599999999</v>
      </c>
      <c r="B679" s="1">
        <f>DATE(2011,2,20) + TIME(5,22,53)</f>
        <v>40594.224224537036</v>
      </c>
      <c r="C679">
        <v>80</v>
      </c>
      <c r="D679">
        <v>65.099868774000001</v>
      </c>
      <c r="E679">
        <v>50</v>
      </c>
      <c r="F679">
        <v>49.973094940000003</v>
      </c>
      <c r="G679">
        <v>1262.5821533000001</v>
      </c>
      <c r="H679">
        <v>1233.1643065999999</v>
      </c>
      <c r="I679">
        <v>1443.2014160000001</v>
      </c>
      <c r="J679">
        <v>1407.0085449000001</v>
      </c>
      <c r="K679">
        <v>0</v>
      </c>
      <c r="L679">
        <v>2400</v>
      </c>
      <c r="M679">
        <v>2400</v>
      </c>
      <c r="N679">
        <v>0</v>
      </c>
    </row>
    <row r="680" spans="1:14" x14ac:dyDescent="0.25">
      <c r="A680">
        <v>297.30131499999999</v>
      </c>
      <c r="B680" s="1">
        <f>DATE(2011,2,22) + TIME(7,13,53)</f>
        <v>40596.301307870373</v>
      </c>
      <c r="C680">
        <v>80</v>
      </c>
      <c r="D680">
        <v>64.718490600999999</v>
      </c>
      <c r="E680">
        <v>50</v>
      </c>
      <c r="F680">
        <v>49.973182678000001</v>
      </c>
      <c r="G680">
        <v>1262.0286865</v>
      </c>
      <c r="H680">
        <v>1232.3558350000001</v>
      </c>
      <c r="I680">
        <v>1443.1217041</v>
      </c>
      <c r="J680">
        <v>1406.9285889</v>
      </c>
      <c r="K680">
        <v>0</v>
      </c>
      <c r="L680">
        <v>2400</v>
      </c>
      <c r="M680">
        <v>2400</v>
      </c>
      <c r="N680">
        <v>0</v>
      </c>
    </row>
    <row r="681" spans="1:14" x14ac:dyDescent="0.25">
      <c r="A681">
        <v>299.39903800000002</v>
      </c>
      <c r="B681" s="1">
        <f>DATE(2011,2,24) + TIME(9,34,36)</f>
        <v>40598.399027777778</v>
      </c>
      <c r="C681">
        <v>80</v>
      </c>
      <c r="D681">
        <v>64.319236755000006</v>
      </c>
      <c r="E681">
        <v>50</v>
      </c>
      <c r="F681">
        <v>49.973274230999998</v>
      </c>
      <c r="G681">
        <v>1261.4573975000001</v>
      </c>
      <c r="H681">
        <v>1231.519043</v>
      </c>
      <c r="I681">
        <v>1443.0426024999999</v>
      </c>
      <c r="J681">
        <v>1406.8492432</v>
      </c>
      <c r="K681">
        <v>0</v>
      </c>
      <c r="L681">
        <v>2400</v>
      </c>
      <c r="M681">
        <v>2400</v>
      </c>
      <c r="N681">
        <v>0</v>
      </c>
    </row>
    <row r="682" spans="1:14" x14ac:dyDescent="0.25">
      <c r="A682">
        <v>301.52566200000001</v>
      </c>
      <c r="B682" s="1">
        <f>DATE(2011,2,26) + TIME(12,36,57)</f>
        <v>40600.525659722225</v>
      </c>
      <c r="C682">
        <v>80</v>
      </c>
      <c r="D682">
        <v>63.902359009000001</v>
      </c>
      <c r="E682">
        <v>50</v>
      </c>
      <c r="F682">
        <v>49.973365784000002</v>
      </c>
      <c r="G682">
        <v>1260.8708495999999</v>
      </c>
      <c r="H682">
        <v>1230.6571045000001</v>
      </c>
      <c r="I682">
        <v>1442.9644774999999</v>
      </c>
      <c r="J682">
        <v>1406.770874</v>
      </c>
      <c r="K682">
        <v>0</v>
      </c>
      <c r="L682">
        <v>2400</v>
      </c>
      <c r="M682">
        <v>2400</v>
      </c>
      <c r="N682">
        <v>0</v>
      </c>
    </row>
    <row r="683" spans="1:14" x14ac:dyDescent="0.25">
      <c r="A683">
        <v>303.69276000000002</v>
      </c>
      <c r="B683" s="1">
        <f>DATE(2011,2,28) + TIME(16,37,34)</f>
        <v>40602.692754629628</v>
      </c>
      <c r="C683">
        <v>80</v>
      </c>
      <c r="D683">
        <v>63.466201781999999</v>
      </c>
      <c r="E683">
        <v>50</v>
      </c>
      <c r="F683">
        <v>49.973457336000003</v>
      </c>
      <c r="G683">
        <v>1260.2668457</v>
      </c>
      <c r="H683">
        <v>1229.7668457</v>
      </c>
      <c r="I683">
        <v>1442.8869629000001</v>
      </c>
      <c r="J683">
        <v>1406.6931152</v>
      </c>
      <c r="K683">
        <v>0</v>
      </c>
      <c r="L683">
        <v>2400</v>
      </c>
      <c r="M683">
        <v>2400</v>
      </c>
      <c r="N683">
        <v>0</v>
      </c>
    </row>
    <row r="684" spans="1:14" x14ac:dyDescent="0.25">
      <c r="A684">
        <v>304</v>
      </c>
      <c r="B684" s="1">
        <f>DATE(2011,3,1) + TIME(0,0,0)</f>
        <v>40603</v>
      </c>
      <c r="C684">
        <v>80</v>
      </c>
      <c r="D684">
        <v>63.236518859999997</v>
      </c>
      <c r="E684">
        <v>50</v>
      </c>
      <c r="F684">
        <v>49.973464966000002</v>
      </c>
      <c r="G684">
        <v>1259.6702881000001</v>
      </c>
      <c r="H684">
        <v>1228.9996338000001</v>
      </c>
      <c r="I684">
        <v>1442.8104248</v>
      </c>
      <c r="J684">
        <v>1406.6164550999999</v>
      </c>
      <c r="K684">
        <v>0</v>
      </c>
      <c r="L684">
        <v>2400</v>
      </c>
      <c r="M684">
        <v>2400</v>
      </c>
      <c r="N684">
        <v>0</v>
      </c>
    </row>
    <row r="685" spans="1:14" x14ac:dyDescent="0.25">
      <c r="A685">
        <v>306.21990299999999</v>
      </c>
      <c r="B685" s="1">
        <f>DATE(2011,3,3) + TIME(5,16,39)</f>
        <v>40605.219895833332</v>
      </c>
      <c r="C685">
        <v>80</v>
      </c>
      <c r="D685">
        <v>62.914531707999998</v>
      </c>
      <c r="E685">
        <v>50</v>
      </c>
      <c r="F685">
        <v>49.973564148000001</v>
      </c>
      <c r="G685">
        <v>1259.5421143000001</v>
      </c>
      <c r="H685">
        <v>1228.6789550999999</v>
      </c>
      <c r="I685">
        <v>1442.7987060999999</v>
      </c>
      <c r="J685">
        <v>1406.6046143000001</v>
      </c>
      <c r="K685">
        <v>0</v>
      </c>
      <c r="L685">
        <v>2400</v>
      </c>
      <c r="M685">
        <v>2400</v>
      </c>
      <c r="N685">
        <v>0</v>
      </c>
    </row>
    <row r="686" spans="1:14" x14ac:dyDescent="0.25">
      <c r="A686">
        <v>308.46812299999999</v>
      </c>
      <c r="B686" s="1">
        <f>DATE(2011,3,5) + TIME(11,14,5)</f>
        <v>40607.468113425923</v>
      </c>
      <c r="C686">
        <v>80</v>
      </c>
      <c r="D686">
        <v>62.452568053999997</v>
      </c>
      <c r="E686">
        <v>50</v>
      </c>
      <c r="F686">
        <v>49.973655700999998</v>
      </c>
      <c r="G686">
        <v>1258.9000243999999</v>
      </c>
      <c r="H686">
        <v>1227.7403564000001</v>
      </c>
      <c r="I686">
        <v>1442.7216797000001</v>
      </c>
      <c r="J686">
        <v>1406.5274658000001</v>
      </c>
      <c r="K686">
        <v>0</v>
      </c>
      <c r="L686">
        <v>2400</v>
      </c>
      <c r="M686">
        <v>2400</v>
      </c>
      <c r="N686">
        <v>0</v>
      </c>
    </row>
    <row r="687" spans="1:14" x14ac:dyDescent="0.25">
      <c r="A687">
        <v>310.73890399999999</v>
      </c>
      <c r="B687" s="1">
        <f>DATE(2011,3,7) + TIME(17,44,1)</f>
        <v>40609.738900462966</v>
      </c>
      <c r="C687">
        <v>80</v>
      </c>
      <c r="D687">
        <v>61.950634002999998</v>
      </c>
      <c r="E687">
        <v>50</v>
      </c>
      <c r="F687">
        <v>49.973751067999999</v>
      </c>
      <c r="G687">
        <v>1258.2322998</v>
      </c>
      <c r="H687">
        <v>1226.7491454999999</v>
      </c>
      <c r="I687">
        <v>1442.6450195</v>
      </c>
      <c r="J687">
        <v>1406.4508057</v>
      </c>
      <c r="K687">
        <v>0</v>
      </c>
      <c r="L687">
        <v>2400</v>
      </c>
      <c r="M687">
        <v>2400</v>
      </c>
      <c r="N687">
        <v>0</v>
      </c>
    </row>
    <row r="688" spans="1:14" x14ac:dyDescent="0.25">
      <c r="A688">
        <v>313.04079000000002</v>
      </c>
      <c r="B688" s="1">
        <f>DATE(2011,3,10) + TIME(0,58,44)</f>
        <v>40612.04078703704</v>
      </c>
      <c r="C688">
        <v>80</v>
      </c>
      <c r="D688">
        <v>61.425914763999998</v>
      </c>
      <c r="E688">
        <v>50</v>
      </c>
      <c r="F688">
        <v>49.973846436000002</v>
      </c>
      <c r="G688">
        <v>1257.5469971</v>
      </c>
      <c r="H688">
        <v>1225.7265625</v>
      </c>
      <c r="I688">
        <v>1442.5693358999999</v>
      </c>
      <c r="J688">
        <v>1406.375</v>
      </c>
      <c r="K688">
        <v>0</v>
      </c>
      <c r="L688">
        <v>2400</v>
      </c>
      <c r="M688">
        <v>2400</v>
      </c>
      <c r="N688">
        <v>0</v>
      </c>
    </row>
    <row r="689" spans="1:14" x14ac:dyDescent="0.25">
      <c r="A689">
        <v>315.36053600000002</v>
      </c>
      <c r="B689" s="1">
        <f>DATE(2011,3,12) + TIME(8,39,10)</f>
        <v>40614.360532407409</v>
      </c>
      <c r="C689">
        <v>80</v>
      </c>
      <c r="D689">
        <v>60.879901885999999</v>
      </c>
      <c r="E689">
        <v>50</v>
      </c>
      <c r="F689">
        <v>49.973937988000003</v>
      </c>
      <c r="G689">
        <v>1256.8426514</v>
      </c>
      <c r="H689">
        <v>1224.6724853999999</v>
      </c>
      <c r="I689">
        <v>1442.4941406</v>
      </c>
      <c r="J689">
        <v>1406.2996826000001</v>
      </c>
      <c r="K689">
        <v>0</v>
      </c>
      <c r="L689">
        <v>2400</v>
      </c>
      <c r="M689">
        <v>2400</v>
      </c>
      <c r="N689">
        <v>0</v>
      </c>
    </row>
    <row r="690" spans="1:14" x14ac:dyDescent="0.25">
      <c r="A690">
        <v>317.71061099999997</v>
      </c>
      <c r="B690" s="1">
        <f>DATE(2011,3,14) + TIME(17,3,16)</f>
        <v>40616.710601851853</v>
      </c>
      <c r="C690">
        <v>80</v>
      </c>
      <c r="D690">
        <v>60.314945221000002</v>
      </c>
      <c r="E690">
        <v>50</v>
      </c>
      <c r="F690">
        <v>49.974033356</v>
      </c>
      <c r="G690">
        <v>1256.1232910000001</v>
      </c>
      <c r="H690">
        <v>1223.5921631000001</v>
      </c>
      <c r="I690">
        <v>1442.4197998</v>
      </c>
      <c r="J690">
        <v>1406.2254639</v>
      </c>
      <c r="K690">
        <v>0</v>
      </c>
      <c r="L690">
        <v>2400</v>
      </c>
      <c r="M690">
        <v>2400</v>
      </c>
      <c r="N690">
        <v>0</v>
      </c>
    </row>
    <row r="691" spans="1:14" x14ac:dyDescent="0.25">
      <c r="A691">
        <v>320.10377399999999</v>
      </c>
      <c r="B691" s="1">
        <f>DATE(2011,3,17) + TIME(2,29,26)</f>
        <v>40619.103773148148</v>
      </c>
      <c r="C691">
        <v>80</v>
      </c>
      <c r="D691">
        <v>59.729358673</v>
      </c>
      <c r="E691">
        <v>50</v>
      </c>
      <c r="F691">
        <v>49.974128723</v>
      </c>
      <c r="G691">
        <v>1255.385376</v>
      </c>
      <c r="H691">
        <v>1222.4805908000001</v>
      </c>
      <c r="I691">
        <v>1442.3460693</v>
      </c>
      <c r="J691">
        <v>1406.1517334</v>
      </c>
      <c r="K691">
        <v>0</v>
      </c>
      <c r="L691">
        <v>2400</v>
      </c>
      <c r="M691">
        <v>2400</v>
      </c>
      <c r="N691">
        <v>0</v>
      </c>
    </row>
    <row r="692" spans="1:14" x14ac:dyDescent="0.25">
      <c r="A692">
        <v>322.553246</v>
      </c>
      <c r="B692" s="1">
        <f>DATE(2011,3,19) + TIME(13,16,40)</f>
        <v>40621.553240740737</v>
      </c>
      <c r="C692">
        <v>80</v>
      </c>
      <c r="D692">
        <v>59.118656158</v>
      </c>
      <c r="E692">
        <v>50</v>
      </c>
      <c r="F692">
        <v>49.974227904999999</v>
      </c>
      <c r="G692">
        <v>1254.6247559000001</v>
      </c>
      <c r="H692">
        <v>1221.3314209</v>
      </c>
      <c r="I692">
        <v>1442.2724608999999</v>
      </c>
      <c r="J692">
        <v>1406.078125</v>
      </c>
      <c r="K692">
        <v>0</v>
      </c>
      <c r="L692">
        <v>2400</v>
      </c>
      <c r="M692">
        <v>2400</v>
      </c>
      <c r="N692">
        <v>0</v>
      </c>
    </row>
    <row r="693" spans="1:14" x14ac:dyDescent="0.25">
      <c r="A693">
        <v>325.035461</v>
      </c>
      <c r="B693" s="1">
        <f>DATE(2011,3,22) + TIME(0,51,3)</f>
        <v>40624.035451388889</v>
      </c>
      <c r="C693">
        <v>80</v>
      </c>
      <c r="D693">
        <v>58.481513976999999</v>
      </c>
      <c r="E693">
        <v>50</v>
      </c>
      <c r="F693">
        <v>49.974327086999999</v>
      </c>
      <c r="G693">
        <v>1253.8372803</v>
      </c>
      <c r="H693">
        <v>1220.1389160000001</v>
      </c>
      <c r="I693">
        <v>1442.1984863</v>
      </c>
      <c r="J693">
        <v>1406.0043945</v>
      </c>
      <c r="K693">
        <v>0</v>
      </c>
      <c r="L693">
        <v>2400</v>
      </c>
      <c r="M693">
        <v>2400</v>
      </c>
      <c r="N693">
        <v>0</v>
      </c>
    </row>
    <row r="694" spans="1:14" x14ac:dyDescent="0.25">
      <c r="A694">
        <v>327.54518200000001</v>
      </c>
      <c r="B694" s="1">
        <f>DATE(2011,3,24) + TIME(13,5,3)</f>
        <v>40626.545173611114</v>
      </c>
      <c r="C694">
        <v>80</v>
      </c>
      <c r="D694">
        <v>57.822006225999999</v>
      </c>
      <c r="E694">
        <v>50</v>
      </c>
      <c r="F694">
        <v>49.974422455000003</v>
      </c>
      <c r="G694">
        <v>1253.0302733999999</v>
      </c>
      <c r="H694">
        <v>1218.9124756000001</v>
      </c>
      <c r="I694">
        <v>1442.1251221</v>
      </c>
      <c r="J694">
        <v>1405.9310303</v>
      </c>
      <c r="K694">
        <v>0</v>
      </c>
      <c r="L694">
        <v>2400</v>
      </c>
      <c r="M694">
        <v>2400</v>
      </c>
      <c r="N694">
        <v>0</v>
      </c>
    </row>
    <row r="695" spans="1:14" x14ac:dyDescent="0.25">
      <c r="A695">
        <v>330.077336</v>
      </c>
      <c r="B695" s="1">
        <f>DATE(2011,3,27) + TIME(1,51,21)</f>
        <v>40629.077326388891</v>
      </c>
      <c r="C695">
        <v>80</v>
      </c>
      <c r="D695">
        <v>57.143035888999997</v>
      </c>
      <c r="E695">
        <v>50</v>
      </c>
      <c r="F695">
        <v>49.974521637000002</v>
      </c>
      <c r="G695">
        <v>1252.2054443</v>
      </c>
      <c r="H695">
        <v>1217.6552733999999</v>
      </c>
      <c r="I695">
        <v>1442.0522461</v>
      </c>
      <c r="J695">
        <v>1405.8582764</v>
      </c>
      <c r="K695">
        <v>0</v>
      </c>
      <c r="L695">
        <v>2400</v>
      </c>
      <c r="M695">
        <v>2400</v>
      </c>
      <c r="N695">
        <v>0</v>
      </c>
    </row>
    <row r="696" spans="1:14" x14ac:dyDescent="0.25">
      <c r="A696">
        <v>332.62957499999999</v>
      </c>
      <c r="B696" s="1">
        <f>DATE(2011,3,29) + TIME(15,6,35)</f>
        <v>40631.629571759258</v>
      </c>
      <c r="C696">
        <v>80</v>
      </c>
      <c r="D696">
        <v>56.446006775000001</v>
      </c>
      <c r="E696">
        <v>50</v>
      </c>
      <c r="F696">
        <v>49.974617004000002</v>
      </c>
      <c r="G696">
        <v>1251.3647461</v>
      </c>
      <c r="H696">
        <v>1216.3696289</v>
      </c>
      <c r="I696">
        <v>1441.9801024999999</v>
      </c>
      <c r="J696">
        <v>1405.7863769999999</v>
      </c>
      <c r="K696">
        <v>0</v>
      </c>
      <c r="L696">
        <v>2400</v>
      </c>
      <c r="M696">
        <v>2400</v>
      </c>
      <c r="N696">
        <v>0</v>
      </c>
    </row>
    <row r="697" spans="1:14" x14ac:dyDescent="0.25">
      <c r="A697">
        <v>335</v>
      </c>
      <c r="B697" s="1">
        <f>DATE(2011,4,1) + TIME(0,0,0)</f>
        <v>40634</v>
      </c>
      <c r="C697">
        <v>80</v>
      </c>
      <c r="D697">
        <v>55.741474152000002</v>
      </c>
      <c r="E697">
        <v>50</v>
      </c>
      <c r="F697">
        <v>49.974708557</v>
      </c>
      <c r="G697">
        <v>1250.5100098</v>
      </c>
      <c r="H697">
        <v>1215.0635986</v>
      </c>
      <c r="I697">
        <v>1441.9086914</v>
      </c>
      <c r="J697">
        <v>1405.7150879000001</v>
      </c>
      <c r="K697">
        <v>0</v>
      </c>
      <c r="L697">
        <v>2400</v>
      </c>
      <c r="M697">
        <v>2400</v>
      </c>
      <c r="N697">
        <v>0</v>
      </c>
    </row>
    <row r="698" spans="1:14" x14ac:dyDescent="0.25">
      <c r="A698">
        <v>337.58553999999998</v>
      </c>
      <c r="B698" s="1">
        <f>DATE(2011,4,3) + TIME(14,3,10)</f>
        <v>40636.585532407407</v>
      </c>
      <c r="C698">
        <v>80</v>
      </c>
      <c r="D698">
        <v>55.055297852000002</v>
      </c>
      <c r="E698">
        <v>50</v>
      </c>
      <c r="F698">
        <v>49.974807738999999</v>
      </c>
      <c r="G698">
        <v>1249.7071533000001</v>
      </c>
      <c r="H698">
        <v>1213.8190918</v>
      </c>
      <c r="I698">
        <v>1441.8435059000001</v>
      </c>
      <c r="J698">
        <v>1405.6501464999999</v>
      </c>
      <c r="K698">
        <v>0</v>
      </c>
      <c r="L698">
        <v>2400</v>
      </c>
      <c r="M698">
        <v>2400</v>
      </c>
      <c r="N698">
        <v>0</v>
      </c>
    </row>
    <row r="699" spans="1:14" x14ac:dyDescent="0.25">
      <c r="A699">
        <v>340.22571499999998</v>
      </c>
      <c r="B699" s="1">
        <f>DATE(2011,4,6) + TIME(5,25,1)</f>
        <v>40639.225706018522</v>
      </c>
      <c r="C699">
        <v>80</v>
      </c>
      <c r="D699">
        <v>54.320217133</v>
      </c>
      <c r="E699">
        <v>50</v>
      </c>
      <c r="F699">
        <v>49.974903107000003</v>
      </c>
      <c r="G699">
        <v>1248.8287353999999</v>
      </c>
      <c r="H699">
        <v>1212.4667969</v>
      </c>
      <c r="I699">
        <v>1441.7736815999999</v>
      </c>
      <c r="J699">
        <v>1405.5805664</v>
      </c>
      <c r="K699">
        <v>0</v>
      </c>
      <c r="L699">
        <v>2400</v>
      </c>
      <c r="M699">
        <v>2400</v>
      </c>
      <c r="N699">
        <v>0</v>
      </c>
    </row>
    <row r="700" spans="1:14" x14ac:dyDescent="0.25">
      <c r="A700">
        <v>342.88784600000002</v>
      </c>
      <c r="B700" s="1">
        <f>DATE(2011,4,8) + TIME(21,18,29)</f>
        <v>40641.887835648151</v>
      </c>
      <c r="C700">
        <v>80</v>
      </c>
      <c r="D700">
        <v>53.558990479000002</v>
      </c>
      <c r="E700">
        <v>50</v>
      </c>
      <c r="F700">
        <v>49.975002289000003</v>
      </c>
      <c r="G700">
        <v>1247.9240723</v>
      </c>
      <c r="H700">
        <v>1211.0678711</v>
      </c>
      <c r="I700">
        <v>1441.7034911999999</v>
      </c>
      <c r="J700">
        <v>1405.5106201000001</v>
      </c>
      <c r="K700">
        <v>0</v>
      </c>
      <c r="L700">
        <v>2400</v>
      </c>
      <c r="M700">
        <v>2400</v>
      </c>
      <c r="N700">
        <v>0</v>
      </c>
    </row>
    <row r="701" spans="1:14" x14ac:dyDescent="0.25">
      <c r="A701">
        <v>345.57163400000002</v>
      </c>
      <c r="B701" s="1">
        <f>DATE(2011,4,11) + TIME(13,43,9)</f>
        <v>40644.571631944447</v>
      </c>
      <c r="C701">
        <v>80</v>
      </c>
      <c r="D701">
        <v>52.784946441999999</v>
      </c>
      <c r="E701">
        <v>50</v>
      </c>
      <c r="F701">
        <v>49.975101471000002</v>
      </c>
      <c r="G701">
        <v>1247.0058594</v>
      </c>
      <c r="H701">
        <v>1209.6430664</v>
      </c>
      <c r="I701">
        <v>1441.6340332</v>
      </c>
      <c r="J701">
        <v>1405.4414062000001</v>
      </c>
      <c r="K701">
        <v>0</v>
      </c>
      <c r="L701">
        <v>2400</v>
      </c>
      <c r="M701">
        <v>2400</v>
      </c>
      <c r="N701">
        <v>0</v>
      </c>
    </row>
    <row r="702" spans="1:14" x14ac:dyDescent="0.25">
      <c r="A702">
        <v>348.27820000000003</v>
      </c>
      <c r="B702" s="1">
        <f>DATE(2011,4,14) + TIME(6,40,36)</f>
        <v>40647.278194444443</v>
      </c>
      <c r="C702">
        <v>80</v>
      </c>
      <c r="D702">
        <v>51.998115540000001</v>
      </c>
      <c r="E702">
        <v>50</v>
      </c>
      <c r="F702">
        <v>49.975200653000002</v>
      </c>
      <c r="G702">
        <v>1246.0744629000001</v>
      </c>
      <c r="H702">
        <v>1208.1926269999999</v>
      </c>
      <c r="I702">
        <v>1441.5650635</v>
      </c>
      <c r="J702">
        <v>1405.3728027</v>
      </c>
      <c r="K702">
        <v>0</v>
      </c>
      <c r="L702">
        <v>2400</v>
      </c>
      <c r="M702">
        <v>2400</v>
      </c>
      <c r="N702">
        <v>0</v>
      </c>
    </row>
    <row r="703" spans="1:14" x14ac:dyDescent="0.25">
      <c r="A703">
        <v>351.01274100000001</v>
      </c>
      <c r="B703" s="1">
        <f>DATE(2011,4,17) + TIME(0,18,20)</f>
        <v>40650.012731481482</v>
      </c>
      <c r="C703">
        <v>80</v>
      </c>
      <c r="D703">
        <v>51.203136444000002</v>
      </c>
      <c r="E703">
        <v>50</v>
      </c>
      <c r="F703">
        <v>49.975299835000001</v>
      </c>
      <c r="G703">
        <v>1245.1311035000001</v>
      </c>
      <c r="H703">
        <v>1206.7202147999999</v>
      </c>
      <c r="I703">
        <v>1441.4967041</v>
      </c>
      <c r="J703">
        <v>1405.3046875</v>
      </c>
      <c r="K703">
        <v>0</v>
      </c>
      <c r="L703">
        <v>2400</v>
      </c>
      <c r="M703">
        <v>2400</v>
      </c>
      <c r="N703">
        <v>0</v>
      </c>
    </row>
    <row r="704" spans="1:14" x14ac:dyDescent="0.25">
      <c r="A704">
        <v>353.77185500000002</v>
      </c>
      <c r="B704" s="1">
        <f>DATE(2011,4,19) + TIME(18,31,28)</f>
        <v>40652.771851851852</v>
      </c>
      <c r="C704">
        <v>80</v>
      </c>
      <c r="D704">
        <v>50.395835876</v>
      </c>
      <c r="E704">
        <v>50</v>
      </c>
      <c r="F704">
        <v>49.975395202999998</v>
      </c>
      <c r="G704">
        <v>1244.1735839999999</v>
      </c>
      <c r="H704">
        <v>1205.2202147999999</v>
      </c>
      <c r="I704">
        <v>1441.4287108999999</v>
      </c>
      <c r="J704">
        <v>1405.2370605000001</v>
      </c>
      <c r="K704">
        <v>0</v>
      </c>
      <c r="L704">
        <v>2400</v>
      </c>
      <c r="M704">
        <v>2400</v>
      </c>
      <c r="N704">
        <v>0</v>
      </c>
    </row>
    <row r="705" spans="1:14" x14ac:dyDescent="0.25">
      <c r="A705">
        <v>356.57043399999998</v>
      </c>
      <c r="B705" s="1">
        <f>DATE(2011,4,22) + TIME(13,41,25)</f>
        <v>40655.570428240739</v>
      </c>
      <c r="C705">
        <v>80</v>
      </c>
      <c r="D705">
        <v>49.584846497000001</v>
      </c>
      <c r="E705">
        <v>50</v>
      </c>
      <c r="F705">
        <v>49.975494384999998</v>
      </c>
      <c r="G705">
        <v>1243.2054443</v>
      </c>
      <c r="H705">
        <v>1203.7006836</v>
      </c>
      <c r="I705">
        <v>1441.3612060999999</v>
      </c>
      <c r="J705">
        <v>1405.1699219</v>
      </c>
      <c r="K705">
        <v>0</v>
      </c>
      <c r="L705">
        <v>2400</v>
      </c>
      <c r="M705">
        <v>2400</v>
      </c>
      <c r="N705">
        <v>0</v>
      </c>
    </row>
    <row r="706" spans="1:14" x14ac:dyDescent="0.25">
      <c r="A706">
        <v>359.387156</v>
      </c>
      <c r="B706" s="1">
        <f>DATE(2011,4,25) + TIME(9,17,30)</f>
        <v>40658.387152777781</v>
      </c>
      <c r="C706">
        <v>80</v>
      </c>
      <c r="D706">
        <v>48.757427216000004</v>
      </c>
      <c r="E706">
        <v>50</v>
      </c>
      <c r="F706">
        <v>49.975593566999997</v>
      </c>
      <c r="G706">
        <v>1242.2196045000001</v>
      </c>
      <c r="H706">
        <v>1202.1468506000001</v>
      </c>
      <c r="I706">
        <v>1441.2937012</v>
      </c>
      <c r="J706">
        <v>1405.1027832</v>
      </c>
      <c r="K706">
        <v>0</v>
      </c>
      <c r="L706">
        <v>2400</v>
      </c>
      <c r="M706">
        <v>2400</v>
      </c>
      <c r="N706">
        <v>0</v>
      </c>
    </row>
    <row r="707" spans="1:14" x14ac:dyDescent="0.25">
      <c r="A707">
        <v>360.82394199999999</v>
      </c>
      <c r="B707" s="1">
        <f>DATE(2011,4,26) + TIME(19,46,28)</f>
        <v>40659.823935185188</v>
      </c>
      <c r="C707">
        <v>80</v>
      </c>
      <c r="D707">
        <v>48.025173187</v>
      </c>
      <c r="E707">
        <v>50</v>
      </c>
      <c r="F707">
        <v>49.975643157999997</v>
      </c>
      <c r="G707">
        <v>1241.2242432</v>
      </c>
      <c r="H707">
        <v>1200.6345214999999</v>
      </c>
      <c r="I707">
        <v>1441.2266846</v>
      </c>
      <c r="J707">
        <v>1405.0361327999999</v>
      </c>
      <c r="K707">
        <v>0</v>
      </c>
      <c r="L707">
        <v>2400</v>
      </c>
      <c r="M707">
        <v>2400</v>
      </c>
      <c r="N707">
        <v>0</v>
      </c>
    </row>
    <row r="708" spans="1:14" x14ac:dyDescent="0.25">
      <c r="A708">
        <v>362.41534200000001</v>
      </c>
      <c r="B708" s="1">
        <f>DATE(2011,4,28) + TIME(9,58,5)</f>
        <v>40661.415335648147</v>
      </c>
      <c r="C708">
        <v>80</v>
      </c>
      <c r="D708">
        <v>47.520183563000003</v>
      </c>
      <c r="E708">
        <v>50</v>
      </c>
      <c r="F708">
        <v>49.975700377999999</v>
      </c>
      <c r="G708">
        <v>1240.7214355000001</v>
      </c>
      <c r="H708">
        <v>1199.791626</v>
      </c>
      <c r="I708">
        <v>1441.1926269999999</v>
      </c>
      <c r="J708">
        <v>1405.0023193</v>
      </c>
      <c r="K708">
        <v>0</v>
      </c>
      <c r="L708">
        <v>2400</v>
      </c>
      <c r="M708">
        <v>2400</v>
      </c>
      <c r="N708">
        <v>0</v>
      </c>
    </row>
    <row r="709" spans="1:14" x14ac:dyDescent="0.25">
      <c r="A709">
        <v>364.14139699999998</v>
      </c>
      <c r="B709" s="1">
        <f>DATE(2011,4,30) + TIME(3,23,36)</f>
        <v>40663.141388888886</v>
      </c>
      <c r="C709">
        <v>80</v>
      </c>
      <c r="D709">
        <v>47.041469573999997</v>
      </c>
      <c r="E709">
        <v>50</v>
      </c>
      <c r="F709">
        <v>49.975757598999998</v>
      </c>
      <c r="G709">
        <v>1240.1527100000001</v>
      </c>
      <c r="H709">
        <v>1198.8691406</v>
      </c>
      <c r="I709">
        <v>1441.1556396000001</v>
      </c>
      <c r="J709">
        <v>1404.9655762</v>
      </c>
      <c r="K709">
        <v>0</v>
      </c>
      <c r="L709">
        <v>2400</v>
      </c>
      <c r="M709">
        <v>2400</v>
      </c>
      <c r="N709">
        <v>0</v>
      </c>
    </row>
    <row r="710" spans="1:14" x14ac:dyDescent="0.25">
      <c r="A710">
        <v>365</v>
      </c>
      <c r="B710" s="1">
        <f>DATE(2011,5,1) + TIME(0,0,0)</f>
        <v>40664</v>
      </c>
      <c r="C710">
        <v>80</v>
      </c>
      <c r="D710">
        <v>46.623306274000001</v>
      </c>
      <c r="E710">
        <v>50</v>
      </c>
      <c r="F710">
        <v>49.975788115999997</v>
      </c>
      <c r="G710">
        <v>1239.5517577999999</v>
      </c>
      <c r="H710">
        <v>1197.9801024999999</v>
      </c>
      <c r="I710">
        <v>1441.1158447</v>
      </c>
      <c r="J710">
        <v>1404.9259033000001</v>
      </c>
      <c r="K710">
        <v>0</v>
      </c>
      <c r="L710">
        <v>2400</v>
      </c>
      <c r="M710">
        <v>2400</v>
      </c>
      <c r="N710">
        <v>0</v>
      </c>
    </row>
    <row r="711" spans="1:14" x14ac:dyDescent="0.25">
      <c r="A711">
        <v>365.000001</v>
      </c>
      <c r="B711" s="1">
        <f>DATE(2011,5,1) + TIME(0,0,0)</f>
        <v>40664</v>
      </c>
      <c r="C711">
        <v>80</v>
      </c>
      <c r="D711">
        <v>46.623634338000002</v>
      </c>
      <c r="E711">
        <v>50</v>
      </c>
      <c r="F711">
        <v>49.975566864000001</v>
      </c>
      <c r="G711">
        <v>1288.237793</v>
      </c>
      <c r="H711">
        <v>1241.4619141000001</v>
      </c>
      <c r="I711">
        <v>1403.1770019999999</v>
      </c>
      <c r="J711">
        <v>1362.6838379000001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365.00000399999999</v>
      </c>
      <c r="B712" s="1">
        <f>DATE(2011,5,1) + TIME(0,0,0)</f>
        <v>40664</v>
      </c>
      <c r="C712">
        <v>80</v>
      </c>
      <c r="D712">
        <v>46.624538422000001</v>
      </c>
      <c r="E712">
        <v>50</v>
      </c>
      <c r="F712">
        <v>49.974979400999999</v>
      </c>
      <c r="G712">
        <v>1293.0002440999999</v>
      </c>
      <c r="H712">
        <v>1246.5701904</v>
      </c>
      <c r="I712">
        <v>1398.5126952999999</v>
      </c>
      <c r="J712">
        <v>1358.0295410000001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365.00001300000002</v>
      </c>
      <c r="B713" s="1">
        <f>DATE(2011,5,1) + TIME(0,0,1)</f>
        <v>40664.000011574077</v>
      </c>
      <c r="C713">
        <v>80</v>
      </c>
      <c r="D713">
        <v>46.626777648999997</v>
      </c>
      <c r="E713">
        <v>50</v>
      </c>
      <c r="F713">
        <v>49.973659515000001</v>
      </c>
      <c r="G713">
        <v>1303.9749756000001</v>
      </c>
      <c r="H713">
        <v>1258.1040039</v>
      </c>
      <c r="I713">
        <v>1388.0600586</v>
      </c>
      <c r="J713">
        <v>1347.6408690999999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365.00004000000001</v>
      </c>
      <c r="B714" s="1">
        <f>DATE(2011,5,1) + TIME(0,0,3)</f>
        <v>40664.000034722223</v>
      </c>
      <c r="C714">
        <v>80</v>
      </c>
      <c r="D714">
        <v>46.631610870000003</v>
      </c>
      <c r="E714">
        <v>50</v>
      </c>
      <c r="F714">
        <v>49.971466063999998</v>
      </c>
      <c r="G714">
        <v>1323.0100098</v>
      </c>
      <c r="H714">
        <v>1277.6160889</v>
      </c>
      <c r="I714">
        <v>1370.6689452999999</v>
      </c>
      <c r="J714">
        <v>1330.4749756000001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365.00012099999998</v>
      </c>
      <c r="B715" s="1">
        <f>DATE(2011,5,1) + TIME(0,0,10)</f>
        <v>40664.000115740739</v>
      </c>
      <c r="C715">
        <v>80</v>
      </c>
      <c r="D715">
        <v>46.641754149999997</v>
      </c>
      <c r="E715">
        <v>50</v>
      </c>
      <c r="F715">
        <v>49.968811035000002</v>
      </c>
      <c r="G715">
        <v>1346.6478271000001</v>
      </c>
      <c r="H715">
        <v>1301.5854492000001</v>
      </c>
      <c r="I715">
        <v>1349.708374</v>
      </c>
      <c r="J715">
        <v>1310.0300293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365.00036399999999</v>
      </c>
      <c r="B716" s="1">
        <f>DATE(2011,5,1) + TIME(0,0,31)</f>
        <v>40664.000358796293</v>
      </c>
      <c r="C716">
        <v>80</v>
      </c>
      <c r="D716">
        <v>46.666000365999999</v>
      </c>
      <c r="E716">
        <v>50</v>
      </c>
      <c r="F716">
        <v>49.966133118000002</v>
      </c>
      <c r="G716">
        <v>1370.4815673999999</v>
      </c>
      <c r="H716">
        <v>1326.0247803</v>
      </c>
      <c r="I716">
        <v>1328.8085937999999</v>
      </c>
      <c r="J716">
        <v>1290.0277100000001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365.00109300000003</v>
      </c>
      <c r="B717" s="1">
        <f>DATE(2011,5,1) + TIME(0,1,34)</f>
        <v>40664.001087962963</v>
      </c>
      <c r="C717">
        <v>80</v>
      </c>
      <c r="D717">
        <v>46.731060028000002</v>
      </c>
      <c r="E717">
        <v>50</v>
      </c>
      <c r="F717">
        <v>49.963535309000001</v>
      </c>
      <c r="G717">
        <v>1392.9855957</v>
      </c>
      <c r="H717">
        <v>1349.5373535000001</v>
      </c>
      <c r="I717">
        <v>1309.3677978999999</v>
      </c>
      <c r="J717">
        <v>1271.7854004000001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365.00328000000002</v>
      </c>
      <c r="B718" s="1">
        <f>DATE(2011,5,1) + TIME(0,4,43)</f>
        <v>40664.003275462965</v>
      </c>
      <c r="C718">
        <v>80</v>
      </c>
      <c r="D718">
        <v>46.914966583000002</v>
      </c>
      <c r="E718">
        <v>50</v>
      </c>
      <c r="F718">
        <v>49.960948944000002</v>
      </c>
      <c r="G718">
        <v>1413.7935791</v>
      </c>
      <c r="H718">
        <v>1371.4702147999999</v>
      </c>
      <c r="I718">
        <v>1292.3006591999999</v>
      </c>
      <c r="J718">
        <v>1255.7490233999999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365.00984099999999</v>
      </c>
      <c r="B719" s="1">
        <f>DATE(2011,5,1) + TIME(0,14,10)</f>
        <v>40664.009837962964</v>
      </c>
      <c r="C719">
        <v>80</v>
      </c>
      <c r="D719">
        <v>47.444469452</v>
      </c>
      <c r="E719">
        <v>50</v>
      </c>
      <c r="F719">
        <v>49.957767486999998</v>
      </c>
      <c r="G719">
        <v>1432.4499512</v>
      </c>
      <c r="H719">
        <v>1391.1258545000001</v>
      </c>
      <c r="I719">
        <v>1277.3455810999999</v>
      </c>
      <c r="J719">
        <v>1241.2705077999999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365.019408</v>
      </c>
      <c r="B720" s="1">
        <f>DATE(2011,5,1) + TIME(0,27,56)</f>
        <v>40664.01939814815</v>
      </c>
      <c r="C720">
        <v>80</v>
      </c>
      <c r="D720">
        <v>48.193317413000003</v>
      </c>
      <c r="E720">
        <v>50</v>
      </c>
      <c r="F720">
        <v>49.954734801999997</v>
      </c>
      <c r="G720">
        <v>1443.1046143000001</v>
      </c>
      <c r="H720">
        <v>1402.5070800999999</v>
      </c>
      <c r="I720">
        <v>1268.2659911999999</v>
      </c>
      <c r="J720">
        <v>1232.2767334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365.02911399999999</v>
      </c>
      <c r="B721" s="1">
        <f>DATE(2011,5,1) + TIME(0,41,55)</f>
        <v>40664.029108796298</v>
      </c>
      <c r="C721">
        <v>80</v>
      </c>
      <c r="D721">
        <v>48.933612822999997</v>
      </c>
      <c r="E721">
        <v>50</v>
      </c>
      <c r="F721">
        <v>49.952201842999997</v>
      </c>
      <c r="G721">
        <v>1448.4548339999999</v>
      </c>
      <c r="H721">
        <v>1408.4399414</v>
      </c>
      <c r="I721">
        <v>1263.3692627</v>
      </c>
      <c r="J721">
        <v>1227.3845214999999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365.03899899999999</v>
      </c>
      <c r="B722" s="1">
        <f>DATE(2011,5,1) + TIME(0,56,9)</f>
        <v>40664.038993055554</v>
      </c>
      <c r="C722">
        <v>80</v>
      </c>
      <c r="D722">
        <v>49.668807983000001</v>
      </c>
      <c r="E722">
        <v>50</v>
      </c>
      <c r="F722">
        <v>49.949897765999999</v>
      </c>
      <c r="G722">
        <v>1451.3577881000001</v>
      </c>
      <c r="H722">
        <v>1411.8881836</v>
      </c>
      <c r="I722">
        <v>1260.5046387</v>
      </c>
      <c r="J722">
        <v>1224.5141602000001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365.04907800000001</v>
      </c>
      <c r="B723" s="1">
        <f>DATE(2011,5,1) + TIME(1,10,40)</f>
        <v>40664.049074074072</v>
      </c>
      <c r="C723">
        <v>80</v>
      </c>
      <c r="D723">
        <v>50.399459839000002</v>
      </c>
      <c r="E723">
        <v>50</v>
      </c>
      <c r="F723">
        <v>49.947708130000002</v>
      </c>
      <c r="G723">
        <v>1452.9072266000001</v>
      </c>
      <c r="H723">
        <v>1413.9655762</v>
      </c>
      <c r="I723">
        <v>1258.7927245999999</v>
      </c>
      <c r="J723">
        <v>1222.7969971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365.05936100000002</v>
      </c>
      <c r="B724" s="1">
        <f>DATE(2011,5,1) + TIME(1,25,28)</f>
        <v>40664.059351851851</v>
      </c>
      <c r="C724">
        <v>80</v>
      </c>
      <c r="D724">
        <v>51.125671386999997</v>
      </c>
      <c r="E724">
        <v>50</v>
      </c>
      <c r="F724">
        <v>49.945575714</v>
      </c>
      <c r="G724">
        <v>1453.6391602000001</v>
      </c>
      <c r="H724">
        <v>1415.2120361</v>
      </c>
      <c r="I724">
        <v>1257.7734375</v>
      </c>
      <c r="J724">
        <v>1221.7740478999999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365.06985800000001</v>
      </c>
      <c r="B725" s="1">
        <f>DATE(2011,5,1) + TIME(1,40,35)</f>
        <v>40664.069849537038</v>
      </c>
      <c r="C725">
        <v>80</v>
      </c>
      <c r="D725">
        <v>51.847805022999999</v>
      </c>
      <c r="E725">
        <v>50</v>
      </c>
      <c r="F725">
        <v>49.943470001000001</v>
      </c>
      <c r="G725">
        <v>1453.8569336</v>
      </c>
      <c r="H725">
        <v>1415.9316406</v>
      </c>
      <c r="I725">
        <v>1257.1774902</v>
      </c>
      <c r="J725">
        <v>1221.1755370999999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365.08058199999999</v>
      </c>
      <c r="B726" s="1">
        <f>DATE(2011,5,1) + TIME(1,56,2)</f>
        <v>40664.080578703702</v>
      </c>
      <c r="C726">
        <v>80</v>
      </c>
      <c r="D726">
        <v>52.566028594999999</v>
      </c>
      <c r="E726">
        <v>50</v>
      </c>
      <c r="F726">
        <v>49.941364288000003</v>
      </c>
      <c r="G726">
        <v>1453.7457274999999</v>
      </c>
      <c r="H726">
        <v>1416.3098144999999</v>
      </c>
      <c r="I726">
        <v>1256.840332</v>
      </c>
      <c r="J726">
        <v>1220.8367920000001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365.091545</v>
      </c>
      <c r="B727" s="1">
        <f>DATE(2011,5,1) + TIME(2,11,49)</f>
        <v>40664.091539351852</v>
      </c>
      <c r="C727">
        <v>80</v>
      </c>
      <c r="D727">
        <v>53.280483246000003</v>
      </c>
      <c r="E727">
        <v>50</v>
      </c>
      <c r="F727">
        <v>49.939247131000002</v>
      </c>
      <c r="G727">
        <v>1453.4233397999999</v>
      </c>
      <c r="H727">
        <v>1416.4643555</v>
      </c>
      <c r="I727">
        <v>1256.6595459</v>
      </c>
      <c r="J727">
        <v>1220.6547852000001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365.10276099999999</v>
      </c>
      <c r="B728" s="1">
        <f>DATE(2011,5,1) + TIME(2,27,58)</f>
        <v>40664.102754629632</v>
      </c>
      <c r="C728">
        <v>80</v>
      </c>
      <c r="D728">
        <v>53.991340637</v>
      </c>
      <c r="E728">
        <v>50</v>
      </c>
      <c r="F728">
        <v>49.937107085999997</v>
      </c>
      <c r="G728">
        <v>1452.9660644999999</v>
      </c>
      <c r="H728">
        <v>1416.4720459</v>
      </c>
      <c r="I728">
        <v>1256.5712891000001</v>
      </c>
      <c r="J728">
        <v>1220.5657959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365.11424599999998</v>
      </c>
      <c r="B729" s="1">
        <f>DATE(2011,5,1) + TIME(2,44,30)</f>
        <v>40664.114236111112</v>
      </c>
      <c r="C729">
        <v>80</v>
      </c>
      <c r="D729">
        <v>54.698772429999998</v>
      </c>
      <c r="E729">
        <v>50</v>
      </c>
      <c r="F729">
        <v>49.934940337999997</v>
      </c>
      <c r="G729">
        <v>1452.4238281</v>
      </c>
      <c r="H729">
        <v>1416.3829346</v>
      </c>
      <c r="I729">
        <v>1256.5361327999999</v>
      </c>
      <c r="J729">
        <v>1220.5300293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365.126015</v>
      </c>
      <c r="B730" s="1">
        <f>DATE(2011,5,1) + TIME(3,1,27)</f>
        <v>40664.126006944447</v>
      </c>
      <c r="C730">
        <v>80</v>
      </c>
      <c r="D730">
        <v>55.402954102000002</v>
      </c>
      <c r="E730">
        <v>50</v>
      </c>
      <c r="F730">
        <v>49.932735442999999</v>
      </c>
      <c r="G730">
        <v>1451.8293457</v>
      </c>
      <c r="H730">
        <v>1416.2302245999999</v>
      </c>
      <c r="I730">
        <v>1256.5299072</v>
      </c>
      <c r="J730">
        <v>1220.5231934000001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365.13808699999998</v>
      </c>
      <c r="B731" s="1">
        <f>DATE(2011,5,1) + TIME(3,18,50)</f>
        <v>40664.138078703705</v>
      </c>
      <c r="C731">
        <v>80</v>
      </c>
      <c r="D731">
        <v>56.104076384999999</v>
      </c>
      <c r="E731">
        <v>50</v>
      </c>
      <c r="F731">
        <v>49.930496216000002</v>
      </c>
      <c r="G731">
        <v>1451.2043457</v>
      </c>
      <c r="H731">
        <v>1416.0360106999999</v>
      </c>
      <c r="I731">
        <v>1256.5382079999999</v>
      </c>
      <c r="J731">
        <v>1220.5311279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365.15048200000001</v>
      </c>
      <c r="B732" s="1">
        <f>DATE(2011,5,1) + TIME(3,36,41)</f>
        <v>40664.15047453704</v>
      </c>
      <c r="C732">
        <v>80</v>
      </c>
      <c r="D732">
        <v>56.802318573000001</v>
      </c>
      <c r="E732">
        <v>50</v>
      </c>
      <c r="F732">
        <v>49.928211212000001</v>
      </c>
      <c r="G732">
        <v>1450.5628661999999</v>
      </c>
      <c r="H732">
        <v>1415.8146973</v>
      </c>
      <c r="I732">
        <v>1256.5526123</v>
      </c>
      <c r="J732">
        <v>1220.5451660000001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365.16322100000002</v>
      </c>
      <c r="B733" s="1">
        <f>DATE(2011,5,1) + TIME(3,55,2)</f>
        <v>40664.163217592592</v>
      </c>
      <c r="C733">
        <v>80</v>
      </c>
      <c r="D733">
        <v>57.497871398999997</v>
      </c>
      <c r="E733">
        <v>50</v>
      </c>
      <c r="F733">
        <v>49.925876617</v>
      </c>
      <c r="G733">
        <v>1449.9141846</v>
      </c>
      <c r="H733">
        <v>1415.5759277</v>
      </c>
      <c r="I733">
        <v>1256.5686035000001</v>
      </c>
      <c r="J733">
        <v>1220.5606689000001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365.176332</v>
      </c>
      <c r="B734" s="1">
        <f>DATE(2011,5,1) + TIME(4,13,55)</f>
        <v>40664.17633101852</v>
      </c>
      <c r="C734">
        <v>80</v>
      </c>
      <c r="D734">
        <v>58.191093445</v>
      </c>
      <c r="E734">
        <v>50</v>
      </c>
      <c r="F734">
        <v>49.923496245999999</v>
      </c>
      <c r="G734">
        <v>1449.2642822</v>
      </c>
      <c r="H734">
        <v>1415.3262939000001</v>
      </c>
      <c r="I734">
        <v>1256.5837402</v>
      </c>
      <c r="J734">
        <v>1220.5754394999999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365.189841</v>
      </c>
      <c r="B735" s="1">
        <f>DATE(2011,5,1) + TIME(4,33,22)</f>
        <v>40664.189837962964</v>
      </c>
      <c r="C735">
        <v>80</v>
      </c>
      <c r="D735">
        <v>58.882164001</v>
      </c>
      <c r="E735">
        <v>50</v>
      </c>
      <c r="F735">
        <v>49.921058655000003</v>
      </c>
      <c r="G735">
        <v>1448.6170654</v>
      </c>
      <c r="H735">
        <v>1415.0700684000001</v>
      </c>
      <c r="I735">
        <v>1256.5969238</v>
      </c>
      <c r="J735">
        <v>1220.5882568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365.20377300000001</v>
      </c>
      <c r="B736" s="1">
        <f>DATE(2011,5,1) + TIME(4,53,25)</f>
        <v>40664.203761574077</v>
      </c>
      <c r="C736">
        <v>80</v>
      </c>
      <c r="D736">
        <v>59.571125031000001</v>
      </c>
      <c r="E736">
        <v>50</v>
      </c>
      <c r="F736">
        <v>49.918567656999997</v>
      </c>
      <c r="G736">
        <v>1447.9750977000001</v>
      </c>
      <c r="H736">
        <v>1414.8100586</v>
      </c>
      <c r="I736">
        <v>1256.6077881000001</v>
      </c>
      <c r="J736">
        <v>1220.5987548999999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365.21816100000001</v>
      </c>
      <c r="B737" s="1">
        <f>DATE(2011,5,1) + TIME(5,14,9)</f>
        <v>40664.218159722222</v>
      </c>
      <c r="C737">
        <v>80</v>
      </c>
      <c r="D737">
        <v>60.257984161000003</v>
      </c>
      <c r="E737">
        <v>50</v>
      </c>
      <c r="F737">
        <v>49.916011810000001</v>
      </c>
      <c r="G737">
        <v>1447.3400879000001</v>
      </c>
      <c r="H737">
        <v>1414.5482178</v>
      </c>
      <c r="I737">
        <v>1256.6164550999999</v>
      </c>
      <c r="J737">
        <v>1220.6069336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365.23303900000002</v>
      </c>
      <c r="B738" s="1">
        <f>DATE(2011,5,1) + TIME(5,35,34)</f>
        <v>40664.233032407406</v>
      </c>
      <c r="C738">
        <v>80</v>
      </c>
      <c r="D738">
        <v>60.942798615000001</v>
      </c>
      <c r="E738">
        <v>50</v>
      </c>
      <c r="F738">
        <v>49.913387299</v>
      </c>
      <c r="G738">
        <v>1446.7127685999999</v>
      </c>
      <c r="H738">
        <v>1414.2857666</v>
      </c>
      <c r="I738">
        <v>1256.6231689000001</v>
      </c>
      <c r="J738">
        <v>1220.6132812000001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365.248448</v>
      </c>
      <c r="B739" s="1">
        <f>DATE(2011,5,1) + TIME(5,57,45)</f>
        <v>40664.248437499999</v>
      </c>
      <c r="C739">
        <v>80</v>
      </c>
      <c r="D739">
        <v>61.626060486</v>
      </c>
      <c r="E739">
        <v>50</v>
      </c>
      <c r="F739">
        <v>49.910694122000002</v>
      </c>
      <c r="G739">
        <v>1446.0939940999999</v>
      </c>
      <c r="H739">
        <v>1414.0236815999999</v>
      </c>
      <c r="I739">
        <v>1256.6281738</v>
      </c>
      <c r="J739">
        <v>1220.6177978999999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365.264432</v>
      </c>
      <c r="B740" s="1">
        <f>DATE(2011,5,1) + TIME(6,20,46)</f>
        <v>40664.264421296299</v>
      </c>
      <c r="C740">
        <v>80</v>
      </c>
      <c r="D740">
        <v>62.307964325</v>
      </c>
      <c r="E740">
        <v>50</v>
      </c>
      <c r="F740">
        <v>49.907920836999999</v>
      </c>
      <c r="G740">
        <v>1445.4835204999999</v>
      </c>
      <c r="H740">
        <v>1413.7624512</v>
      </c>
      <c r="I740">
        <v>1256.6318358999999</v>
      </c>
      <c r="J740">
        <v>1220.6209716999999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365.28103900000002</v>
      </c>
      <c r="B741" s="1">
        <f>DATE(2011,5,1) + TIME(6,44,41)</f>
        <v>40664.281030092592</v>
      </c>
      <c r="C741">
        <v>80</v>
      </c>
      <c r="D741">
        <v>62.988697051999999</v>
      </c>
      <c r="E741">
        <v>50</v>
      </c>
      <c r="F741">
        <v>49.905063628999997</v>
      </c>
      <c r="G741">
        <v>1444.8815918</v>
      </c>
      <c r="H741">
        <v>1413.5023193</v>
      </c>
      <c r="I741">
        <v>1256.6343993999999</v>
      </c>
      <c r="J741">
        <v>1220.6230469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365.29832499999998</v>
      </c>
      <c r="B742" s="1">
        <f>DATE(2011,5,1) + TIME(7,9,35)</f>
        <v>40664.298321759263</v>
      </c>
      <c r="C742">
        <v>80</v>
      </c>
      <c r="D742">
        <v>63.668464661000002</v>
      </c>
      <c r="E742">
        <v>50</v>
      </c>
      <c r="F742">
        <v>49.902114867999998</v>
      </c>
      <c r="G742">
        <v>1444.2880858999999</v>
      </c>
      <c r="H742">
        <v>1413.2434082</v>
      </c>
      <c r="I742">
        <v>1256.6359863</v>
      </c>
      <c r="J742">
        <v>1220.6242675999999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365.31635399999999</v>
      </c>
      <c r="B743" s="1">
        <f>DATE(2011,5,1) + TIME(7,35,33)</f>
        <v>40664.316354166665</v>
      </c>
      <c r="C743">
        <v>80</v>
      </c>
      <c r="D743">
        <v>64.347457886000001</v>
      </c>
      <c r="E743">
        <v>50</v>
      </c>
      <c r="F743">
        <v>49.899066925</v>
      </c>
      <c r="G743">
        <v>1443.7025146000001</v>
      </c>
      <c r="H743">
        <v>1412.9857178</v>
      </c>
      <c r="I743">
        <v>1256.6370850000001</v>
      </c>
      <c r="J743">
        <v>1220.6247559000001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365.33519999999999</v>
      </c>
      <c r="B744" s="1">
        <f>DATE(2011,5,1) + TIME(8,2,41)</f>
        <v>40664.335196759261</v>
      </c>
      <c r="C744">
        <v>80</v>
      </c>
      <c r="D744">
        <v>65.025962829999997</v>
      </c>
      <c r="E744">
        <v>50</v>
      </c>
      <c r="F744">
        <v>49.895908356</v>
      </c>
      <c r="G744">
        <v>1443.1245117000001</v>
      </c>
      <c r="H744">
        <v>1412.7292480000001</v>
      </c>
      <c r="I744">
        <v>1256.6375731999999</v>
      </c>
      <c r="J744">
        <v>1220.6247559000001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365.35495600000002</v>
      </c>
      <c r="B745" s="1">
        <f>DATE(2011,5,1) + TIME(8,31,8)</f>
        <v>40664.354953703703</v>
      </c>
      <c r="C745">
        <v>80</v>
      </c>
      <c r="D745">
        <v>65.704658507999994</v>
      </c>
      <c r="E745">
        <v>50</v>
      </c>
      <c r="F745">
        <v>49.892627716</v>
      </c>
      <c r="G745">
        <v>1442.5535889</v>
      </c>
      <c r="H745">
        <v>1412.4736327999999</v>
      </c>
      <c r="I745">
        <v>1256.6376952999999</v>
      </c>
      <c r="J745">
        <v>1220.6243896000001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365.37570599999998</v>
      </c>
      <c r="B746" s="1">
        <f>DATE(2011,5,1) + TIME(9,1,1)</f>
        <v>40664.375706018516</v>
      </c>
      <c r="C746">
        <v>80</v>
      </c>
      <c r="D746">
        <v>66.383216857999997</v>
      </c>
      <c r="E746">
        <v>50</v>
      </c>
      <c r="F746">
        <v>49.889209747000002</v>
      </c>
      <c r="G746">
        <v>1441.9893798999999</v>
      </c>
      <c r="H746">
        <v>1412.2186279</v>
      </c>
      <c r="I746">
        <v>1256.6374512</v>
      </c>
      <c r="J746">
        <v>1220.6236572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365.39756199999999</v>
      </c>
      <c r="B747" s="1">
        <f>DATE(2011,5,1) + TIME(9,32,29)</f>
        <v>40664.397557870368</v>
      </c>
      <c r="C747">
        <v>80</v>
      </c>
      <c r="D747">
        <v>67.061836243000002</v>
      </c>
      <c r="E747">
        <v>50</v>
      </c>
      <c r="F747">
        <v>49.885650634999998</v>
      </c>
      <c r="G747">
        <v>1441.4311522999999</v>
      </c>
      <c r="H747">
        <v>1411.9641113</v>
      </c>
      <c r="I747">
        <v>1256.6370850000001</v>
      </c>
      <c r="J747">
        <v>1220.6226807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365.42065400000001</v>
      </c>
      <c r="B748" s="1">
        <f>DATE(2011,5,1) + TIME(10,5,44)</f>
        <v>40664.420648148145</v>
      </c>
      <c r="C748">
        <v>80</v>
      </c>
      <c r="D748">
        <v>67.740722656000003</v>
      </c>
      <c r="E748">
        <v>50</v>
      </c>
      <c r="F748">
        <v>49.881923676</v>
      </c>
      <c r="G748">
        <v>1440.8786620999999</v>
      </c>
      <c r="H748">
        <v>1411.7095947</v>
      </c>
      <c r="I748">
        <v>1256.6364745999999</v>
      </c>
      <c r="J748">
        <v>1220.6214600000001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365.445133</v>
      </c>
      <c r="B749" s="1">
        <f>DATE(2011,5,1) + TIME(10,40,59)</f>
        <v>40664.445127314815</v>
      </c>
      <c r="C749">
        <v>80</v>
      </c>
      <c r="D749">
        <v>68.420066833000007</v>
      </c>
      <c r="E749">
        <v>50</v>
      </c>
      <c r="F749">
        <v>49.878013611</v>
      </c>
      <c r="G749">
        <v>1440.3310547000001</v>
      </c>
      <c r="H749">
        <v>1411.4545897999999</v>
      </c>
      <c r="I749">
        <v>1256.6357422000001</v>
      </c>
      <c r="J749">
        <v>1220.6201172000001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365.47117700000001</v>
      </c>
      <c r="B750" s="1">
        <f>DATE(2011,5,1) + TIME(11,18,29)</f>
        <v>40664.471168981479</v>
      </c>
      <c r="C750">
        <v>80</v>
      </c>
      <c r="D750">
        <v>69.099929810000006</v>
      </c>
      <c r="E750">
        <v>50</v>
      </c>
      <c r="F750">
        <v>49.873901367000002</v>
      </c>
      <c r="G750">
        <v>1439.7877197</v>
      </c>
      <c r="H750">
        <v>1411.1988524999999</v>
      </c>
      <c r="I750">
        <v>1256.6347656</v>
      </c>
      <c r="J750">
        <v>1220.6185303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365.499009</v>
      </c>
      <c r="B751" s="1">
        <f>DATE(2011,5,1) + TIME(11,58,34)</f>
        <v>40664.49900462963</v>
      </c>
      <c r="C751">
        <v>80</v>
      </c>
      <c r="D751">
        <v>69.780586243000002</v>
      </c>
      <c r="E751">
        <v>50</v>
      </c>
      <c r="F751">
        <v>49.869552612</v>
      </c>
      <c r="G751">
        <v>1439.2478027</v>
      </c>
      <c r="H751">
        <v>1410.9417725000001</v>
      </c>
      <c r="I751">
        <v>1256.6337891000001</v>
      </c>
      <c r="J751">
        <v>1220.6168213000001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365.52889399999998</v>
      </c>
      <c r="B752" s="1">
        <f>DATE(2011,5,1) + TIME(12,41,36)</f>
        <v>40664.52888888889</v>
      </c>
      <c r="C752">
        <v>80</v>
      </c>
      <c r="D752">
        <v>70.461883545000006</v>
      </c>
      <c r="E752">
        <v>50</v>
      </c>
      <c r="F752">
        <v>49.864936829000001</v>
      </c>
      <c r="G752">
        <v>1438.7105713000001</v>
      </c>
      <c r="H752">
        <v>1410.6824951000001</v>
      </c>
      <c r="I752">
        <v>1256.6326904</v>
      </c>
      <c r="J752">
        <v>1220.6149902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365.56116100000003</v>
      </c>
      <c r="B753" s="1">
        <f>DATE(2011,5,1) + TIME(13,28,4)</f>
        <v>40664.561157407406</v>
      </c>
      <c r="C753">
        <v>80</v>
      </c>
      <c r="D753">
        <v>71.144104003999999</v>
      </c>
      <c r="E753">
        <v>50</v>
      </c>
      <c r="F753">
        <v>49.860015869000001</v>
      </c>
      <c r="G753">
        <v>1438.1751709</v>
      </c>
      <c r="H753">
        <v>1410.4204102000001</v>
      </c>
      <c r="I753">
        <v>1256.6314697</v>
      </c>
      <c r="J753">
        <v>1220.6130370999999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365.59621800000002</v>
      </c>
      <c r="B754" s="1">
        <f>DATE(2011,5,1) + TIME(14,18,33)</f>
        <v>40664.596215277779</v>
      </c>
      <c r="C754">
        <v>80</v>
      </c>
      <c r="D754">
        <v>71.827484131000006</v>
      </c>
      <c r="E754">
        <v>50</v>
      </c>
      <c r="F754">
        <v>49.854740143000001</v>
      </c>
      <c r="G754">
        <v>1437.6405029</v>
      </c>
      <c r="H754">
        <v>1410.1547852000001</v>
      </c>
      <c r="I754">
        <v>1256.6301269999999</v>
      </c>
      <c r="J754">
        <v>1220.6108397999999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365.63459999999998</v>
      </c>
      <c r="B755" s="1">
        <f>DATE(2011,5,1) + TIME(15,13,49)</f>
        <v>40664.634594907409</v>
      </c>
      <c r="C755">
        <v>80</v>
      </c>
      <c r="D755">
        <v>72.512298584000007</v>
      </c>
      <c r="E755">
        <v>50</v>
      </c>
      <c r="F755">
        <v>49.849048615000001</v>
      </c>
      <c r="G755">
        <v>1437.1053466999999</v>
      </c>
      <c r="H755">
        <v>1409.8843993999999</v>
      </c>
      <c r="I755">
        <v>1256.6286620999999</v>
      </c>
      <c r="J755">
        <v>1220.6085204999999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365.67638899999997</v>
      </c>
      <c r="B756" s="1">
        <f>DATE(2011,5,1) + TIME(16,13,59)</f>
        <v>40664.676377314812</v>
      </c>
      <c r="C756">
        <v>80</v>
      </c>
      <c r="D756">
        <v>73.189697265999996</v>
      </c>
      <c r="E756">
        <v>50</v>
      </c>
      <c r="F756">
        <v>49.842933655000003</v>
      </c>
      <c r="G756">
        <v>1436.5738524999999</v>
      </c>
      <c r="H756">
        <v>1409.6102295000001</v>
      </c>
      <c r="I756">
        <v>1256.6269531</v>
      </c>
      <c r="J756">
        <v>1220.605957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365.71961199999998</v>
      </c>
      <c r="B757" s="1">
        <f>DATE(2011,5,1) + TIME(17,16,14)</f>
        <v>40664.719606481478</v>
      </c>
      <c r="C757">
        <v>80</v>
      </c>
      <c r="D757">
        <v>73.824348450000002</v>
      </c>
      <c r="E757">
        <v>50</v>
      </c>
      <c r="F757">
        <v>49.836669921999999</v>
      </c>
      <c r="G757">
        <v>1436.0681152</v>
      </c>
      <c r="H757">
        <v>1409.3414307</v>
      </c>
      <c r="I757">
        <v>1256.6251221</v>
      </c>
      <c r="J757">
        <v>1220.6031493999999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365.76300099999997</v>
      </c>
      <c r="B758" s="1">
        <f>DATE(2011,5,1) + TIME(18,18,43)</f>
        <v>40664.762997685182</v>
      </c>
      <c r="C758">
        <v>80</v>
      </c>
      <c r="D758">
        <v>74.401275635000005</v>
      </c>
      <c r="E758">
        <v>50</v>
      </c>
      <c r="F758">
        <v>49.830425261999999</v>
      </c>
      <c r="G758">
        <v>1435.6007079999999</v>
      </c>
      <c r="H758">
        <v>1409.0859375</v>
      </c>
      <c r="I758">
        <v>1256.6231689000001</v>
      </c>
      <c r="J758">
        <v>1220.6003418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365.80675600000001</v>
      </c>
      <c r="B759" s="1">
        <f>DATE(2011,5,1) + TIME(19,21,43)</f>
        <v>40664.806747685187</v>
      </c>
      <c r="C759">
        <v>80</v>
      </c>
      <c r="D759">
        <v>74.927711486999996</v>
      </c>
      <c r="E759">
        <v>50</v>
      </c>
      <c r="F759">
        <v>49.824169159</v>
      </c>
      <c r="G759">
        <v>1435.168457</v>
      </c>
      <c r="H759">
        <v>1408.8448486</v>
      </c>
      <c r="I759">
        <v>1256.6212158000001</v>
      </c>
      <c r="J759">
        <v>1220.5975341999999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365.85100699999998</v>
      </c>
      <c r="B760" s="1">
        <f>DATE(2011,5,1) + TIME(20,25,27)</f>
        <v>40664.851006944446</v>
      </c>
      <c r="C760">
        <v>80</v>
      </c>
      <c r="D760">
        <v>75.408683776999993</v>
      </c>
      <c r="E760">
        <v>50</v>
      </c>
      <c r="F760">
        <v>49.817886352999999</v>
      </c>
      <c r="G760">
        <v>1434.7667236</v>
      </c>
      <c r="H760">
        <v>1408.6158447</v>
      </c>
      <c r="I760">
        <v>1256.6192627</v>
      </c>
      <c r="J760">
        <v>1220.5947266000001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365.895895</v>
      </c>
      <c r="B761" s="1">
        <f>DATE(2011,5,1) + TIME(21,30,5)</f>
        <v>40664.895891203705</v>
      </c>
      <c r="C761">
        <v>80</v>
      </c>
      <c r="D761">
        <v>75.849052428999997</v>
      </c>
      <c r="E761">
        <v>50</v>
      </c>
      <c r="F761">
        <v>49.81155777</v>
      </c>
      <c r="G761">
        <v>1434.3914795000001</v>
      </c>
      <c r="H761">
        <v>1408.3974608999999</v>
      </c>
      <c r="I761">
        <v>1256.6171875</v>
      </c>
      <c r="J761">
        <v>1220.5917969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365.94154500000002</v>
      </c>
      <c r="B762" s="1">
        <f>DATE(2011,5,1) + TIME(22,35,49)</f>
        <v>40664.94153935185</v>
      </c>
      <c r="C762">
        <v>80</v>
      </c>
      <c r="D762">
        <v>76.252670288000004</v>
      </c>
      <c r="E762">
        <v>50</v>
      </c>
      <c r="F762">
        <v>49.805164337000001</v>
      </c>
      <c r="G762">
        <v>1434.0395507999999</v>
      </c>
      <c r="H762">
        <v>1408.1881103999999</v>
      </c>
      <c r="I762">
        <v>1256.6151123</v>
      </c>
      <c r="J762">
        <v>1220.5888672000001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365.98807499999998</v>
      </c>
      <c r="B763" s="1">
        <f>DATE(2011,5,1) + TIME(23,42,49)</f>
        <v>40664.988067129627</v>
      </c>
      <c r="C763">
        <v>80</v>
      </c>
      <c r="D763">
        <v>76.622756957999997</v>
      </c>
      <c r="E763">
        <v>50</v>
      </c>
      <c r="F763">
        <v>49.798690796000002</v>
      </c>
      <c r="G763">
        <v>1433.7082519999999</v>
      </c>
      <c r="H763">
        <v>1407.9868164</v>
      </c>
      <c r="I763">
        <v>1256.6130370999999</v>
      </c>
      <c r="J763">
        <v>1220.5859375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366.03561500000001</v>
      </c>
      <c r="B764" s="1">
        <f>DATE(2011,5,2) + TIME(0,51,17)</f>
        <v>40665.035613425927</v>
      </c>
      <c r="C764">
        <v>80</v>
      </c>
      <c r="D764">
        <v>76.962181091000005</v>
      </c>
      <c r="E764">
        <v>50</v>
      </c>
      <c r="F764">
        <v>49.792121887</v>
      </c>
      <c r="G764">
        <v>1433.3951416</v>
      </c>
      <c r="H764">
        <v>1407.7923584</v>
      </c>
      <c r="I764">
        <v>1256.6109618999999</v>
      </c>
      <c r="J764">
        <v>1220.5828856999999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366.08430099999998</v>
      </c>
      <c r="B765" s="1">
        <f>DATE(2011,5,2) + TIME(2,1,23)</f>
        <v>40665.084293981483</v>
      </c>
      <c r="C765">
        <v>80</v>
      </c>
      <c r="D765">
        <v>77.273460388000004</v>
      </c>
      <c r="E765">
        <v>50</v>
      </c>
      <c r="F765">
        <v>49.785442351999997</v>
      </c>
      <c r="G765">
        <v>1433.0982666</v>
      </c>
      <c r="H765">
        <v>1407.6037598</v>
      </c>
      <c r="I765">
        <v>1256.6087646000001</v>
      </c>
      <c r="J765">
        <v>1220.5798339999999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366.134274</v>
      </c>
      <c r="B766" s="1">
        <f>DATE(2011,5,2) + TIME(3,13,21)</f>
        <v>40665.134270833332</v>
      </c>
      <c r="C766">
        <v>80</v>
      </c>
      <c r="D766">
        <v>77.558807372999993</v>
      </c>
      <c r="E766">
        <v>50</v>
      </c>
      <c r="F766">
        <v>49.778629303000002</v>
      </c>
      <c r="G766">
        <v>1432.8156738</v>
      </c>
      <c r="H766">
        <v>1407.4204102000001</v>
      </c>
      <c r="I766">
        <v>1256.6065673999999</v>
      </c>
      <c r="J766">
        <v>1220.5766602000001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366.18568599999998</v>
      </c>
      <c r="B767" s="1">
        <f>DATE(2011,5,2) + TIME(4,27,23)</f>
        <v>40665.185682870368</v>
      </c>
      <c r="C767">
        <v>80</v>
      </c>
      <c r="D767">
        <v>77.820198059000006</v>
      </c>
      <c r="E767">
        <v>50</v>
      </c>
      <c r="F767">
        <v>49.771667479999998</v>
      </c>
      <c r="G767">
        <v>1432.5458983999999</v>
      </c>
      <c r="H767">
        <v>1407.2413329999999</v>
      </c>
      <c r="I767">
        <v>1256.6042480000001</v>
      </c>
      <c r="J767">
        <v>1220.5733643000001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366.23870299999999</v>
      </c>
      <c r="B768" s="1">
        <f>DATE(2011,5,2) + TIME(5,43,43)</f>
        <v>40665.238692129627</v>
      </c>
      <c r="C768">
        <v>80</v>
      </c>
      <c r="D768">
        <v>78.059394835999996</v>
      </c>
      <c r="E768">
        <v>50</v>
      </c>
      <c r="F768">
        <v>49.764541626000003</v>
      </c>
      <c r="G768">
        <v>1432.2873535000001</v>
      </c>
      <c r="H768">
        <v>1407.065918</v>
      </c>
      <c r="I768">
        <v>1256.6019286999999</v>
      </c>
      <c r="J768">
        <v>1220.5700684000001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366.29350299999999</v>
      </c>
      <c r="B769" s="1">
        <f>DATE(2011,5,2) + TIME(7,2,38)</f>
        <v>40665.293495370373</v>
      </c>
      <c r="C769">
        <v>80</v>
      </c>
      <c r="D769">
        <v>78.277984618999994</v>
      </c>
      <c r="E769">
        <v>50</v>
      </c>
      <c r="F769">
        <v>49.757225036999998</v>
      </c>
      <c r="G769">
        <v>1432.0388184000001</v>
      </c>
      <c r="H769">
        <v>1406.8936768000001</v>
      </c>
      <c r="I769">
        <v>1256.5994873</v>
      </c>
      <c r="J769">
        <v>1220.5666504000001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366.35028599999998</v>
      </c>
      <c r="B770" s="1">
        <f>DATE(2011,5,2) + TIME(8,24,24)</f>
        <v>40665.350277777776</v>
      </c>
      <c r="C770">
        <v>80</v>
      </c>
      <c r="D770">
        <v>78.477416992000002</v>
      </c>
      <c r="E770">
        <v>50</v>
      </c>
      <c r="F770">
        <v>49.749694824000002</v>
      </c>
      <c r="G770">
        <v>1431.7991943</v>
      </c>
      <c r="H770">
        <v>1406.7238769999999</v>
      </c>
      <c r="I770">
        <v>1256.5969238</v>
      </c>
      <c r="J770">
        <v>1220.5629882999999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366.40928300000002</v>
      </c>
      <c r="B771" s="1">
        <f>DATE(2011,5,2) + TIME(9,49,22)</f>
        <v>40665.409282407411</v>
      </c>
      <c r="C771">
        <v>80</v>
      </c>
      <c r="D771">
        <v>78.659027100000003</v>
      </c>
      <c r="E771">
        <v>50</v>
      </c>
      <c r="F771">
        <v>49.741928100999999</v>
      </c>
      <c r="G771">
        <v>1431.5672606999999</v>
      </c>
      <c r="H771">
        <v>1406.5559082</v>
      </c>
      <c r="I771">
        <v>1256.5942382999999</v>
      </c>
      <c r="J771">
        <v>1220.5593262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366.47076700000002</v>
      </c>
      <c r="B772" s="1">
        <f>DATE(2011,5,2) + TIME(11,17,54)</f>
        <v>40665.470763888887</v>
      </c>
      <c r="C772">
        <v>80</v>
      </c>
      <c r="D772">
        <v>78.824073791999993</v>
      </c>
      <c r="E772">
        <v>50</v>
      </c>
      <c r="F772">
        <v>49.733890533</v>
      </c>
      <c r="G772">
        <v>1431.3419189000001</v>
      </c>
      <c r="H772">
        <v>1406.3891602000001</v>
      </c>
      <c r="I772">
        <v>1256.5915527</v>
      </c>
      <c r="J772">
        <v>1220.5555420000001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366.53499099999999</v>
      </c>
      <c r="B773" s="1">
        <f>DATE(2011,5,2) + TIME(12,50,23)</f>
        <v>40665.534988425927</v>
      </c>
      <c r="C773">
        <v>80</v>
      </c>
      <c r="D773">
        <v>78.973564147999994</v>
      </c>
      <c r="E773">
        <v>50</v>
      </c>
      <c r="F773">
        <v>49.725555419999999</v>
      </c>
      <c r="G773">
        <v>1431.1221923999999</v>
      </c>
      <c r="H773">
        <v>1406.2232666</v>
      </c>
      <c r="I773">
        <v>1256.5886230000001</v>
      </c>
      <c r="J773">
        <v>1220.5515137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366.602281</v>
      </c>
      <c r="B774" s="1">
        <f>DATE(2011,5,2) + TIME(14,27,17)</f>
        <v>40665.602280092593</v>
      </c>
      <c r="C774">
        <v>80</v>
      </c>
      <c r="D774">
        <v>79.108551024999997</v>
      </c>
      <c r="E774">
        <v>50</v>
      </c>
      <c r="F774">
        <v>49.716892242</v>
      </c>
      <c r="G774">
        <v>1430.9073486</v>
      </c>
      <c r="H774">
        <v>1406.0574951000001</v>
      </c>
      <c r="I774">
        <v>1256.5856934000001</v>
      </c>
      <c r="J774">
        <v>1220.5473632999999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366.67301300000003</v>
      </c>
      <c r="B775" s="1">
        <f>DATE(2011,5,2) + TIME(16,9,8)</f>
        <v>40665.673009259262</v>
      </c>
      <c r="C775">
        <v>80</v>
      </c>
      <c r="D775">
        <v>79.229980468999997</v>
      </c>
      <c r="E775">
        <v>50</v>
      </c>
      <c r="F775">
        <v>49.707851410000004</v>
      </c>
      <c r="G775">
        <v>1430.6962891000001</v>
      </c>
      <c r="H775">
        <v>1405.8913574000001</v>
      </c>
      <c r="I775">
        <v>1256.5825195</v>
      </c>
      <c r="J775">
        <v>1220.5429687999999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366.74762299999998</v>
      </c>
      <c r="B776" s="1">
        <f>DATE(2011,5,2) + TIME(17,56,34)</f>
        <v>40665.747615740744</v>
      </c>
      <c r="C776">
        <v>80</v>
      </c>
      <c r="D776">
        <v>79.338768005000006</v>
      </c>
      <c r="E776">
        <v>50</v>
      </c>
      <c r="F776">
        <v>49.698394774999997</v>
      </c>
      <c r="G776">
        <v>1430.4881591999999</v>
      </c>
      <c r="H776">
        <v>1405.7243652</v>
      </c>
      <c r="I776">
        <v>1256.5792236</v>
      </c>
      <c r="J776">
        <v>1220.5383300999999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366.82616200000001</v>
      </c>
      <c r="B777" s="1">
        <f>DATE(2011,5,2) + TIME(19,49,40)</f>
        <v>40665.826157407406</v>
      </c>
      <c r="C777">
        <v>80</v>
      </c>
      <c r="D777">
        <v>79.435272217000005</v>
      </c>
      <c r="E777">
        <v>50</v>
      </c>
      <c r="F777">
        <v>49.688510895</v>
      </c>
      <c r="G777">
        <v>1430.2822266000001</v>
      </c>
      <c r="H777">
        <v>1405.5559082</v>
      </c>
      <c r="I777">
        <v>1256.5756836</v>
      </c>
      <c r="J777">
        <v>1220.5334473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366.90891399999998</v>
      </c>
      <c r="B778" s="1">
        <f>DATE(2011,5,2) + TIME(21,48,50)</f>
        <v>40665.908912037034</v>
      </c>
      <c r="C778">
        <v>80</v>
      </c>
      <c r="D778">
        <v>79.520271300999994</v>
      </c>
      <c r="E778">
        <v>50</v>
      </c>
      <c r="F778">
        <v>49.678173065000003</v>
      </c>
      <c r="G778">
        <v>1430.0784911999999</v>
      </c>
      <c r="H778">
        <v>1405.3861084</v>
      </c>
      <c r="I778">
        <v>1256.5718993999999</v>
      </c>
      <c r="J778">
        <v>1220.5283202999999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366.99619799999999</v>
      </c>
      <c r="B779" s="1">
        <f>DATE(2011,5,2) + TIME(23,54,31)</f>
        <v>40665.996192129627</v>
      </c>
      <c r="C779">
        <v>80</v>
      </c>
      <c r="D779">
        <v>79.594558715999995</v>
      </c>
      <c r="E779">
        <v>50</v>
      </c>
      <c r="F779">
        <v>49.667350769000002</v>
      </c>
      <c r="G779">
        <v>1429.8764647999999</v>
      </c>
      <c r="H779">
        <v>1405.2149658000001</v>
      </c>
      <c r="I779">
        <v>1256.5679932</v>
      </c>
      <c r="J779">
        <v>1220.5229492000001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367.08826199999999</v>
      </c>
      <c r="B780" s="1">
        <f>DATE(2011,5,3) + TIME(2,7,5)</f>
        <v>40666.088252314818</v>
      </c>
      <c r="C780">
        <v>80</v>
      </c>
      <c r="D780">
        <v>79.658912658999995</v>
      </c>
      <c r="E780">
        <v>50</v>
      </c>
      <c r="F780">
        <v>49.656013489000003</v>
      </c>
      <c r="G780">
        <v>1429.6756591999999</v>
      </c>
      <c r="H780">
        <v>1405.0421143000001</v>
      </c>
      <c r="I780">
        <v>1256.5637207</v>
      </c>
      <c r="J780">
        <v>1220.5172118999999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367.18578400000001</v>
      </c>
      <c r="B781" s="1">
        <f>DATE(2011,5,3) + TIME(4,27,31)</f>
        <v>40666.18577546296</v>
      </c>
      <c r="C781">
        <v>80</v>
      </c>
      <c r="D781">
        <v>79.714324950999995</v>
      </c>
      <c r="E781">
        <v>50</v>
      </c>
      <c r="F781">
        <v>49.644096374999997</v>
      </c>
      <c r="G781">
        <v>1429.4757079999999</v>
      </c>
      <c r="H781">
        <v>1404.8674315999999</v>
      </c>
      <c r="I781">
        <v>1256.5593262</v>
      </c>
      <c r="J781">
        <v>1220.5112305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367.287105</v>
      </c>
      <c r="B782" s="1">
        <f>DATE(2011,5,3) + TIME(6,53,25)</f>
        <v>40666.287094907406</v>
      </c>
      <c r="C782">
        <v>80</v>
      </c>
      <c r="D782">
        <v>79.760803222999996</v>
      </c>
      <c r="E782">
        <v>50</v>
      </c>
      <c r="F782">
        <v>49.631763458000002</v>
      </c>
      <c r="G782">
        <v>1429.276001</v>
      </c>
      <c r="H782">
        <v>1404.6904297000001</v>
      </c>
      <c r="I782">
        <v>1256.5545654</v>
      </c>
      <c r="J782">
        <v>1220.5048827999999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367.38860599999998</v>
      </c>
      <c r="B783" s="1">
        <f>DATE(2011,5,3) + TIME(9,19,35)</f>
        <v>40666.388599537036</v>
      </c>
      <c r="C783">
        <v>80</v>
      </c>
      <c r="D783">
        <v>79.798400878999999</v>
      </c>
      <c r="E783">
        <v>50</v>
      </c>
      <c r="F783">
        <v>49.619369507000002</v>
      </c>
      <c r="G783">
        <v>1429.0800781</v>
      </c>
      <c r="H783">
        <v>1404.5145264</v>
      </c>
      <c r="I783">
        <v>1256.5495605000001</v>
      </c>
      <c r="J783">
        <v>1220.4982910000001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367.49063200000001</v>
      </c>
      <c r="B784" s="1">
        <f>DATE(2011,5,3) + TIME(11,46,30)</f>
        <v>40666.490624999999</v>
      </c>
      <c r="C784">
        <v>80</v>
      </c>
      <c r="D784">
        <v>79.828910828000005</v>
      </c>
      <c r="E784">
        <v>50</v>
      </c>
      <c r="F784">
        <v>49.606903076000002</v>
      </c>
      <c r="G784">
        <v>1428.8935547000001</v>
      </c>
      <c r="H784">
        <v>1404.3454589999999</v>
      </c>
      <c r="I784">
        <v>1256.5445557</v>
      </c>
      <c r="J784">
        <v>1220.4916992000001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367.59351299999997</v>
      </c>
      <c r="B785" s="1">
        <f>DATE(2011,5,3) + TIME(14,14,39)</f>
        <v>40666.593506944446</v>
      </c>
      <c r="C785">
        <v>80</v>
      </c>
      <c r="D785">
        <v>79.853713988999999</v>
      </c>
      <c r="E785">
        <v>50</v>
      </c>
      <c r="F785">
        <v>49.594341278000002</v>
      </c>
      <c r="G785">
        <v>1428.7148437999999</v>
      </c>
      <c r="H785">
        <v>1404.1821289</v>
      </c>
      <c r="I785">
        <v>1256.5395507999999</v>
      </c>
      <c r="J785">
        <v>1220.4851074000001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367.69751100000002</v>
      </c>
      <c r="B786" s="1">
        <f>DATE(2011,5,3) + TIME(16,44,24)</f>
        <v>40666.697500000002</v>
      </c>
      <c r="C786">
        <v>80</v>
      </c>
      <c r="D786">
        <v>79.873908997000001</v>
      </c>
      <c r="E786">
        <v>50</v>
      </c>
      <c r="F786">
        <v>49.581665039000001</v>
      </c>
      <c r="G786">
        <v>1428.5427245999999</v>
      </c>
      <c r="H786">
        <v>1404.0236815999999</v>
      </c>
      <c r="I786">
        <v>1256.5344238</v>
      </c>
      <c r="J786">
        <v>1220.4783935999999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367.80291699999998</v>
      </c>
      <c r="B787" s="1">
        <f>DATE(2011,5,3) + TIME(19,16,12)</f>
        <v>40666.802916666667</v>
      </c>
      <c r="C787">
        <v>80</v>
      </c>
      <c r="D787">
        <v>79.890357971</v>
      </c>
      <c r="E787">
        <v>50</v>
      </c>
      <c r="F787">
        <v>49.568851471000002</v>
      </c>
      <c r="G787">
        <v>1428.3760986</v>
      </c>
      <c r="H787">
        <v>1403.8695068</v>
      </c>
      <c r="I787">
        <v>1256.5292969</v>
      </c>
      <c r="J787">
        <v>1220.4716797000001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367.91001699999998</v>
      </c>
      <c r="B788" s="1">
        <f>DATE(2011,5,3) + TIME(21,50,25)</f>
        <v>40666.910011574073</v>
      </c>
      <c r="C788">
        <v>80</v>
      </c>
      <c r="D788">
        <v>79.903770446999999</v>
      </c>
      <c r="E788">
        <v>50</v>
      </c>
      <c r="F788">
        <v>49.555877686000002</v>
      </c>
      <c r="G788">
        <v>1428.2141113</v>
      </c>
      <c r="H788">
        <v>1403.71875</v>
      </c>
      <c r="I788">
        <v>1256.5241699000001</v>
      </c>
      <c r="J788">
        <v>1220.4647216999999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368.01910299999997</v>
      </c>
      <c r="B789" s="1">
        <f>DATE(2011,5,4) + TIME(0,27,30)</f>
        <v>40667.019097222219</v>
      </c>
      <c r="C789">
        <v>80</v>
      </c>
      <c r="D789">
        <v>79.914695739999999</v>
      </c>
      <c r="E789">
        <v>50</v>
      </c>
      <c r="F789">
        <v>49.542716980000002</v>
      </c>
      <c r="G789">
        <v>1428.0561522999999</v>
      </c>
      <c r="H789">
        <v>1403.5710449000001</v>
      </c>
      <c r="I789">
        <v>1256.5189209</v>
      </c>
      <c r="J789">
        <v>1220.4577637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368.13048099999997</v>
      </c>
      <c r="B790" s="1">
        <f>DATE(2011,5,4) + TIME(3,7,53)</f>
        <v>40667.130474537036</v>
      </c>
      <c r="C790">
        <v>80</v>
      </c>
      <c r="D790">
        <v>79.923591614000003</v>
      </c>
      <c r="E790">
        <v>50</v>
      </c>
      <c r="F790">
        <v>49.529342651</v>
      </c>
      <c r="G790">
        <v>1427.9013672000001</v>
      </c>
      <c r="H790">
        <v>1403.4256591999999</v>
      </c>
      <c r="I790">
        <v>1256.5135498</v>
      </c>
      <c r="J790">
        <v>1220.4505615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368.24447199999997</v>
      </c>
      <c r="B791" s="1">
        <f>DATE(2011,5,4) + TIME(5,52,2)</f>
        <v>40667.244467592594</v>
      </c>
      <c r="C791">
        <v>80</v>
      </c>
      <c r="D791">
        <v>79.930831909000005</v>
      </c>
      <c r="E791">
        <v>50</v>
      </c>
      <c r="F791">
        <v>49.515724182</v>
      </c>
      <c r="G791">
        <v>1427.7492675999999</v>
      </c>
      <c r="H791">
        <v>1403.2823486</v>
      </c>
      <c r="I791">
        <v>1256.5080565999999</v>
      </c>
      <c r="J791">
        <v>1220.4433594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368.36142000000001</v>
      </c>
      <c r="B792" s="1">
        <f>DATE(2011,5,4) + TIME(8,40,26)</f>
        <v>40667.36141203704</v>
      </c>
      <c r="C792">
        <v>80</v>
      </c>
      <c r="D792">
        <v>79.936721801999994</v>
      </c>
      <c r="E792">
        <v>50</v>
      </c>
      <c r="F792">
        <v>49.501827239999997</v>
      </c>
      <c r="G792">
        <v>1427.5993652</v>
      </c>
      <c r="H792">
        <v>1403.1405029</v>
      </c>
      <c r="I792">
        <v>1256.5024414</v>
      </c>
      <c r="J792">
        <v>1220.4359131000001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368.48170099999999</v>
      </c>
      <c r="B793" s="1">
        <f>DATE(2011,5,4) + TIME(11,33,39)</f>
        <v>40667.48170138889</v>
      </c>
      <c r="C793">
        <v>80</v>
      </c>
      <c r="D793">
        <v>79.941497803000004</v>
      </c>
      <c r="E793">
        <v>50</v>
      </c>
      <c r="F793">
        <v>49.487613678000002</v>
      </c>
      <c r="G793">
        <v>1427.4509277</v>
      </c>
      <c r="H793">
        <v>1402.9998779</v>
      </c>
      <c r="I793">
        <v>1256.496582</v>
      </c>
      <c r="J793">
        <v>1220.4282227000001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368.60573799999997</v>
      </c>
      <c r="B794" s="1">
        <f>DATE(2011,5,4) + TIME(14,32,15)</f>
        <v>40667.605729166666</v>
      </c>
      <c r="C794">
        <v>80</v>
      </c>
      <c r="D794">
        <v>79.945373535000002</v>
      </c>
      <c r="E794">
        <v>50</v>
      </c>
      <c r="F794">
        <v>49.473049164000003</v>
      </c>
      <c r="G794">
        <v>1427.3038329999999</v>
      </c>
      <c r="H794">
        <v>1402.8601074000001</v>
      </c>
      <c r="I794">
        <v>1256.4907227000001</v>
      </c>
      <c r="J794">
        <v>1220.4204102000001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368.734058</v>
      </c>
      <c r="B795" s="1">
        <f>DATE(2011,5,4) + TIME(17,37,2)</f>
        <v>40667.734050925923</v>
      </c>
      <c r="C795">
        <v>80</v>
      </c>
      <c r="D795">
        <v>79.948509216000005</v>
      </c>
      <c r="E795">
        <v>50</v>
      </c>
      <c r="F795">
        <v>49.458080291999998</v>
      </c>
      <c r="G795">
        <v>1427.1573486</v>
      </c>
      <c r="H795">
        <v>1402.7205810999999</v>
      </c>
      <c r="I795">
        <v>1256.4846190999999</v>
      </c>
      <c r="J795">
        <v>1220.4122314000001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368.86711000000003</v>
      </c>
      <c r="B796" s="1">
        <f>DATE(2011,5,4) + TIME(20,48,38)</f>
        <v>40667.867106481484</v>
      </c>
      <c r="C796">
        <v>80</v>
      </c>
      <c r="D796">
        <v>79.951042174999998</v>
      </c>
      <c r="E796">
        <v>50</v>
      </c>
      <c r="F796">
        <v>49.442657470999997</v>
      </c>
      <c r="G796">
        <v>1427.0111084</v>
      </c>
      <c r="H796">
        <v>1402.5810547000001</v>
      </c>
      <c r="I796">
        <v>1256.4782714999999</v>
      </c>
      <c r="J796">
        <v>1220.4038086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369.00548600000002</v>
      </c>
      <c r="B797" s="1">
        <f>DATE(2011,5,5) + TIME(0,7,53)</f>
        <v>40668.005474537036</v>
      </c>
      <c r="C797">
        <v>80</v>
      </c>
      <c r="D797">
        <v>79.953086853000002</v>
      </c>
      <c r="E797">
        <v>50</v>
      </c>
      <c r="F797">
        <v>49.426731109999999</v>
      </c>
      <c r="G797">
        <v>1426.8647461</v>
      </c>
      <c r="H797">
        <v>1402.4410399999999</v>
      </c>
      <c r="I797">
        <v>1256.4716797000001</v>
      </c>
      <c r="J797">
        <v>1220.3951416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369.14986299999998</v>
      </c>
      <c r="B798" s="1">
        <f>DATE(2011,5,5) + TIME(3,35,48)</f>
        <v>40668.149861111109</v>
      </c>
      <c r="C798">
        <v>80</v>
      </c>
      <c r="D798">
        <v>79.954734802000004</v>
      </c>
      <c r="E798">
        <v>50</v>
      </c>
      <c r="F798">
        <v>49.410236359000002</v>
      </c>
      <c r="G798">
        <v>1426.7177733999999</v>
      </c>
      <c r="H798">
        <v>1402.300293</v>
      </c>
      <c r="I798">
        <v>1256.4647216999999</v>
      </c>
      <c r="J798">
        <v>1220.3861084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369.30084299999999</v>
      </c>
      <c r="B799" s="1">
        <f>DATE(2011,5,5) + TIME(7,13,12)</f>
        <v>40668.300833333335</v>
      </c>
      <c r="C799">
        <v>80</v>
      </c>
      <c r="D799">
        <v>79.956062317000004</v>
      </c>
      <c r="E799">
        <v>50</v>
      </c>
      <c r="F799">
        <v>49.393112183</v>
      </c>
      <c r="G799">
        <v>1426.5697021000001</v>
      </c>
      <c r="H799">
        <v>1402.1583252</v>
      </c>
      <c r="I799">
        <v>1256.4576416</v>
      </c>
      <c r="J799">
        <v>1220.3765868999999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369.45905299999998</v>
      </c>
      <c r="B800" s="1">
        <f>DATE(2011,5,5) + TIME(11,1,2)</f>
        <v>40668.459050925929</v>
      </c>
      <c r="C800">
        <v>80</v>
      </c>
      <c r="D800">
        <v>79.957122803000004</v>
      </c>
      <c r="E800">
        <v>50</v>
      </c>
      <c r="F800">
        <v>49.375297545999999</v>
      </c>
      <c r="G800">
        <v>1426.4202881000001</v>
      </c>
      <c r="H800">
        <v>1402.0148925999999</v>
      </c>
      <c r="I800">
        <v>1256.4500731999999</v>
      </c>
      <c r="J800">
        <v>1220.3666992000001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369.62546400000002</v>
      </c>
      <c r="B801" s="1">
        <f>DATE(2011,5,5) + TIME(15,0,40)</f>
        <v>40668.625462962962</v>
      </c>
      <c r="C801">
        <v>80</v>
      </c>
      <c r="D801">
        <v>79.957977295000006</v>
      </c>
      <c r="E801">
        <v>50</v>
      </c>
      <c r="F801">
        <v>49.356708527000002</v>
      </c>
      <c r="G801">
        <v>1426.2694091999999</v>
      </c>
      <c r="H801">
        <v>1401.869751</v>
      </c>
      <c r="I801">
        <v>1256.4422606999999</v>
      </c>
      <c r="J801">
        <v>1220.3563231999999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369.79968700000001</v>
      </c>
      <c r="B802" s="1">
        <f>DATE(2011,5,5) + TIME(19,11,32)</f>
        <v>40668.799675925926</v>
      </c>
      <c r="C802">
        <v>80</v>
      </c>
      <c r="D802">
        <v>79.958663939999994</v>
      </c>
      <c r="E802">
        <v>50</v>
      </c>
      <c r="F802">
        <v>49.337360382</v>
      </c>
      <c r="G802">
        <v>1426.1162108999999</v>
      </c>
      <c r="H802">
        <v>1401.7224120999999</v>
      </c>
      <c r="I802">
        <v>1256.4338379000001</v>
      </c>
      <c r="J802">
        <v>1220.3454589999999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369.97398299999998</v>
      </c>
      <c r="B803" s="1">
        <f>DATE(2011,5,5) + TIME(23,22,32)</f>
        <v>40668.973981481482</v>
      </c>
      <c r="C803">
        <v>80</v>
      </c>
      <c r="D803">
        <v>79.959190368999998</v>
      </c>
      <c r="E803">
        <v>50</v>
      </c>
      <c r="F803">
        <v>49.317863463999998</v>
      </c>
      <c r="G803">
        <v>1425.9616699000001</v>
      </c>
      <c r="H803">
        <v>1401.5734863</v>
      </c>
      <c r="I803">
        <v>1256.4250488</v>
      </c>
      <c r="J803">
        <v>1220.3341064000001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370.14895000000001</v>
      </c>
      <c r="B804" s="1">
        <f>DATE(2011,5,6) + TIME(3,34,29)</f>
        <v>40669.148946759262</v>
      </c>
      <c r="C804">
        <v>80</v>
      </c>
      <c r="D804">
        <v>79.959602356000005</v>
      </c>
      <c r="E804">
        <v>50</v>
      </c>
      <c r="F804">
        <v>49.298240661999998</v>
      </c>
      <c r="G804">
        <v>1425.8126221</v>
      </c>
      <c r="H804">
        <v>1401.4296875</v>
      </c>
      <c r="I804">
        <v>1256.4161377</v>
      </c>
      <c r="J804">
        <v>1220.3226318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370.32517200000001</v>
      </c>
      <c r="B805" s="1">
        <f>DATE(2011,5,6) + TIME(7,48,14)</f>
        <v>40669.325162037036</v>
      </c>
      <c r="C805">
        <v>80</v>
      </c>
      <c r="D805">
        <v>79.959922790999997</v>
      </c>
      <c r="E805">
        <v>50</v>
      </c>
      <c r="F805">
        <v>49.278476714999996</v>
      </c>
      <c r="G805">
        <v>1425.6682129000001</v>
      </c>
      <c r="H805">
        <v>1401.2901611</v>
      </c>
      <c r="I805">
        <v>1256.4072266000001</v>
      </c>
      <c r="J805">
        <v>1220.3111572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370.50320799999997</v>
      </c>
      <c r="B806" s="1">
        <f>DATE(2011,5,6) + TIME(12,4,37)</f>
        <v>40669.503206018519</v>
      </c>
      <c r="C806">
        <v>80</v>
      </c>
      <c r="D806">
        <v>79.960182189999998</v>
      </c>
      <c r="E806">
        <v>50</v>
      </c>
      <c r="F806">
        <v>49.258560181</v>
      </c>
      <c r="G806">
        <v>1425.527832</v>
      </c>
      <c r="H806">
        <v>1401.1544189000001</v>
      </c>
      <c r="I806">
        <v>1256.3983154</v>
      </c>
      <c r="J806">
        <v>1220.2995605000001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370.68361700000003</v>
      </c>
      <c r="B807" s="1">
        <f>DATE(2011,5,6) + TIME(16,24,24)</f>
        <v>40669.683611111112</v>
      </c>
      <c r="C807">
        <v>80</v>
      </c>
      <c r="D807">
        <v>79.960395813000005</v>
      </c>
      <c r="E807">
        <v>50</v>
      </c>
      <c r="F807">
        <v>49.238456726000003</v>
      </c>
      <c r="G807">
        <v>1425.390625</v>
      </c>
      <c r="H807">
        <v>1401.0217285000001</v>
      </c>
      <c r="I807">
        <v>1256.3892822</v>
      </c>
      <c r="J807">
        <v>1220.2878418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370.866961</v>
      </c>
      <c r="B808" s="1">
        <f>DATE(2011,5,6) + TIME(20,48,25)</f>
        <v>40669.866956018515</v>
      </c>
      <c r="C808">
        <v>80</v>
      </c>
      <c r="D808">
        <v>79.960563660000005</v>
      </c>
      <c r="E808">
        <v>50</v>
      </c>
      <c r="F808">
        <v>49.218120575</v>
      </c>
      <c r="G808">
        <v>1425.2561035000001</v>
      </c>
      <c r="H808">
        <v>1400.8916016000001</v>
      </c>
      <c r="I808">
        <v>1256.3801269999999</v>
      </c>
      <c r="J808">
        <v>1220.276001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371.05382200000003</v>
      </c>
      <c r="B809" s="1">
        <f>DATE(2011,5,7) + TIME(1,17,30)</f>
        <v>40670.053819444445</v>
      </c>
      <c r="C809">
        <v>80</v>
      </c>
      <c r="D809">
        <v>79.960708617999998</v>
      </c>
      <c r="E809">
        <v>50</v>
      </c>
      <c r="F809">
        <v>49.197517394999998</v>
      </c>
      <c r="G809">
        <v>1425.1239014</v>
      </c>
      <c r="H809">
        <v>1400.7634277</v>
      </c>
      <c r="I809">
        <v>1256.3708495999999</v>
      </c>
      <c r="J809">
        <v>1220.2637939000001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371.24399499999998</v>
      </c>
      <c r="B810" s="1">
        <f>DATE(2011,5,7) + TIME(5,51,21)</f>
        <v>40670.243993055556</v>
      </c>
      <c r="C810">
        <v>80</v>
      </c>
      <c r="D810">
        <v>79.960830688000001</v>
      </c>
      <c r="E810">
        <v>50</v>
      </c>
      <c r="F810">
        <v>49.176651001000003</v>
      </c>
      <c r="G810">
        <v>1424.9932861</v>
      </c>
      <c r="H810">
        <v>1400.6368408000001</v>
      </c>
      <c r="I810">
        <v>1256.3613281</v>
      </c>
      <c r="J810">
        <v>1220.2514647999999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371.43799899999999</v>
      </c>
      <c r="B811" s="1">
        <f>DATE(2011,5,7) + TIME(10,30,43)</f>
        <v>40670.437997685185</v>
      </c>
      <c r="C811">
        <v>80</v>
      </c>
      <c r="D811">
        <v>79.960929871000005</v>
      </c>
      <c r="E811">
        <v>50</v>
      </c>
      <c r="F811">
        <v>49.155483246000003</v>
      </c>
      <c r="G811">
        <v>1424.8645019999999</v>
      </c>
      <c r="H811">
        <v>1400.5118408000001</v>
      </c>
      <c r="I811">
        <v>1256.3515625</v>
      </c>
      <c r="J811">
        <v>1220.2388916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371.63642199999998</v>
      </c>
      <c r="B812" s="1">
        <f>DATE(2011,5,7) + TIME(15,16,26)</f>
        <v>40670.636412037034</v>
      </c>
      <c r="C812">
        <v>80</v>
      </c>
      <c r="D812">
        <v>79.961013793999996</v>
      </c>
      <c r="E812">
        <v>50</v>
      </c>
      <c r="F812">
        <v>49.133964538999997</v>
      </c>
      <c r="G812">
        <v>1424.7371826000001</v>
      </c>
      <c r="H812">
        <v>1400.3881836</v>
      </c>
      <c r="I812">
        <v>1256.3416748</v>
      </c>
      <c r="J812">
        <v>1220.2260742000001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371.83989800000001</v>
      </c>
      <c r="B813" s="1">
        <f>DATE(2011,5,7) + TIME(20,9,27)</f>
        <v>40670.839895833335</v>
      </c>
      <c r="C813">
        <v>80</v>
      </c>
      <c r="D813">
        <v>79.961082458000007</v>
      </c>
      <c r="E813">
        <v>50</v>
      </c>
      <c r="F813">
        <v>49.112041472999998</v>
      </c>
      <c r="G813">
        <v>1424.6109618999999</v>
      </c>
      <c r="H813">
        <v>1400.2655029</v>
      </c>
      <c r="I813">
        <v>1256.331543</v>
      </c>
      <c r="J813">
        <v>1220.2128906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372.04916400000002</v>
      </c>
      <c r="B814" s="1">
        <f>DATE(2011,5,8) + TIME(1,10,47)</f>
        <v>40671.049155092594</v>
      </c>
      <c r="C814">
        <v>80</v>
      </c>
      <c r="D814">
        <v>79.961143493999998</v>
      </c>
      <c r="E814">
        <v>50</v>
      </c>
      <c r="F814">
        <v>49.089653015000003</v>
      </c>
      <c r="G814">
        <v>1424.4853516000001</v>
      </c>
      <c r="H814">
        <v>1400.1434326000001</v>
      </c>
      <c r="I814">
        <v>1256.3211670000001</v>
      </c>
      <c r="J814">
        <v>1220.1993408000001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372.26504899999998</v>
      </c>
      <c r="B815" s="1">
        <f>DATE(2011,5,8) + TIME(6,21,40)</f>
        <v>40671.265046296299</v>
      </c>
      <c r="C815">
        <v>80</v>
      </c>
      <c r="D815">
        <v>79.961196899000001</v>
      </c>
      <c r="E815">
        <v>50</v>
      </c>
      <c r="F815">
        <v>49.066726684999999</v>
      </c>
      <c r="G815">
        <v>1424.3601074000001</v>
      </c>
      <c r="H815">
        <v>1400.0216064000001</v>
      </c>
      <c r="I815">
        <v>1256.3104248</v>
      </c>
      <c r="J815">
        <v>1220.1854248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372.488225</v>
      </c>
      <c r="B816" s="1">
        <f>DATE(2011,5,8) + TIME(11,43,2)</f>
        <v>40671.488217592596</v>
      </c>
      <c r="C816">
        <v>80</v>
      </c>
      <c r="D816">
        <v>79.961250304999993</v>
      </c>
      <c r="E816">
        <v>50</v>
      </c>
      <c r="F816">
        <v>49.043197632000002</v>
      </c>
      <c r="G816">
        <v>1424.2347411999999</v>
      </c>
      <c r="H816">
        <v>1399.8996582</v>
      </c>
      <c r="I816">
        <v>1256.2993164</v>
      </c>
      <c r="J816">
        <v>1220.1711425999999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372.718682</v>
      </c>
      <c r="B817" s="1">
        <f>DATE(2011,5,8) + TIME(17,14,54)</f>
        <v>40671.718680555554</v>
      </c>
      <c r="C817">
        <v>80</v>
      </c>
      <c r="D817">
        <v>79.961288452000005</v>
      </c>
      <c r="E817">
        <v>50</v>
      </c>
      <c r="F817">
        <v>49.019050598</v>
      </c>
      <c r="G817">
        <v>1424.1091309000001</v>
      </c>
      <c r="H817">
        <v>1399.7772216999999</v>
      </c>
      <c r="I817">
        <v>1256.2878418</v>
      </c>
      <c r="J817">
        <v>1220.15625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372.95734499999998</v>
      </c>
      <c r="B818" s="1">
        <f>DATE(2011,5,8) + TIME(22,58,34)</f>
        <v>40671.957337962966</v>
      </c>
      <c r="C818">
        <v>80</v>
      </c>
      <c r="D818">
        <v>79.961326599000003</v>
      </c>
      <c r="E818">
        <v>50</v>
      </c>
      <c r="F818">
        <v>48.994213104000004</v>
      </c>
      <c r="G818">
        <v>1423.9832764</v>
      </c>
      <c r="H818">
        <v>1399.6545410000001</v>
      </c>
      <c r="I818">
        <v>1256.2758789</v>
      </c>
      <c r="J818">
        <v>1220.1408690999999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373.20459599999998</v>
      </c>
      <c r="B819" s="1">
        <f>DATE(2011,5,9) + TIME(4,54,37)</f>
        <v>40672.204594907409</v>
      </c>
      <c r="C819">
        <v>80</v>
      </c>
      <c r="D819">
        <v>79.961357117000006</v>
      </c>
      <c r="E819">
        <v>50</v>
      </c>
      <c r="F819">
        <v>48.968650818</v>
      </c>
      <c r="G819">
        <v>1423.8568115</v>
      </c>
      <c r="H819">
        <v>1399.5313721</v>
      </c>
      <c r="I819">
        <v>1256.2635498</v>
      </c>
      <c r="J819">
        <v>1220.1248779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373.45255200000003</v>
      </c>
      <c r="B820" s="1">
        <f>DATE(2011,5,9) + TIME(10,51,40)</f>
        <v>40672.452546296299</v>
      </c>
      <c r="C820">
        <v>80</v>
      </c>
      <c r="D820">
        <v>79.961380004999995</v>
      </c>
      <c r="E820">
        <v>50</v>
      </c>
      <c r="F820">
        <v>48.942874908</v>
      </c>
      <c r="G820">
        <v>1423.7298584</v>
      </c>
      <c r="H820">
        <v>1399.4074707</v>
      </c>
      <c r="I820">
        <v>1256.2506103999999</v>
      </c>
      <c r="J820">
        <v>1220.1083983999999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373.70201800000001</v>
      </c>
      <c r="B821" s="1">
        <f>DATE(2011,5,9) + TIME(16,50,54)</f>
        <v>40672.702013888891</v>
      </c>
      <c r="C821">
        <v>80</v>
      </c>
      <c r="D821">
        <v>79.961410521999994</v>
      </c>
      <c r="E821">
        <v>50</v>
      </c>
      <c r="F821">
        <v>48.916923523000001</v>
      </c>
      <c r="G821">
        <v>1423.6063231999999</v>
      </c>
      <c r="H821">
        <v>1399.2868652</v>
      </c>
      <c r="I821">
        <v>1256.2375488</v>
      </c>
      <c r="J821">
        <v>1220.0917969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373.953777</v>
      </c>
      <c r="B822" s="1">
        <f>DATE(2011,5,9) + TIME(22,53,26)</f>
        <v>40672.953773148147</v>
      </c>
      <c r="C822">
        <v>80</v>
      </c>
      <c r="D822">
        <v>79.961425781000003</v>
      </c>
      <c r="E822">
        <v>50</v>
      </c>
      <c r="F822">
        <v>48.890800476000003</v>
      </c>
      <c r="G822">
        <v>1423.4857178</v>
      </c>
      <c r="H822">
        <v>1399.1690673999999</v>
      </c>
      <c r="I822">
        <v>1256.2244873</v>
      </c>
      <c r="J822">
        <v>1220.0750731999999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374.20860399999998</v>
      </c>
      <c r="B823" s="1">
        <f>DATE(2011,5,10) + TIME(5,0,23)</f>
        <v>40673.208599537036</v>
      </c>
      <c r="C823">
        <v>80</v>
      </c>
      <c r="D823">
        <v>79.961448669000006</v>
      </c>
      <c r="E823">
        <v>50</v>
      </c>
      <c r="F823">
        <v>48.864479064999998</v>
      </c>
      <c r="G823">
        <v>1423.3675536999999</v>
      </c>
      <c r="H823">
        <v>1399.0535889</v>
      </c>
      <c r="I823">
        <v>1256.2113036999999</v>
      </c>
      <c r="J823">
        <v>1220.0581055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374.46727900000002</v>
      </c>
      <c r="B824" s="1">
        <f>DATE(2011,5,10) + TIME(11,12,52)</f>
        <v>40673.467268518521</v>
      </c>
      <c r="C824">
        <v>80</v>
      </c>
      <c r="D824">
        <v>79.961463928000001</v>
      </c>
      <c r="E824">
        <v>50</v>
      </c>
      <c r="F824">
        <v>48.837909697999997</v>
      </c>
      <c r="G824">
        <v>1423.2513428</v>
      </c>
      <c r="H824">
        <v>1398.9400635</v>
      </c>
      <c r="I824">
        <v>1256.197876</v>
      </c>
      <c r="J824">
        <v>1220.0408935999999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374.73061999999999</v>
      </c>
      <c r="B825" s="1">
        <f>DATE(2011,5,10) + TIME(17,32,5)</f>
        <v>40673.730613425927</v>
      </c>
      <c r="C825">
        <v>80</v>
      </c>
      <c r="D825">
        <v>79.961479186999995</v>
      </c>
      <c r="E825">
        <v>50</v>
      </c>
      <c r="F825">
        <v>48.811042786000002</v>
      </c>
      <c r="G825">
        <v>1423.1365966999999</v>
      </c>
      <c r="H825">
        <v>1398.8278809000001</v>
      </c>
      <c r="I825">
        <v>1256.1843262</v>
      </c>
      <c r="J825">
        <v>1220.0234375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374.99949199999998</v>
      </c>
      <c r="B826" s="1">
        <f>DATE(2011,5,10) + TIME(23,59,16)</f>
        <v>40673.999490740738</v>
      </c>
      <c r="C826">
        <v>80</v>
      </c>
      <c r="D826">
        <v>79.961494446000003</v>
      </c>
      <c r="E826">
        <v>50</v>
      </c>
      <c r="F826">
        <v>48.783802031999997</v>
      </c>
      <c r="G826">
        <v>1423.0230713000001</v>
      </c>
      <c r="H826">
        <v>1398.7167969</v>
      </c>
      <c r="I826">
        <v>1256.1704102000001</v>
      </c>
      <c r="J826">
        <v>1220.0054932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375.27390600000001</v>
      </c>
      <c r="B827" s="1">
        <f>DATE(2011,5,11) + TIME(6,34,25)</f>
        <v>40674.273900462962</v>
      </c>
      <c r="C827">
        <v>80</v>
      </c>
      <c r="D827">
        <v>79.961509704999997</v>
      </c>
      <c r="E827">
        <v>50</v>
      </c>
      <c r="F827">
        <v>48.756175995</v>
      </c>
      <c r="G827">
        <v>1422.9104004000001</v>
      </c>
      <c r="H827">
        <v>1398.6064452999999</v>
      </c>
      <c r="I827">
        <v>1256.1561279</v>
      </c>
      <c r="J827">
        <v>1219.9871826000001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375.55295899999999</v>
      </c>
      <c r="B828" s="1">
        <f>DATE(2011,5,11) + TIME(13,16,15)</f>
        <v>40674.552951388891</v>
      </c>
      <c r="C828">
        <v>80</v>
      </c>
      <c r="D828">
        <v>79.961524963000002</v>
      </c>
      <c r="E828">
        <v>50</v>
      </c>
      <c r="F828">
        <v>48.728210449000002</v>
      </c>
      <c r="G828">
        <v>1422.7984618999999</v>
      </c>
      <c r="H828">
        <v>1398.4969481999999</v>
      </c>
      <c r="I828">
        <v>1256.1414795000001</v>
      </c>
      <c r="J828">
        <v>1219.9685059000001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375.83749699999998</v>
      </c>
      <c r="B829" s="1">
        <f>DATE(2011,5,11) + TIME(20,5,59)</f>
        <v>40674.837488425925</v>
      </c>
      <c r="C829">
        <v>80</v>
      </c>
      <c r="D829">
        <v>79.961540221999996</v>
      </c>
      <c r="E829">
        <v>50</v>
      </c>
      <c r="F829">
        <v>48.699859619000001</v>
      </c>
      <c r="G829">
        <v>1422.6876221</v>
      </c>
      <c r="H829">
        <v>1398.3884277</v>
      </c>
      <c r="I829">
        <v>1256.1265868999999</v>
      </c>
      <c r="J829">
        <v>1219.9494629000001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376.12839400000001</v>
      </c>
      <c r="B830" s="1">
        <f>DATE(2011,5,12) + TIME(3,4,53)</f>
        <v>40675.128391203703</v>
      </c>
      <c r="C830">
        <v>80</v>
      </c>
      <c r="D830">
        <v>79.961555481000005</v>
      </c>
      <c r="E830">
        <v>50</v>
      </c>
      <c r="F830">
        <v>48.671070098999998</v>
      </c>
      <c r="G830">
        <v>1422.5777588000001</v>
      </c>
      <c r="H830">
        <v>1398.2807617000001</v>
      </c>
      <c r="I830">
        <v>1256.1114502</v>
      </c>
      <c r="J830">
        <v>1219.9300536999999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376.42661099999998</v>
      </c>
      <c r="B831" s="1">
        <f>DATE(2011,5,12) + TIME(10,14,19)</f>
        <v>40675.426608796297</v>
      </c>
      <c r="C831">
        <v>80</v>
      </c>
      <c r="D831">
        <v>79.96156311</v>
      </c>
      <c r="E831">
        <v>50</v>
      </c>
      <c r="F831">
        <v>48.641765593999999</v>
      </c>
      <c r="G831">
        <v>1422.4683838000001</v>
      </c>
      <c r="H831">
        <v>1398.1735839999999</v>
      </c>
      <c r="I831">
        <v>1256.0958252</v>
      </c>
      <c r="J831">
        <v>1219.9100341999999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376.73338699999999</v>
      </c>
      <c r="B832" s="1">
        <f>DATE(2011,5,12) + TIME(17,36,4)</f>
        <v>40675.73337962963</v>
      </c>
      <c r="C832">
        <v>80</v>
      </c>
      <c r="D832">
        <v>79.961578368999994</v>
      </c>
      <c r="E832">
        <v>50</v>
      </c>
      <c r="F832">
        <v>48.611862183</v>
      </c>
      <c r="G832">
        <v>1422.3592529</v>
      </c>
      <c r="H832">
        <v>1398.0665283000001</v>
      </c>
      <c r="I832">
        <v>1256.0798339999999</v>
      </c>
      <c r="J832">
        <v>1219.8895264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377.04970700000001</v>
      </c>
      <c r="B833" s="1">
        <f>DATE(2011,5,13) + TIME(1,11,34)</f>
        <v>40676.049699074072</v>
      </c>
      <c r="C833">
        <v>80</v>
      </c>
      <c r="D833">
        <v>79.961593628000003</v>
      </c>
      <c r="E833">
        <v>50</v>
      </c>
      <c r="F833">
        <v>48.581272124999998</v>
      </c>
      <c r="G833">
        <v>1422.2498779</v>
      </c>
      <c r="H833">
        <v>1397.9593506000001</v>
      </c>
      <c r="I833">
        <v>1256.0632324000001</v>
      </c>
      <c r="J833">
        <v>1219.8682861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377.37541800000002</v>
      </c>
      <c r="B834" s="1">
        <f>DATE(2011,5,13) + TIME(9,0,36)</f>
        <v>40676.375416666669</v>
      </c>
      <c r="C834">
        <v>80</v>
      </c>
      <c r="D834">
        <v>79.961608886999997</v>
      </c>
      <c r="E834">
        <v>50</v>
      </c>
      <c r="F834">
        <v>48.549976348999998</v>
      </c>
      <c r="G834">
        <v>1422.1401367000001</v>
      </c>
      <c r="H834">
        <v>1397.8518065999999</v>
      </c>
      <c r="I834">
        <v>1256.0461425999999</v>
      </c>
      <c r="J834">
        <v>1219.8464355000001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377.71043400000002</v>
      </c>
      <c r="B835" s="1">
        <f>DATE(2011,5,13) + TIME(17,3,1)</f>
        <v>40676.710428240738</v>
      </c>
      <c r="C835">
        <v>80</v>
      </c>
      <c r="D835">
        <v>79.961624146000005</v>
      </c>
      <c r="E835">
        <v>50</v>
      </c>
      <c r="F835">
        <v>48.517967224000003</v>
      </c>
      <c r="G835">
        <v>1422.0301514</v>
      </c>
      <c r="H835">
        <v>1397.7438964999999</v>
      </c>
      <c r="I835">
        <v>1256.0284423999999</v>
      </c>
      <c r="J835">
        <v>1219.8238524999999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378.047076</v>
      </c>
      <c r="B836" s="1">
        <f>DATE(2011,5,14) + TIME(1,7,47)</f>
        <v>40677.047071759262</v>
      </c>
      <c r="C836">
        <v>80</v>
      </c>
      <c r="D836">
        <v>79.961631775000001</v>
      </c>
      <c r="E836">
        <v>50</v>
      </c>
      <c r="F836">
        <v>48.485668181999998</v>
      </c>
      <c r="G836">
        <v>1421.9200439000001</v>
      </c>
      <c r="H836">
        <v>1397.6358643000001</v>
      </c>
      <c r="I836">
        <v>1256.0100098</v>
      </c>
      <c r="J836">
        <v>1219.8005370999999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378.38642099999998</v>
      </c>
      <c r="B837" s="1">
        <f>DATE(2011,5,14) + TIME(9,16,26)</f>
        <v>40677.386412037034</v>
      </c>
      <c r="C837">
        <v>80</v>
      </c>
      <c r="D837">
        <v>79.961647033999995</v>
      </c>
      <c r="E837">
        <v>50</v>
      </c>
      <c r="F837">
        <v>48.453155518000003</v>
      </c>
      <c r="G837">
        <v>1421.8122559000001</v>
      </c>
      <c r="H837">
        <v>1397.5301514</v>
      </c>
      <c r="I837">
        <v>1255.9914550999999</v>
      </c>
      <c r="J837">
        <v>1219.7769774999999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378.72952099999998</v>
      </c>
      <c r="B838" s="1">
        <f>DATE(2011,5,14) + TIME(17,30,30)</f>
        <v>40677.729513888888</v>
      </c>
      <c r="C838">
        <v>80</v>
      </c>
      <c r="D838">
        <v>79.961662292</v>
      </c>
      <c r="E838">
        <v>50</v>
      </c>
      <c r="F838">
        <v>48.420425414999997</v>
      </c>
      <c r="G838">
        <v>1421.706543</v>
      </c>
      <c r="H838">
        <v>1397.4262695</v>
      </c>
      <c r="I838">
        <v>1255.9727783000001</v>
      </c>
      <c r="J838">
        <v>1219.7531738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379.07743199999999</v>
      </c>
      <c r="B839" s="1">
        <f>DATE(2011,5,15) + TIME(1,51,30)</f>
        <v>40678.077430555553</v>
      </c>
      <c r="C839">
        <v>80</v>
      </c>
      <c r="D839">
        <v>79.961677550999994</v>
      </c>
      <c r="E839">
        <v>50</v>
      </c>
      <c r="F839">
        <v>48.387443542</v>
      </c>
      <c r="G839">
        <v>1421.6022949000001</v>
      </c>
      <c r="H839">
        <v>1397.3239745999999</v>
      </c>
      <c r="I839">
        <v>1255.9537353999999</v>
      </c>
      <c r="J839">
        <v>1219.7290039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379.43125500000002</v>
      </c>
      <c r="B840" s="1">
        <f>DATE(2011,5,15) + TIME(10,21,0)</f>
        <v>40678.431250000001</v>
      </c>
      <c r="C840">
        <v>80</v>
      </c>
      <c r="D840">
        <v>79.961692810000002</v>
      </c>
      <c r="E840">
        <v>50</v>
      </c>
      <c r="F840">
        <v>48.35414505</v>
      </c>
      <c r="G840">
        <v>1421.4993896000001</v>
      </c>
      <c r="H840">
        <v>1397.2229004000001</v>
      </c>
      <c r="I840">
        <v>1255.9344481999999</v>
      </c>
      <c r="J840">
        <v>1219.7043457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379.792148</v>
      </c>
      <c r="B841" s="1">
        <f>DATE(2011,5,15) + TIME(19,0,41)</f>
        <v>40678.792141203703</v>
      </c>
      <c r="C841">
        <v>80</v>
      </c>
      <c r="D841">
        <v>79.961708068999997</v>
      </c>
      <c r="E841">
        <v>50</v>
      </c>
      <c r="F841">
        <v>48.320449828999998</v>
      </c>
      <c r="G841">
        <v>1421.3972168</v>
      </c>
      <c r="H841">
        <v>1397.1226807</v>
      </c>
      <c r="I841">
        <v>1255.9146728999999</v>
      </c>
      <c r="J841">
        <v>1219.6791992000001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380.16157299999998</v>
      </c>
      <c r="B842" s="1">
        <f>DATE(2011,5,16) + TIME(3,52,39)</f>
        <v>40679.161562499998</v>
      </c>
      <c r="C842">
        <v>80</v>
      </c>
      <c r="D842">
        <v>79.961723328000005</v>
      </c>
      <c r="E842">
        <v>50</v>
      </c>
      <c r="F842">
        <v>48.286251067999999</v>
      </c>
      <c r="G842">
        <v>1421.2956543</v>
      </c>
      <c r="H842">
        <v>1397.0228271000001</v>
      </c>
      <c r="I842">
        <v>1255.8945312000001</v>
      </c>
      <c r="J842">
        <v>1219.6534423999999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380.53567399999997</v>
      </c>
      <c r="B843" s="1">
        <f>DATE(2011,5,16) + TIME(12,51,22)</f>
        <v>40679.535671296297</v>
      </c>
      <c r="C843">
        <v>80</v>
      </c>
      <c r="D843">
        <v>79.961738585999996</v>
      </c>
      <c r="E843">
        <v>50</v>
      </c>
      <c r="F843">
        <v>48.251708983999997</v>
      </c>
      <c r="G843">
        <v>1421.1942139</v>
      </c>
      <c r="H843">
        <v>1396.9232178</v>
      </c>
      <c r="I843">
        <v>1255.8736572</v>
      </c>
      <c r="J843">
        <v>1219.6269531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380.91538700000001</v>
      </c>
      <c r="B844" s="1">
        <f>DATE(2011,5,16) + TIME(21,58,9)</f>
        <v>40679.915381944447</v>
      </c>
      <c r="C844">
        <v>80</v>
      </c>
      <c r="D844">
        <v>79.961753845000004</v>
      </c>
      <c r="E844">
        <v>50</v>
      </c>
      <c r="F844">
        <v>48.216827393000003</v>
      </c>
      <c r="G844">
        <v>1421.0941161999999</v>
      </c>
      <c r="H844">
        <v>1396.8248291</v>
      </c>
      <c r="I844">
        <v>1255.8525391000001</v>
      </c>
      <c r="J844">
        <v>1219.6000977000001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381.30181800000003</v>
      </c>
      <c r="B845" s="1">
        <f>DATE(2011,5,17) + TIME(7,14,37)</f>
        <v>40680.301817129628</v>
      </c>
      <c r="C845">
        <v>80</v>
      </c>
      <c r="D845">
        <v>79.961769103999998</v>
      </c>
      <c r="E845">
        <v>50</v>
      </c>
      <c r="F845">
        <v>48.181560515999998</v>
      </c>
      <c r="G845">
        <v>1420.9948730000001</v>
      </c>
      <c r="H845">
        <v>1396.7274170000001</v>
      </c>
      <c r="I845">
        <v>1255.8309326000001</v>
      </c>
      <c r="J845">
        <v>1219.5726318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381.69613600000002</v>
      </c>
      <c r="B846" s="1">
        <f>DATE(2011,5,17) + TIME(16,42,26)</f>
        <v>40680.696134259262</v>
      </c>
      <c r="C846">
        <v>80</v>
      </c>
      <c r="D846">
        <v>79.961791992000002</v>
      </c>
      <c r="E846">
        <v>50</v>
      </c>
      <c r="F846">
        <v>48.145843505999999</v>
      </c>
      <c r="G846">
        <v>1420.8963623</v>
      </c>
      <c r="H846">
        <v>1396.6306152</v>
      </c>
      <c r="I846">
        <v>1255.8088379000001</v>
      </c>
      <c r="J846">
        <v>1219.5445557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382.099605</v>
      </c>
      <c r="B847" s="1">
        <f>DATE(2011,5,18) + TIME(2,23,25)</f>
        <v>40681.099594907406</v>
      </c>
      <c r="C847">
        <v>80</v>
      </c>
      <c r="D847">
        <v>79.961807250999996</v>
      </c>
      <c r="E847">
        <v>50</v>
      </c>
      <c r="F847">
        <v>48.109592438</v>
      </c>
      <c r="G847">
        <v>1420.7983397999999</v>
      </c>
      <c r="H847">
        <v>1396.5341797000001</v>
      </c>
      <c r="I847">
        <v>1255.7861327999999</v>
      </c>
      <c r="J847">
        <v>1219.5157471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382.51385299999998</v>
      </c>
      <c r="B848" s="1">
        <f>DATE(2011,5,18) + TIME(12,19,56)</f>
        <v>40681.513842592591</v>
      </c>
      <c r="C848">
        <v>80</v>
      </c>
      <c r="D848">
        <v>79.961822510000005</v>
      </c>
      <c r="E848">
        <v>50</v>
      </c>
      <c r="F848">
        <v>48.072696686</v>
      </c>
      <c r="G848">
        <v>1420.7003173999999</v>
      </c>
      <c r="H848">
        <v>1396.4378661999999</v>
      </c>
      <c r="I848">
        <v>1255.7629394999999</v>
      </c>
      <c r="J848">
        <v>1219.4860839999999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382.93992700000001</v>
      </c>
      <c r="B849" s="1">
        <f>DATE(2011,5,18) + TIME(22,33,29)</f>
        <v>40681.939918981479</v>
      </c>
      <c r="C849">
        <v>80</v>
      </c>
      <c r="D849">
        <v>79.961845397999994</v>
      </c>
      <c r="E849">
        <v>50</v>
      </c>
      <c r="F849">
        <v>48.035064697000003</v>
      </c>
      <c r="G849">
        <v>1420.6021728999999</v>
      </c>
      <c r="H849">
        <v>1396.3414307</v>
      </c>
      <c r="I849">
        <v>1255.7388916</v>
      </c>
      <c r="J849">
        <v>1219.4555664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383.36985600000003</v>
      </c>
      <c r="B850" s="1">
        <f>DATE(2011,5,19) + TIME(8,52,35)</f>
        <v>40682.369849537034</v>
      </c>
      <c r="C850">
        <v>80</v>
      </c>
      <c r="D850">
        <v>79.961860657000003</v>
      </c>
      <c r="E850">
        <v>50</v>
      </c>
      <c r="F850">
        <v>47.997020720999998</v>
      </c>
      <c r="G850">
        <v>1420.5035399999999</v>
      </c>
      <c r="H850">
        <v>1396.2445068</v>
      </c>
      <c r="I850">
        <v>1255.7138672000001</v>
      </c>
      <c r="J850">
        <v>1219.4239502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383.80310500000002</v>
      </c>
      <c r="B851" s="1">
        <f>DATE(2011,5,19) + TIME(19,16,28)</f>
        <v>40682.803101851852</v>
      </c>
      <c r="C851">
        <v>80</v>
      </c>
      <c r="D851">
        <v>79.961883545000006</v>
      </c>
      <c r="E851">
        <v>50</v>
      </c>
      <c r="F851">
        <v>47.958732605000002</v>
      </c>
      <c r="G851">
        <v>1420.4064940999999</v>
      </c>
      <c r="H851">
        <v>1396.1490478999999</v>
      </c>
      <c r="I851">
        <v>1255.6885986</v>
      </c>
      <c r="J851">
        <v>1219.3918457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384.240996</v>
      </c>
      <c r="B852" s="1">
        <f>DATE(2011,5,20) + TIME(5,47,2)</f>
        <v>40683.240995370368</v>
      </c>
      <c r="C852">
        <v>80</v>
      </c>
      <c r="D852">
        <v>79.961898804</v>
      </c>
      <c r="E852">
        <v>50</v>
      </c>
      <c r="F852">
        <v>47.920227050999998</v>
      </c>
      <c r="G852">
        <v>1420.3109131000001</v>
      </c>
      <c r="H852">
        <v>1396.0551757999999</v>
      </c>
      <c r="I852">
        <v>1255.6629639</v>
      </c>
      <c r="J852">
        <v>1219.359375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384.684865</v>
      </c>
      <c r="B853" s="1">
        <f>DATE(2011,5,20) + TIME(16,26,12)</f>
        <v>40683.684861111113</v>
      </c>
      <c r="C853">
        <v>80</v>
      </c>
      <c r="D853">
        <v>79.961921692000004</v>
      </c>
      <c r="E853">
        <v>50</v>
      </c>
      <c r="F853">
        <v>47.881469727000002</v>
      </c>
      <c r="G853">
        <v>1420.2165527</v>
      </c>
      <c r="H853">
        <v>1395.9624022999999</v>
      </c>
      <c r="I853">
        <v>1255.6368408000001</v>
      </c>
      <c r="J853">
        <v>1219.3262939000001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385.13609200000002</v>
      </c>
      <c r="B854" s="1">
        <f>DATE(2011,5,21) + TIME(3,15,58)</f>
        <v>40684.136087962965</v>
      </c>
      <c r="C854">
        <v>80</v>
      </c>
      <c r="D854">
        <v>79.961936950999998</v>
      </c>
      <c r="E854">
        <v>50</v>
      </c>
      <c r="F854">
        <v>47.842384338000002</v>
      </c>
      <c r="G854">
        <v>1420.1231689000001</v>
      </c>
      <c r="H854">
        <v>1395.8706055</v>
      </c>
      <c r="I854">
        <v>1255.6102295000001</v>
      </c>
      <c r="J854">
        <v>1219.2924805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385.59613400000001</v>
      </c>
      <c r="B855" s="1">
        <f>DATE(2011,5,21) + TIME(14,18,26)</f>
        <v>40684.596134259256</v>
      </c>
      <c r="C855">
        <v>80</v>
      </c>
      <c r="D855">
        <v>79.961959839000002</v>
      </c>
      <c r="E855">
        <v>50</v>
      </c>
      <c r="F855">
        <v>47.802867888999998</v>
      </c>
      <c r="G855">
        <v>1420.0302733999999</v>
      </c>
      <c r="H855">
        <v>1395.7792969</v>
      </c>
      <c r="I855">
        <v>1255.5831298999999</v>
      </c>
      <c r="J855">
        <v>1219.2579346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386.06687899999997</v>
      </c>
      <c r="B856" s="1">
        <f>DATE(2011,5,22) + TIME(1,36,18)</f>
        <v>40685.066874999997</v>
      </c>
      <c r="C856">
        <v>80</v>
      </c>
      <c r="D856">
        <v>79.961975097999996</v>
      </c>
      <c r="E856">
        <v>50</v>
      </c>
      <c r="F856">
        <v>47.762805939000003</v>
      </c>
      <c r="G856">
        <v>1419.9378661999999</v>
      </c>
      <c r="H856">
        <v>1395.6884766000001</v>
      </c>
      <c r="I856">
        <v>1255.5551757999999</v>
      </c>
      <c r="J856">
        <v>1219.2224120999999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386.54367200000002</v>
      </c>
      <c r="B857" s="1">
        <f>DATE(2011,5,22) + TIME(13,2,53)</f>
        <v>40685.543668981481</v>
      </c>
      <c r="C857">
        <v>80</v>
      </c>
      <c r="D857">
        <v>79.961997986</v>
      </c>
      <c r="E857">
        <v>50</v>
      </c>
      <c r="F857">
        <v>47.722328185999999</v>
      </c>
      <c r="G857">
        <v>1419.8453368999999</v>
      </c>
      <c r="H857">
        <v>1395.5975341999999</v>
      </c>
      <c r="I857">
        <v>1255.5263672000001</v>
      </c>
      <c r="J857">
        <v>1219.1859131000001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387.02592600000003</v>
      </c>
      <c r="B858" s="1">
        <f>DATE(2011,5,23) + TIME(0,37,20)</f>
        <v>40686.025925925926</v>
      </c>
      <c r="C858">
        <v>80</v>
      </c>
      <c r="D858">
        <v>79.962020874000004</v>
      </c>
      <c r="E858">
        <v>50</v>
      </c>
      <c r="F858">
        <v>47.681537628000001</v>
      </c>
      <c r="G858">
        <v>1419.7537841999999</v>
      </c>
      <c r="H858">
        <v>1395.5074463000001</v>
      </c>
      <c r="I858">
        <v>1255.4969481999999</v>
      </c>
      <c r="J858">
        <v>1219.1486815999999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387.51500099999998</v>
      </c>
      <c r="B859" s="1">
        <f>DATE(2011,5,23) + TIME(12,21,36)</f>
        <v>40686.514999999999</v>
      </c>
      <c r="C859">
        <v>80</v>
      </c>
      <c r="D859">
        <v>79.962043761999993</v>
      </c>
      <c r="E859">
        <v>50</v>
      </c>
      <c r="F859">
        <v>47.640426636000001</v>
      </c>
      <c r="G859">
        <v>1419.6632079999999</v>
      </c>
      <c r="H859">
        <v>1395.418457</v>
      </c>
      <c r="I859">
        <v>1255.4670410000001</v>
      </c>
      <c r="J859">
        <v>1219.1107178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388.012293</v>
      </c>
      <c r="B860" s="1">
        <f>DATE(2011,5,24) + TIME(0,17,42)</f>
        <v>40687.012291666666</v>
      </c>
      <c r="C860">
        <v>80</v>
      </c>
      <c r="D860">
        <v>79.962059021000002</v>
      </c>
      <c r="E860">
        <v>50</v>
      </c>
      <c r="F860">
        <v>47.598937988000003</v>
      </c>
      <c r="G860">
        <v>1419.5733643000001</v>
      </c>
      <c r="H860">
        <v>1395.3300781</v>
      </c>
      <c r="I860">
        <v>1255.4365233999999</v>
      </c>
      <c r="J860">
        <v>1219.0717772999999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388.51928500000002</v>
      </c>
      <c r="B861" s="1">
        <f>DATE(2011,5,24) + TIME(12,27,46)</f>
        <v>40687.519282407404</v>
      </c>
      <c r="C861">
        <v>80</v>
      </c>
      <c r="D861">
        <v>79.962081909000005</v>
      </c>
      <c r="E861">
        <v>50</v>
      </c>
      <c r="F861">
        <v>47.556987761999999</v>
      </c>
      <c r="G861">
        <v>1419.4840088000001</v>
      </c>
      <c r="H861">
        <v>1395.2423096</v>
      </c>
      <c r="I861">
        <v>1255.4051514</v>
      </c>
      <c r="J861">
        <v>1219.0319824000001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389.03756900000002</v>
      </c>
      <c r="B862" s="1">
        <f>DATE(2011,5,25) + TIME(0,54,5)</f>
        <v>40688.037557870368</v>
      </c>
      <c r="C862">
        <v>80</v>
      </c>
      <c r="D862">
        <v>79.962104796999995</v>
      </c>
      <c r="E862">
        <v>50</v>
      </c>
      <c r="F862">
        <v>47.514469147</v>
      </c>
      <c r="G862">
        <v>1419.3948975000001</v>
      </c>
      <c r="H862">
        <v>1395.1546631000001</v>
      </c>
      <c r="I862">
        <v>1255.3730469</v>
      </c>
      <c r="J862">
        <v>1218.9910889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389.56792300000001</v>
      </c>
      <c r="B863" s="1">
        <f>DATE(2011,5,25) + TIME(13,37,48)</f>
        <v>40688.567916666667</v>
      </c>
      <c r="C863">
        <v>80</v>
      </c>
      <c r="D863">
        <v>79.962127686000002</v>
      </c>
      <c r="E863">
        <v>50</v>
      </c>
      <c r="F863">
        <v>47.471298218000001</v>
      </c>
      <c r="G863">
        <v>1419.3056641000001</v>
      </c>
      <c r="H863">
        <v>1395.0671387</v>
      </c>
      <c r="I863">
        <v>1255.3398437999999</v>
      </c>
      <c r="J863">
        <v>1218.9488524999999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390.10202500000003</v>
      </c>
      <c r="B864" s="1">
        <f>DATE(2011,5,26) + TIME(2,26,54)</f>
        <v>40689.102013888885</v>
      </c>
      <c r="C864">
        <v>80</v>
      </c>
      <c r="D864">
        <v>79.962150574000006</v>
      </c>
      <c r="E864">
        <v>50</v>
      </c>
      <c r="F864">
        <v>47.427753447999997</v>
      </c>
      <c r="G864">
        <v>1419.2164307</v>
      </c>
      <c r="H864">
        <v>1394.9794922000001</v>
      </c>
      <c r="I864">
        <v>1255.3055420000001</v>
      </c>
      <c r="J864">
        <v>1218.9053954999999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390.64151900000002</v>
      </c>
      <c r="B865" s="1">
        <f>DATE(2011,5,26) + TIME(15,23,47)</f>
        <v>40689.641516203701</v>
      </c>
      <c r="C865">
        <v>80</v>
      </c>
      <c r="D865">
        <v>79.962173461999996</v>
      </c>
      <c r="E865">
        <v>50</v>
      </c>
      <c r="F865">
        <v>47.383945464999996</v>
      </c>
      <c r="G865">
        <v>1419.1285399999999</v>
      </c>
      <c r="H865">
        <v>1394.8930664</v>
      </c>
      <c r="I865">
        <v>1255.2707519999999</v>
      </c>
      <c r="J865">
        <v>1218.8610839999999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391.18803300000002</v>
      </c>
      <c r="B866" s="1">
        <f>DATE(2011,5,27) + TIME(4,30,46)</f>
        <v>40690.188032407408</v>
      </c>
      <c r="C866">
        <v>80</v>
      </c>
      <c r="D866">
        <v>79.962196349999999</v>
      </c>
      <c r="E866">
        <v>50</v>
      </c>
      <c r="F866">
        <v>47.339866637999997</v>
      </c>
      <c r="G866">
        <v>1419.041626</v>
      </c>
      <c r="H866">
        <v>1394.8076172000001</v>
      </c>
      <c r="I866">
        <v>1255.2352295000001</v>
      </c>
      <c r="J866">
        <v>1218.8160399999999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391.74325800000003</v>
      </c>
      <c r="B867" s="1">
        <f>DATE(2011,5,27) + TIME(17,50,17)</f>
        <v>40690.743252314816</v>
      </c>
      <c r="C867">
        <v>80</v>
      </c>
      <c r="D867">
        <v>79.962226868000002</v>
      </c>
      <c r="E867">
        <v>50</v>
      </c>
      <c r="F867">
        <v>47.295436858999999</v>
      </c>
      <c r="G867">
        <v>1418.9554443</v>
      </c>
      <c r="H867">
        <v>1394.7229004000001</v>
      </c>
      <c r="I867">
        <v>1255.1989745999999</v>
      </c>
      <c r="J867">
        <v>1218.7697754000001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392.30896899999999</v>
      </c>
      <c r="B868" s="1">
        <f>DATE(2011,5,28) + TIME(7,24,54)</f>
        <v>40691.308958333335</v>
      </c>
      <c r="C868">
        <v>80</v>
      </c>
      <c r="D868">
        <v>79.962249756000006</v>
      </c>
      <c r="E868">
        <v>50</v>
      </c>
      <c r="F868">
        <v>47.250545502000001</v>
      </c>
      <c r="G868">
        <v>1418.8696289</v>
      </c>
      <c r="H868">
        <v>1394.6386719</v>
      </c>
      <c r="I868">
        <v>1255.1618652</v>
      </c>
      <c r="J868">
        <v>1218.7224120999999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392.88744600000001</v>
      </c>
      <c r="B869" s="1">
        <f>DATE(2011,5,28) + TIME(21,17,55)</f>
        <v>40691.887442129628</v>
      </c>
      <c r="C869">
        <v>80</v>
      </c>
      <c r="D869">
        <v>79.962272643999995</v>
      </c>
      <c r="E869">
        <v>50</v>
      </c>
      <c r="F869">
        <v>47.205059052000003</v>
      </c>
      <c r="G869">
        <v>1418.7841797000001</v>
      </c>
      <c r="H869">
        <v>1394.5546875</v>
      </c>
      <c r="I869">
        <v>1255.1235352000001</v>
      </c>
      <c r="J869">
        <v>1218.6735839999999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393.47395</v>
      </c>
      <c r="B870" s="1">
        <f>DATE(2011,5,29) + TIME(11,22,29)</f>
        <v>40692.473946759259</v>
      </c>
      <c r="C870">
        <v>80</v>
      </c>
      <c r="D870">
        <v>79.962295531999999</v>
      </c>
      <c r="E870">
        <v>50</v>
      </c>
      <c r="F870">
        <v>47.159053802000003</v>
      </c>
      <c r="G870">
        <v>1418.6984863</v>
      </c>
      <c r="H870">
        <v>1394.4704589999999</v>
      </c>
      <c r="I870">
        <v>1255.0839844</v>
      </c>
      <c r="J870">
        <v>1218.6231689000001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394.06551400000001</v>
      </c>
      <c r="B871" s="1">
        <f>DATE(2011,5,30) + TIME(1,34,20)</f>
        <v>40693.065509259257</v>
      </c>
      <c r="C871">
        <v>80</v>
      </c>
      <c r="D871">
        <v>79.962326050000001</v>
      </c>
      <c r="E871">
        <v>50</v>
      </c>
      <c r="F871">
        <v>47.112724303999997</v>
      </c>
      <c r="G871">
        <v>1418.6134033000001</v>
      </c>
      <c r="H871">
        <v>1394.3869629000001</v>
      </c>
      <c r="I871">
        <v>1255.0435791</v>
      </c>
      <c r="J871">
        <v>1218.5715332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394.66377899999998</v>
      </c>
      <c r="B872" s="1">
        <f>DATE(2011,5,30) + TIME(15,55,50)</f>
        <v>40693.663773148146</v>
      </c>
      <c r="C872">
        <v>80</v>
      </c>
      <c r="D872">
        <v>79.962348938000005</v>
      </c>
      <c r="E872">
        <v>50</v>
      </c>
      <c r="F872">
        <v>47.066116332999997</v>
      </c>
      <c r="G872">
        <v>1418.5292969</v>
      </c>
      <c r="H872">
        <v>1394.3044434000001</v>
      </c>
      <c r="I872">
        <v>1255.0023193</v>
      </c>
      <c r="J872">
        <v>1218.5189209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395.27040099999999</v>
      </c>
      <c r="B873" s="1">
        <f>DATE(2011,5,31) + TIME(6,29,22)</f>
        <v>40694.27039351852</v>
      </c>
      <c r="C873">
        <v>80</v>
      </c>
      <c r="D873">
        <v>79.962371825999995</v>
      </c>
      <c r="E873">
        <v>50</v>
      </c>
      <c r="F873">
        <v>47.019184113000001</v>
      </c>
      <c r="G873">
        <v>1418.4460449000001</v>
      </c>
      <c r="H873">
        <v>1394.2226562000001</v>
      </c>
      <c r="I873">
        <v>1254.9600829999999</v>
      </c>
      <c r="J873">
        <v>1218.4649658000001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395.88711499999999</v>
      </c>
      <c r="B874" s="1">
        <f>DATE(2011,5,31) + TIME(21,17,26)</f>
        <v>40694.887106481481</v>
      </c>
      <c r="C874">
        <v>80</v>
      </c>
      <c r="D874">
        <v>79.962402343999997</v>
      </c>
      <c r="E874">
        <v>50</v>
      </c>
      <c r="F874">
        <v>46.971836089999996</v>
      </c>
      <c r="G874">
        <v>1418.3632812000001</v>
      </c>
      <c r="H874">
        <v>1394.1413574000001</v>
      </c>
      <c r="I874">
        <v>1254.9168701000001</v>
      </c>
      <c r="J874">
        <v>1218.4095459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396</v>
      </c>
      <c r="B875" s="1">
        <f>DATE(2011,6,1) + TIME(0,0,0)</f>
        <v>40695</v>
      </c>
      <c r="C875">
        <v>80</v>
      </c>
      <c r="D875">
        <v>79.962402343999997</v>
      </c>
      <c r="E875">
        <v>50</v>
      </c>
      <c r="F875">
        <v>46.955543517999999</v>
      </c>
      <c r="G875">
        <v>1418.2825928</v>
      </c>
      <c r="H875">
        <v>1394.0621338000001</v>
      </c>
      <c r="I875">
        <v>1254.8684082</v>
      </c>
      <c r="J875">
        <v>1218.3619385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396.628646</v>
      </c>
      <c r="B876" s="1">
        <f>DATE(2011,6,1) + TIME(15,5,15)</f>
        <v>40695.628645833334</v>
      </c>
      <c r="C876">
        <v>80</v>
      </c>
      <c r="D876">
        <v>79.962432860999996</v>
      </c>
      <c r="E876">
        <v>50</v>
      </c>
      <c r="F876">
        <v>46.912040709999999</v>
      </c>
      <c r="G876">
        <v>1418.2655029</v>
      </c>
      <c r="H876">
        <v>1394.0452881000001</v>
      </c>
      <c r="I876">
        <v>1254.8643798999999</v>
      </c>
      <c r="J876">
        <v>1218.3408202999999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397.27116100000001</v>
      </c>
      <c r="B877" s="1">
        <f>DATE(2011,6,2) + TIME(6,30,28)</f>
        <v>40696.271157407406</v>
      </c>
      <c r="C877">
        <v>80</v>
      </c>
      <c r="D877">
        <v>79.962463378999999</v>
      </c>
      <c r="E877">
        <v>50</v>
      </c>
      <c r="F877">
        <v>46.865386962999999</v>
      </c>
      <c r="G877">
        <v>1418.1839600000001</v>
      </c>
      <c r="H877">
        <v>1393.9652100000001</v>
      </c>
      <c r="I877">
        <v>1254.8184814000001</v>
      </c>
      <c r="J877">
        <v>1218.2827147999999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397.91899899999999</v>
      </c>
      <c r="B878" s="1">
        <f>DATE(2011,6,2) + TIME(22,3,21)</f>
        <v>40696.918993055559</v>
      </c>
      <c r="C878">
        <v>80</v>
      </c>
      <c r="D878">
        <v>79.962486267000003</v>
      </c>
      <c r="E878">
        <v>50</v>
      </c>
      <c r="F878">
        <v>46.817184447999999</v>
      </c>
      <c r="G878">
        <v>1418.1016846</v>
      </c>
      <c r="H878">
        <v>1393.8845214999999</v>
      </c>
      <c r="I878">
        <v>1254.770874</v>
      </c>
      <c r="J878">
        <v>1218.2220459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398.574118</v>
      </c>
      <c r="B879" s="1">
        <f>DATE(2011,6,3) + TIME(13,46,43)</f>
        <v>40697.574108796296</v>
      </c>
      <c r="C879">
        <v>80</v>
      </c>
      <c r="D879">
        <v>79.962516785000005</v>
      </c>
      <c r="E879">
        <v>50</v>
      </c>
      <c r="F879">
        <v>46.768177031999997</v>
      </c>
      <c r="G879">
        <v>1418.0203856999999</v>
      </c>
      <c r="H879">
        <v>1393.8046875</v>
      </c>
      <c r="I879">
        <v>1254.7222899999999</v>
      </c>
      <c r="J879">
        <v>1218.1597899999999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399.23846700000001</v>
      </c>
      <c r="B880" s="1">
        <f>DATE(2011,6,4) + TIME(5,43,23)</f>
        <v>40698.23846064815</v>
      </c>
      <c r="C880">
        <v>80</v>
      </c>
      <c r="D880">
        <v>79.962547302000004</v>
      </c>
      <c r="E880">
        <v>50</v>
      </c>
      <c r="F880">
        <v>46.718593597000002</v>
      </c>
      <c r="G880">
        <v>1417.9398193</v>
      </c>
      <c r="H880">
        <v>1393.7255858999999</v>
      </c>
      <c r="I880">
        <v>1254.6726074000001</v>
      </c>
      <c r="J880">
        <v>1218.0958252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399.91409499999997</v>
      </c>
      <c r="B881" s="1">
        <f>DATE(2011,6,4) + TIME(21,56,17)</f>
        <v>40698.914085648146</v>
      </c>
      <c r="C881">
        <v>80</v>
      </c>
      <c r="D881">
        <v>79.962577820000007</v>
      </c>
      <c r="E881">
        <v>50</v>
      </c>
      <c r="F881">
        <v>46.668441772000001</v>
      </c>
      <c r="G881">
        <v>1417.8596190999999</v>
      </c>
      <c r="H881">
        <v>1393.6469727000001</v>
      </c>
      <c r="I881">
        <v>1254.621582</v>
      </c>
      <c r="J881">
        <v>1218.0301514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400.60331500000001</v>
      </c>
      <c r="B882" s="1">
        <f>DATE(2011,6,5) + TIME(14,28,46)</f>
        <v>40699.603310185186</v>
      </c>
      <c r="C882">
        <v>80</v>
      </c>
      <c r="D882">
        <v>79.962600707999997</v>
      </c>
      <c r="E882">
        <v>50</v>
      </c>
      <c r="F882">
        <v>46.617626190000003</v>
      </c>
      <c r="G882">
        <v>1417.7796631000001</v>
      </c>
      <c r="H882">
        <v>1393.5684814000001</v>
      </c>
      <c r="I882">
        <v>1254.5690918</v>
      </c>
      <c r="J882">
        <v>1217.9622803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401.30869300000001</v>
      </c>
      <c r="B883" s="1">
        <f>DATE(2011,6,6) + TIME(7,24,31)</f>
        <v>40700.308692129627</v>
      </c>
      <c r="C883">
        <v>80</v>
      </c>
      <c r="D883">
        <v>79.962631225999999</v>
      </c>
      <c r="E883">
        <v>50</v>
      </c>
      <c r="F883">
        <v>46.565998077000003</v>
      </c>
      <c r="G883">
        <v>1417.699707</v>
      </c>
      <c r="H883">
        <v>1393.4899902</v>
      </c>
      <c r="I883">
        <v>1254.5147704999999</v>
      </c>
      <c r="J883">
        <v>1217.8920897999999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402.02008499999999</v>
      </c>
      <c r="B884" s="1">
        <f>DATE(2011,6,7) + TIME(0,28,55)</f>
        <v>40701.02008101852</v>
      </c>
      <c r="C884">
        <v>80</v>
      </c>
      <c r="D884">
        <v>79.962661742999998</v>
      </c>
      <c r="E884">
        <v>50</v>
      </c>
      <c r="F884">
        <v>46.513759612999998</v>
      </c>
      <c r="G884">
        <v>1417.6193848</v>
      </c>
      <c r="H884">
        <v>1393.4112548999999</v>
      </c>
      <c r="I884">
        <v>1254.4584961</v>
      </c>
      <c r="J884">
        <v>1217.8193358999999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402.736918</v>
      </c>
      <c r="B885" s="1">
        <f>DATE(2011,6,7) + TIME(17,41,9)</f>
        <v>40701.736909722225</v>
      </c>
      <c r="C885">
        <v>80</v>
      </c>
      <c r="D885">
        <v>79.962692261000001</v>
      </c>
      <c r="E885">
        <v>50</v>
      </c>
      <c r="F885">
        <v>46.461151123</v>
      </c>
      <c r="G885">
        <v>1417.5399170000001</v>
      </c>
      <c r="H885">
        <v>1393.3332519999999</v>
      </c>
      <c r="I885">
        <v>1254.4008789</v>
      </c>
      <c r="J885">
        <v>1217.7446289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403.46111200000001</v>
      </c>
      <c r="B886" s="1">
        <f>DATE(2011,6,8) + TIME(11,4,0)</f>
        <v>40702.461111111108</v>
      </c>
      <c r="C886">
        <v>80</v>
      </c>
      <c r="D886">
        <v>79.962722778</v>
      </c>
      <c r="E886">
        <v>50</v>
      </c>
      <c r="F886">
        <v>46.408222197999997</v>
      </c>
      <c r="G886">
        <v>1417.4613036999999</v>
      </c>
      <c r="H886">
        <v>1393.2562256000001</v>
      </c>
      <c r="I886">
        <v>1254.3419189000001</v>
      </c>
      <c r="J886">
        <v>1217.6680908000001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404.194616</v>
      </c>
      <c r="B887" s="1">
        <f>DATE(2011,6,9) + TIME(4,40,14)</f>
        <v>40703.194606481484</v>
      </c>
      <c r="C887">
        <v>80</v>
      </c>
      <c r="D887">
        <v>79.962753296000002</v>
      </c>
      <c r="E887">
        <v>50</v>
      </c>
      <c r="F887">
        <v>46.354896545000003</v>
      </c>
      <c r="G887">
        <v>1417.3834228999999</v>
      </c>
      <c r="H887">
        <v>1393.1798096</v>
      </c>
      <c r="I887">
        <v>1254.2816161999999</v>
      </c>
      <c r="J887">
        <v>1217.5895995999999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404.93946199999999</v>
      </c>
      <c r="B888" s="1">
        <f>DATE(2011,6,9) + TIME(22,32,49)</f>
        <v>40703.939456018517</v>
      </c>
      <c r="C888">
        <v>80</v>
      </c>
      <c r="D888">
        <v>79.962791443</v>
      </c>
      <c r="E888">
        <v>50</v>
      </c>
      <c r="F888">
        <v>46.301055908000002</v>
      </c>
      <c r="G888">
        <v>1417.3059082</v>
      </c>
      <c r="H888">
        <v>1393.1038818</v>
      </c>
      <c r="I888">
        <v>1254.2196045000001</v>
      </c>
      <c r="J888">
        <v>1217.5086670000001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405.69252499999999</v>
      </c>
      <c r="B889" s="1">
        <f>DATE(2011,6,10) + TIME(16,37,14)</f>
        <v>40704.692523148151</v>
      </c>
      <c r="C889">
        <v>80</v>
      </c>
      <c r="D889">
        <v>79.962821959999999</v>
      </c>
      <c r="E889">
        <v>50</v>
      </c>
      <c r="F889">
        <v>46.246692656999997</v>
      </c>
      <c r="G889">
        <v>1417.2287598</v>
      </c>
      <c r="H889">
        <v>1393.0283202999999</v>
      </c>
      <c r="I889">
        <v>1254.1556396000001</v>
      </c>
      <c r="J889">
        <v>1217.425293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406.45250600000003</v>
      </c>
      <c r="B890" s="1">
        <f>DATE(2011,6,11) + TIME(10,51,36)</f>
        <v>40705.452499999999</v>
      </c>
      <c r="C890">
        <v>80</v>
      </c>
      <c r="D890">
        <v>79.962852478000002</v>
      </c>
      <c r="E890">
        <v>50</v>
      </c>
      <c r="F890">
        <v>46.191894531000003</v>
      </c>
      <c r="G890">
        <v>1417.1520995999999</v>
      </c>
      <c r="H890">
        <v>1392.953125</v>
      </c>
      <c r="I890">
        <v>1254.0899658000001</v>
      </c>
      <c r="J890">
        <v>1217.3394774999999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407.22162200000002</v>
      </c>
      <c r="B891" s="1">
        <f>DATE(2011,6,12) + TIME(5,19,8)</f>
        <v>40706.221620370372</v>
      </c>
      <c r="C891">
        <v>80</v>
      </c>
      <c r="D891">
        <v>79.962882996000005</v>
      </c>
      <c r="E891">
        <v>50</v>
      </c>
      <c r="F891">
        <v>46.136638640999998</v>
      </c>
      <c r="G891">
        <v>1417.0761719</v>
      </c>
      <c r="H891">
        <v>1392.8786620999999</v>
      </c>
      <c r="I891">
        <v>1254.0227050999999</v>
      </c>
      <c r="J891">
        <v>1217.2512207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408.00214899999997</v>
      </c>
      <c r="B892" s="1">
        <f>DATE(2011,6,13) + TIME(0,3,5)</f>
        <v>40707.002141203702</v>
      </c>
      <c r="C892">
        <v>80</v>
      </c>
      <c r="D892">
        <v>79.962913513000004</v>
      </c>
      <c r="E892">
        <v>50</v>
      </c>
      <c r="F892">
        <v>46.080818176000001</v>
      </c>
      <c r="G892">
        <v>1417.0007324000001</v>
      </c>
      <c r="H892">
        <v>1392.8046875</v>
      </c>
      <c r="I892">
        <v>1253.9536132999999</v>
      </c>
      <c r="J892">
        <v>1217.1604004000001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408.79648900000001</v>
      </c>
      <c r="B893" s="1">
        <f>DATE(2011,6,13) + TIME(19,6,56)</f>
        <v>40707.796481481484</v>
      </c>
      <c r="C893">
        <v>80</v>
      </c>
      <c r="D893">
        <v>79.962951660000002</v>
      </c>
      <c r="E893">
        <v>50</v>
      </c>
      <c r="F893">
        <v>46.024265288999999</v>
      </c>
      <c r="G893">
        <v>1416.9254149999999</v>
      </c>
      <c r="H893">
        <v>1392.7310791</v>
      </c>
      <c r="I893">
        <v>1253.8823242000001</v>
      </c>
      <c r="J893">
        <v>1217.0666504000001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409.60754400000002</v>
      </c>
      <c r="B894" s="1">
        <f>DATE(2011,6,14) + TIME(14,34,51)</f>
        <v>40708.607534722221</v>
      </c>
      <c r="C894">
        <v>80</v>
      </c>
      <c r="D894">
        <v>79.962982178000004</v>
      </c>
      <c r="E894">
        <v>50</v>
      </c>
      <c r="F894">
        <v>45.966796875</v>
      </c>
      <c r="G894">
        <v>1416.8502197</v>
      </c>
      <c r="H894">
        <v>1392.6573486</v>
      </c>
      <c r="I894">
        <v>1253.8085937999999</v>
      </c>
      <c r="J894">
        <v>1216.9693603999999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410.43678599999998</v>
      </c>
      <c r="B895" s="1">
        <f>DATE(2011,6,15) + TIME(10,28,58)</f>
        <v>40709.436782407407</v>
      </c>
      <c r="C895">
        <v>80</v>
      </c>
      <c r="D895">
        <v>79.963020325000002</v>
      </c>
      <c r="E895">
        <v>50</v>
      </c>
      <c r="F895">
        <v>45.908233643000003</v>
      </c>
      <c r="G895">
        <v>1416.7747803</v>
      </c>
      <c r="H895">
        <v>1392.583374</v>
      </c>
      <c r="I895">
        <v>1253.7321777</v>
      </c>
      <c r="J895">
        <v>1216.8682861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411.26962300000002</v>
      </c>
      <c r="B896" s="1">
        <f>DATE(2011,6,16) + TIME(6,28,15)</f>
        <v>40710.269618055558</v>
      </c>
      <c r="C896">
        <v>80</v>
      </c>
      <c r="D896">
        <v>79.963050842000001</v>
      </c>
      <c r="E896">
        <v>50</v>
      </c>
      <c r="F896">
        <v>45.848842621000003</v>
      </c>
      <c r="G896">
        <v>1416.6990966999999</v>
      </c>
      <c r="H896">
        <v>1392.5091553</v>
      </c>
      <c r="I896">
        <v>1253.6525879000001</v>
      </c>
      <c r="J896">
        <v>1216.7630615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412.10825699999998</v>
      </c>
      <c r="B897" s="1">
        <f>DATE(2011,6,17) + TIME(2,35,53)</f>
        <v>40711.108252314814</v>
      </c>
      <c r="C897">
        <v>80</v>
      </c>
      <c r="D897">
        <v>79.963088988999999</v>
      </c>
      <c r="E897">
        <v>50</v>
      </c>
      <c r="F897">
        <v>45.788944244</v>
      </c>
      <c r="G897">
        <v>1416.6242675999999</v>
      </c>
      <c r="H897">
        <v>1392.4360352000001</v>
      </c>
      <c r="I897">
        <v>1253.5712891000001</v>
      </c>
      <c r="J897">
        <v>1216.6551514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412.95488899999998</v>
      </c>
      <c r="B898" s="1">
        <f>DATE(2011,6,17) + TIME(22,55,2)</f>
        <v>40711.954884259256</v>
      </c>
      <c r="C898">
        <v>80</v>
      </c>
      <c r="D898">
        <v>79.963127135999997</v>
      </c>
      <c r="E898">
        <v>50</v>
      </c>
      <c r="F898">
        <v>45.728530884000001</v>
      </c>
      <c r="G898">
        <v>1416.550293</v>
      </c>
      <c r="H898">
        <v>1392.3635254000001</v>
      </c>
      <c r="I898">
        <v>1253.4880370999999</v>
      </c>
      <c r="J898">
        <v>1216.5443115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413.81175100000002</v>
      </c>
      <c r="B899" s="1">
        <f>DATE(2011,6,18) + TIME(19,28,55)</f>
        <v>40712.811747685184</v>
      </c>
      <c r="C899">
        <v>80</v>
      </c>
      <c r="D899">
        <v>79.963157654</v>
      </c>
      <c r="E899">
        <v>50</v>
      </c>
      <c r="F899">
        <v>45.667488098</v>
      </c>
      <c r="G899">
        <v>1416.4769286999999</v>
      </c>
      <c r="H899">
        <v>1392.291626</v>
      </c>
      <c r="I899">
        <v>1253.4025879000001</v>
      </c>
      <c r="J899">
        <v>1216.4302978999999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414.68115799999998</v>
      </c>
      <c r="B900" s="1">
        <f>DATE(2011,6,19) + TIME(16,20,52)</f>
        <v>40713.681157407409</v>
      </c>
      <c r="C900">
        <v>80</v>
      </c>
      <c r="D900">
        <v>79.963195800999998</v>
      </c>
      <c r="E900">
        <v>50</v>
      </c>
      <c r="F900">
        <v>45.605651854999998</v>
      </c>
      <c r="G900">
        <v>1416.4038086</v>
      </c>
      <c r="H900">
        <v>1392.2200928</v>
      </c>
      <c r="I900">
        <v>1253.3145752</v>
      </c>
      <c r="J900">
        <v>1216.3125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415.55877800000002</v>
      </c>
      <c r="B901" s="1">
        <f>DATE(2011,6,20) + TIME(13,24,38)</f>
        <v>40714.55877314815</v>
      </c>
      <c r="C901">
        <v>80</v>
      </c>
      <c r="D901">
        <v>79.963233947999996</v>
      </c>
      <c r="E901">
        <v>50</v>
      </c>
      <c r="F901">
        <v>45.542995453000003</v>
      </c>
      <c r="G901">
        <v>1416.3310547000001</v>
      </c>
      <c r="H901">
        <v>1392.1488036999999</v>
      </c>
      <c r="I901">
        <v>1253.2236327999999</v>
      </c>
      <c r="J901">
        <v>1216.1906738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416.44569300000001</v>
      </c>
      <c r="B902" s="1">
        <f>DATE(2011,6,21) + TIME(10,41,47)</f>
        <v>40715.44568287037</v>
      </c>
      <c r="C902">
        <v>80</v>
      </c>
      <c r="D902">
        <v>79.963264464999995</v>
      </c>
      <c r="E902">
        <v>50</v>
      </c>
      <c r="F902">
        <v>45.479560851999999</v>
      </c>
      <c r="G902">
        <v>1416.2586670000001</v>
      </c>
      <c r="H902">
        <v>1392.078125</v>
      </c>
      <c r="I902">
        <v>1253.130249</v>
      </c>
      <c r="J902">
        <v>1216.0650635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417.34445099999999</v>
      </c>
      <c r="B903" s="1">
        <f>DATE(2011,6,22) + TIME(8,16,0)</f>
        <v>40716.344444444447</v>
      </c>
      <c r="C903">
        <v>80</v>
      </c>
      <c r="D903">
        <v>79.963302612000007</v>
      </c>
      <c r="E903">
        <v>50</v>
      </c>
      <c r="F903">
        <v>45.415248871000003</v>
      </c>
      <c r="G903">
        <v>1416.1868896000001</v>
      </c>
      <c r="H903">
        <v>1392.0076904</v>
      </c>
      <c r="I903">
        <v>1253.0340576000001</v>
      </c>
      <c r="J903">
        <v>1215.9355469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418.25713300000001</v>
      </c>
      <c r="B904" s="1">
        <f>DATE(2011,6,23) + TIME(6,10,16)</f>
        <v>40717.25712962963</v>
      </c>
      <c r="C904">
        <v>80</v>
      </c>
      <c r="D904">
        <v>79.963340759000005</v>
      </c>
      <c r="E904">
        <v>50</v>
      </c>
      <c r="F904">
        <v>45.349899292000003</v>
      </c>
      <c r="G904">
        <v>1416.1152344</v>
      </c>
      <c r="H904">
        <v>1391.9376221</v>
      </c>
      <c r="I904">
        <v>1252.9349365</v>
      </c>
      <c r="J904">
        <v>1215.8015137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419.18610200000001</v>
      </c>
      <c r="B905" s="1">
        <f>DATE(2011,6,24) + TIME(4,27,59)</f>
        <v>40718.186099537037</v>
      </c>
      <c r="C905">
        <v>80</v>
      </c>
      <c r="D905">
        <v>79.963378906000003</v>
      </c>
      <c r="E905">
        <v>50</v>
      </c>
      <c r="F905">
        <v>45.283313751000001</v>
      </c>
      <c r="G905">
        <v>1416.0437012</v>
      </c>
      <c r="H905">
        <v>1391.8676757999999</v>
      </c>
      <c r="I905">
        <v>1252.8323975000001</v>
      </c>
      <c r="J905">
        <v>1215.6625977000001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420.13465500000001</v>
      </c>
      <c r="B906" s="1">
        <f>DATE(2011,6,25) + TIME(3,13,54)</f>
        <v>40719.134652777779</v>
      </c>
      <c r="C906">
        <v>80</v>
      </c>
      <c r="D906">
        <v>79.963417053000001</v>
      </c>
      <c r="E906">
        <v>50</v>
      </c>
      <c r="F906">
        <v>45.215267181000002</v>
      </c>
      <c r="G906">
        <v>1415.972168</v>
      </c>
      <c r="H906">
        <v>1391.7976074000001</v>
      </c>
      <c r="I906">
        <v>1252.7260742000001</v>
      </c>
      <c r="J906">
        <v>1215.5181885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421.099537</v>
      </c>
      <c r="B907" s="1">
        <f>DATE(2011,6,26) + TIME(2,23,20)</f>
        <v>40720.099537037036</v>
      </c>
      <c r="C907">
        <v>80</v>
      </c>
      <c r="D907">
        <v>79.963455199999999</v>
      </c>
      <c r="E907">
        <v>50</v>
      </c>
      <c r="F907">
        <v>45.145633697999997</v>
      </c>
      <c r="G907">
        <v>1415.9002685999999</v>
      </c>
      <c r="H907">
        <v>1391.7272949000001</v>
      </c>
      <c r="I907">
        <v>1252.6154785000001</v>
      </c>
      <c r="J907">
        <v>1215.3675536999999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422.06882000000002</v>
      </c>
      <c r="B908" s="1">
        <f>DATE(2011,6,27) + TIME(1,39,6)</f>
        <v>40721.068819444445</v>
      </c>
      <c r="C908">
        <v>80</v>
      </c>
      <c r="D908">
        <v>79.963500976999995</v>
      </c>
      <c r="E908">
        <v>50</v>
      </c>
      <c r="F908">
        <v>45.074707031000003</v>
      </c>
      <c r="G908">
        <v>1415.8282471</v>
      </c>
      <c r="H908">
        <v>1391.6569824000001</v>
      </c>
      <c r="I908">
        <v>1252.5008545000001</v>
      </c>
      <c r="J908">
        <v>1215.2113036999999</v>
      </c>
      <c r="K908">
        <v>2400</v>
      </c>
      <c r="L908">
        <v>0</v>
      </c>
      <c r="M908">
        <v>0</v>
      </c>
      <c r="N908">
        <v>2400</v>
      </c>
    </row>
    <row r="909" spans="1:14" x14ac:dyDescent="0.25">
      <c r="A909">
        <v>423.04500300000001</v>
      </c>
      <c r="B909" s="1">
        <f>DATE(2011,6,28) + TIME(1,4,48)</f>
        <v>40722.044999999998</v>
      </c>
      <c r="C909">
        <v>80</v>
      </c>
      <c r="D909">
        <v>79.963539123999993</v>
      </c>
      <c r="E909">
        <v>50</v>
      </c>
      <c r="F909">
        <v>45.002792358000001</v>
      </c>
      <c r="G909">
        <v>1415.7572021000001</v>
      </c>
      <c r="H909">
        <v>1391.5874022999999</v>
      </c>
      <c r="I909">
        <v>1252.3835449000001</v>
      </c>
      <c r="J909">
        <v>1215.0505370999999</v>
      </c>
      <c r="K909">
        <v>2400</v>
      </c>
      <c r="L909">
        <v>0</v>
      </c>
      <c r="M909">
        <v>0</v>
      </c>
      <c r="N909">
        <v>2400</v>
      </c>
    </row>
    <row r="910" spans="1:14" x14ac:dyDescent="0.25">
      <c r="A910">
        <v>424.02836600000001</v>
      </c>
      <c r="B910" s="1">
        <f>DATE(2011,6,29) + TIME(0,40,50)</f>
        <v>40723.028356481482</v>
      </c>
      <c r="C910">
        <v>80</v>
      </c>
      <c r="D910">
        <v>79.963577271000005</v>
      </c>
      <c r="E910">
        <v>50</v>
      </c>
      <c r="F910">
        <v>44.929885863999999</v>
      </c>
      <c r="G910">
        <v>1415.6867675999999</v>
      </c>
      <c r="H910">
        <v>1391.5184326000001</v>
      </c>
      <c r="I910">
        <v>1252.2630615</v>
      </c>
      <c r="J910">
        <v>1214.8851318</v>
      </c>
      <c r="K910">
        <v>2400</v>
      </c>
      <c r="L910">
        <v>0</v>
      </c>
      <c r="M910">
        <v>0</v>
      </c>
      <c r="N910">
        <v>2400</v>
      </c>
    </row>
    <row r="911" spans="1:14" x14ac:dyDescent="0.25">
      <c r="A911">
        <v>425.01686799999999</v>
      </c>
      <c r="B911" s="1">
        <f>DATE(2011,6,30) + TIME(0,24,17)</f>
        <v>40724.016863425924</v>
      </c>
      <c r="C911">
        <v>80</v>
      </c>
      <c r="D911">
        <v>79.963615417</v>
      </c>
      <c r="E911">
        <v>50</v>
      </c>
      <c r="F911">
        <v>44.855991363999998</v>
      </c>
      <c r="G911">
        <v>1415.6168213000001</v>
      </c>
      <c r="H911">
        <v>1391.4501952999999</v>
      </c>
      <c r="I911">
        <v>1252.1394043</v>
      </c>
      <c r="J911">
        <v>1214.7149658000001</v>
      </c>
      <c r="K911">
        <v>2400</v>
      </c>
      <c r="L911">
        <v>0</v>
      </c>
      <c r="M911">
        <v>0</v>
      </c>
      <c r="N911">
        <v>2400</v>
      </c>
    </row>
    <row r="912" spans="1:14" x14ac:dyDescent="0.25">
      <c r="A912">
        <v>426</v>
      </c>
      <c r="B912" s="1">
        <f>DATE(2011,7,1) + TIME(0,0,0)</f>
        <v>40725</v>
      </c>
      <c r="C912">
        <v>80</v>
      </c>
      <c r="D912">
        <v>79.963653563999998</v>
      </c>
      <c r="E912">
        <v>50</v>
      </c>
      <c r="F912">
        <v>44.781391143999997</v>
      </c>
      <c r="G912">
        <v>1415.5477295000001</v>
      </c>
      <c r="H912">
        <v>1391.3825684000001</v>
      </c>
      <c r="I912">
        <v>1252.0128173999999</v>
      </c>
      <c r="J912">
        <v>1214.5401611</v>
      </c>
      <c r="K912">
        <v>2400</v>
      </c>
      <c r="L912">
        <v>0</v>
      </c>
      <c r="M912">
        <v>0</v>
      </c>
      <c r="N912">
        <v>2400</v>
      </c>
    </row>
    <row r="913" spans="1:14" x14ac:dyDescent="0.25">
      <c r="A913">
        <v>426.99632400000002</v>
      </c>
      <c r="B913" s="1">
        <f>DATE(2011,7,1) + TIME(23,54,42)</f>
        <v>40725.996319444443</v>
      </c>
      <c r="C913">
        <v>80</v>
      </c>
      <c r="D913">
        <v>79.963699340999995</v>
      </c>
      <c r="E913">
        <v>50</v>
      </c>
      <c r="F913">
        <v>44.705974578999999</v>
      </c>
      <c r="G913">
        <v>1415.4801024999999</v>
      </c>
      <c r="H913">
        <v>1391.3164062000001</v>
      </c>
      <c r="I913">
        <v>1251.8843993999999</v>
      </c>
      <c r="J913">
        <v>1214.3621826000001</v>
      </c>
      <c r="K913">
        <v>2400</v>
      </c>
      <c r="L913">
        <v>0</v>
      </c>
      <c r="M913">
        <v>0</v>
      </c>
      <c r="N913">
        <v>2400</v>
      </c>
    </row>
    <row r="914" spans="1:14" x14ac:dyDescent="0.25">
      <c r="A914">
        <v>428.01632799999999</v>
      </c>
      <c r="B914" s="1">
        <f>DATE(2011,7,3) + TIME(0,23,30)</f>
        <v>40727.016319444447</v>
      </c>
      <c r="C914">
        <v>80</v>
      </c>
      <c r="D914">
        <v>79.963737488000007</v>
      </c>
      <c r="E914">
        <v>50</v>
      </c>
      <c r="F914">
        <v>44.628913879000002</v>
      </c>
      <c r="G914">
        <v>1415.4125977000001</v>
      </c>
      <c r="H914">
        <v>1391.2504882999999</v>
      </c>
      <c r="I914">
        <v>1251.7519531</v>
      </c>
      <c r="J914">
        <v>1214.1779785000001</v>
      </c>
      <c r="K914">
        <v>2400</v>
      </c>
      <c r="L914">
        <v>0</v>
      </c>
      <c r="M914">
        <v>0</v>
      </c>
      <c r="N914">
        <v>2400</v>
      </c>
    </row>
    <row r="915" spans="1:14" x14ac:dyDescent="0.25">
      <c r="A915">
        <v>429.05238100000003</v>
      </c>
      <c r="B915" s="1">
        <f>DATE(2011,7,4) + TIME(1,15,25)</f>
        <v>40728.052372685182</v>
      </c>
      <c r="C915">
        <v>80</v>
      </c>
      <c r="D915">
        <v>79.963775635000005</v>
      </c>
      <c r="E915">
        <v>50</v>
      </c>
      <c r="F915">
        <v>44.549770355</v>
      </c>
      <c r="G915">
        <v>1415.3444824000001</v>
      </c>
      <c r="H915">
        <v>1391.1838379000001</v>
      </c>
      <c r="I915">
        <v>1251.6137695</v>
      </c>
      <c r="J915">
        <v>1213.9857178</v>
      </c>
      <c r="K915">
        <v>2400</v>
      </c>
      <c r="L915">
        <v>0</v>
      </c>
      <c r="M915">
        <v>0</v>
      </c>
      <c r="N915">
        <v>2400</v>
      </c>
    </row>
    <row r="916" spans="1:14" x14ac:dyDescent="0.25">
      <c r="A916">
        <v>430.10773799999998</v>
      </c>
      <c r="B916" s="1">
        <f>DATE(2011,7,5) + TIME(2,35,8)</f>
        <v>40729.107731481483</v>
      </c>
      <c r="C916">
        <v>80</v>
      </c>
      <c r="D916">
        <v>79.963821410999998</v>
      </c>
      <c r="E916">
        <v>50</v>
      </c>
      <c r="F916">
        <v>44.468490600999999</v>
      </c>
      <c r="G916">
        <v>1415.2763672000001</v>
      </c>
      <c r="H916">
        <v>1391.1173096</v>
      </c>
      <c r="I916">
        <v>1251.4708252</v>
      </c>
      <c r="J916">
        <v>1213.7860106999999</v>
      </c>
      <c r="K916">
        <v>2400</v>
      </c>
      <c r="L916">
        <v>0</v>
      </c>
      <c r="M916">
        <v>0</v>
      </c>
      <c r="N916">
        <v>2400</v>
      </c>
    </row>
    <row r="917" spans="1:14" x14ac:dyDescent="0.25">
      <c r="A917">
        <v>431.18628899999999</v>
      </c>
      <c r="B917" s="1">
        <f>DATE(2011,7,6) + TIME(4,28,15)</f>
        <v>40730.186284722222</v>
      </c>
      <c r="C917">
        <v>80</v>
      </c>
      <c r="D917">
        <v>79.963867187999995</v>
      </c>
      <c r="E917">
        <v>50</v>
      </c>
      <c r="F917">
        <v>44.384799956999998</v>
      </c>
      <c r="G917">
        <v>1415.2081298999999</v>
      </c>
      <c r="H917">
        <v>1391.0506591999999</v>
      </c>
      <c r="I917">
        <v>1251.3223877</v>
      </c>
      <c r="J917">
        <v>1213.5780029</v>
      </c>
      <c r="K917">
        <v>2400</v>
      </c>
      <c r="L917">
        <v>0</v>
      </c>
      <c r="M917">
        <v>0</v>
      </c>
      <c r="N917">
        <v>2400</v>
      </c>
    </row>
    <row r="918" spans="1:14" x14ac:dyDescent="0.25">
      <c r="A918">
        <v>432.28187500000001</v>
      </c>
      <c r="B918" s="1">
        <f>DATE(2011,7,7) + TIME(6,45,53)</f>
        <v>40731.281863425924</v>
      </c>
      <c r="C918">
        <v>80</v>
      </c>
      <c r="D918">
        <v>79.963905334000003</v>
      </c>
      <c r="E918">
        <v>50</v>
      </c>
      <c r="F918">
        <v>44.298572540000002</v>
      </c>
      <c r="G918">
        <v>1415.1394043</v>
      </c>
      <c r="H918">
        <v>1390.9833983999999</v>
      </c>
      <c r="I918">
        <v>1251.1678466999999</v>
      </c>
      <c r="J918">
        <v>1213.3610839999999</v>
      </c>
      <c r="K918">
        <v>2400</v>
      </c>
      <c r="L918">
        <v>0</v>
      </c>
      <c r="M918">
        <v>0</v>
      </c>
      <c r="N918">
        <v>2400</v>
      </c>
    </row>
    <row r="919" spans="1:14" x14ac:dyDescent="0.25">
      <c r="A919">
        <v>433.38309099999998</v>
      </c>
      <c r="B919" s="1">
        <f>DATE(2011,7,8) + TIME(9,11,39)</f>
        <v>40732.383090277777</v>
      </c>
      <c r="C919">
        <v>80</v>
      </c>
      <c r="D919">
        <v>79.963951111</v>
      </c>
      <c r="E919">
        <v>50</v>
      </c>
      <c r="F919">
        <v>44.210159302000001</v>
      </c>
      <c r="G919">
        <v>1415.0706786999999</v>
      </c>
      <c r="H919">
        <v>1390.9162598</v>
      </c>
      <c r="I919">
        <v>1251.0078125</v>
      </c>
      <c r="J919">
        <v>1213.1359863</v>
      </c>
      <c r="K919">
        <v>2400</v>
      </c>
      <c r="L919">
        <v>0</v>
      </c>
      <c r="M919">
        <v>0</v>
      </c>
      <c r="N919">
        <v>2400</v>
      </c>
    </row>
    <row r="920" spans="1:14" x14ac:dyDescent="0.25">
      <c r="A920">
        <v>434.48578400000002</v>
      </c>
      <c r="B920" s="1">
        <f>DATE(2011,7,9) + TIME(11,39,31)</f>
        <v>40733.485775462963</v>
      </c>
      <c r="C920">
        <v>80</v>
      </c>
      <c r="D920">
        <v>79.963996886999993</v>
      </c>
      <c r="E920">
        <v>50</v>
      </c>
      <c r="F920">
        <v>44.120090484999999</v>
      </c>
      <c r="G920">
        <v>1415.0025635</v>
      </c>
      <c r="H920">
        <v>1390.8497314000001</v>
      </c>
      <c r="I920">
        <v>1250.8438721</v>
      </c>
      <c r="J920">
        <v>1212.9044189000001</v>
      </c>
      <c r="K920">
        <v>2400</v>
      </c>
      <c r="L920">
        <v>0</v>
      </c>
      <c r="M920">
        <v>0</v>
      </c>
      <c r="N920">
        <v>2400</v>
      </c>
    </row>
    <row r="921" spans="1:14" x14ac:dyDescent="0.25">
      <c r="A921">
        <v>435.59286100000003</v>
      </c>
      <c r="B921" s="1">
        <f>DATE(2011,7,10) + TIME(14,13,43)</f>
        <v>40734.592858796299</v>
      </c>
      <c r="C921">
        <v>80</v>
      </c>
      <c r="D921">
        <v>79.964035034000005</v>
      </c>
      <c r="E921">
        <v>50</v>
      </c>
      <c r="F921">
        <v>44.028549194</v>
      </c>
      <c r="G921">
        <v>1414.9354248</v>
      </c>
      <c r="H921">
        <v>1390.7841797000001</v>
      </c>
      <c r="I921">
        <v>1250.6765137</v>
      </c>
      <c r="J921">
        <v>1212.6674805</v>
      </c>
      <c r="K921">
        <v>2400</v>
      </c>
      <c r="L921">
        <v>0</v>
      </c>
      <c r="M921">
        <v>0</v>
      </c>
      <c r="N921">
        <v>2400</v>
      </c>
    </row>
    <row r="922" spans="1:14" x14ac:dyDescent="0.25">
      <c r="A922">
        <v>436.70721700000001</v>
      </c>
      <c r="B922" s="1">
        <f>DATE(2011,7,11) + TIME(16,58,23)</f>
        <v>40735.70721064815</v>
      </c>
      <c r="C922">
        <v>80</v>
      </c>
      <c r="D922">
        <v>79.964080811000002</v>
      </c>
      <c r="E922">
        <v>50</v>
      </c>
      <c r="F922">
        <v>43.935375213999997</v>
      </c>
      <c r="G922">
        <v>1414.8690185999999</v>
      </c>
      <c r="H922">
        <v>1390.7192382999999</v>
      </c>
      <c r="I922">
        <v>1250.5054932</v>
      </c>
      <c r="J922">
        <v>1212.4243164</v>
      </c>
      <c r="K922">
        <v>2400</v>
      </c>
      <c r="L922">
        <v>0</v>
      </c>
      <c r="M922">
        <v>0</v>
      </c>
      <c r="N922">
        <v>2400</v>
      </c>
    </row>
    <row r="923" spans="1:14" x14ac:dyDescent="0.25">
      <c r="A923">
        <v>437.83177999999998</v>
      </c>
      <c r="B923" s="1">
        <f>DATE(2011,7,12) + TIME(19,57,45)</f>
        <v>40736.831770833334</v>
      </c>
      <c r="C923">
        <v>80</v>
      </c>
      <c r="D923">
        <v>79.964126586999996</v>
      </c>
      <c r="E923">
        <v>50</v>
      </c>
      <c r="F923">
        <v>43.840305327999999</v>
      </c>
      <c r="G923">
        <v>1414.8032227000001</v>
      </c>
      <c r="H923">
        <v>1390.6549072</v>
      </c>
      <c r="I923">
        <v>1250.3299560999999</v>
      </c>
      <c r="J923">
        <v>1212.1743164</v>
      </c>
      <c r="K923">
        <v>2400</v>
      </c>
      <c r="L923">
        <v>0</v>
      </c>
      <c r="M923">
        <v>0</v>
      </c>
      <c r="N923">
        <v>2400</v>
      </c>
    </row>
    <row r="924" spans="1:14" x14ac:dyDescent="0.25">
      <c r="A924">
        <v>438.96955700000001</v>
      </c>
      <c r="B924" s="1">
        <f>DATE(2011,7,13) + TIME(23,16,9)</f>
        <v>40737.969548611109</v>
      </c>
      <c r="C924">
        <v>80</v>
      </c>
      <c r="D924">
        <v>79.964172363000003</v>
      </c>
      <c r="E924">
        <v>50</v>
      </c>
      <c r="F924">
        <v>43.743022918999998</v>
      </c>
      <c r="G924">
        <v>1414.7376709</v>
      </c>
      <c r="H924">
        <v>1390.5909423999999</v>
      </c>
      <c r="I924">
        <v>1250.1497803</v>
      </c>
      <c r="J924">
        <v>1211.9167480000001</v>
      </c>
      <c r="K924">
        <v>2400</v>
      </c>
      <c r="L924">
        <v>0</v>
      </c>
      <c r="M924">
        <v>0</v>
      </c>
      <c r="N924">
        <v>2400</v>
      </c>
    </row>
    <row r="925" spans="1:14" x14ac:dyDescent="0.25">
      <c r="A925">
        <v>440.12366300000002</v>
      </c>
      <c r="B925" s="1">
        <f>DATE(2011,7,15) + TIME(2,58,4)</f>
        <v>40739.123657407406</v>
      </c>
      <c r="C925">
        <v>80</v>
      </c>
      <c r="D925">
        <v>79.964210510000001</v>
      </c>
      <c r="E925">
        <v>50</v>
      </c>
      <c r="F925">
        <v>43.643180846999996</v>
      </c>
      <c r="G925">
        <v>1414.6723632999999</v>
      </c>
      <c r="H925">
        <v>1390.5272216999999</v>
      </c>
      <c r="I925">
        <v>1249.9641113</v>
      </c>
      <c r="J925">
        <v>1211.6506348</v>
      </c>
      <c r="K925">
        <v>2400</v>
      </c>
      <c r="L925">
        <v>0</v>
      </c>
      <c r="M925">
        <v>0</v>
      </c>
      <c r="N925">
        <v>2400</v>
      </c>
    </row>
    <row r="926" spans="1:14" x14ac:dyDescent="0.25">
      <c r="A926">
        <v>441.297394</v>
      </c>
      <c r="B926" s="1">
        <f>DATE(2011,7,16) + TIME(7,8,14)</f>
        <v>40740.297384259262</v>
      </c>
      <c r="C926">
        <v>80</v>
      </c>
      <c r="D926">
        <v>79.964256286999998</v>
      </c>
      <c r="E926">
        <v>50</v>
      </c>
      <c r="F926">
        <v>43.540405272999998</v>
      </c>
      <c r="G926">
        <v>1414.6070557</v>
      </c>
      <c r="H926">
        <v>1390.4633789</v>
      </c>
      <c r="I926">
        <v>1249.7723389</v>
      </c>
      <c r="J926">
        <v>1211.3751221</v>
      </c>
      <c r="K926">
        <v>2400</v>
      </c>
      <c r="L926">
        <v>0</v>
      </c>
      <c r="M926">
        <v>0</v>
      </c>
      <c r="N926">
        <v>2400</v>
      </c>
    </row>
    <row r="927" spans="1:14" x14ac:dyDescent="0.25">
      <c r="A927">
        <v>442.49429199999997</v>
      </c>
      <c r="B927" s="1">
        <f>DATE(2011,7,17) + TIME(11,51,46)</f>
        <v>40741.49428240741</v>
      </c>
      <c r="C927">
        <v>80</v>
      </c>
      <c r="D927">
        <v>79.964302063000005</v>
      </c>
      <c r="E927">
        <v>50</v>
      </c>
      <c r="F927">
        <v>43.43429184</v>
      </c>
      <c r="G927">
        <v>1414.541626</v>
      </c>
      <c r="H927">
        <v>1390.3995361</v>
      </c>
      <c r="I927">
        <v>1249.5739745999999</v>
      </c>
      <c r="J927">
        <v>1211.0891113</v>
      </c>
      <c r="K927">
        <v>2400</v>
      </c>
      <c r="L927">
        <v>0</v>
      </c>
      <c r="M927">
        <v>0</v>
      </c>
      <c r="N927">
        <v>2400</v>
      </c>
    </row>
    <row r="928" spans="1:14" x14ac:dyDescent="0.25">
      <c r="A928">
        <v>443.70754799999997</v>
      </c>
      <c r="B928" s="1">
        <f>DATE(2011,7,18) + TIME(16,58,52)</f>
        <v>40742.707546296297</v>
      </c>
      <c r="C928">
        <v>80</v>
      </c>
      <c r="D928">
        <v>79.964355468999997</v>
      </c>
      <c r="E928">
        <v>50</v>
      </c>
      <c r="F928">
        <v>43.324645996000001</v>
      </c>
      <c r="G928">
        <v>1414.4758300999999</v>
      </c>
      <c r="H928">
        <v>1390.3352050999999</v>
      </c>
      <c r="I928">
        <v>1249.3679199000001</v>
      </c>
      <c r="J928">
        <v>1210.7917480000001</v>
      </c>
      <c r="K928">
        <v>2400</v>
      </c>
      <c r="L928">
        <v>0</v>
      </c>
      <c r="M928">
        <v>0</v>
      </c>
      <c r="N928">
        <v>2400</v>
      </c>
    </row>
    <row r="929" spans="1:14" x14ac:dyDescent="0.25">
      <c r="A929">
        <v>444.93608399999999</v>
      </c>
      <c r="B929" s="1">
        <f>DATE(2011,7,19) + TIME(22,27,57)</f>
        <v>40743.936076388891</v>
      </c>
      <c r="C929">
        <v>80</v>
      </c>
      <c r="D929">
        <v>79.964401245000005</v>
      </c>
      <c r="E929">
        <v>50</v>
      </c>
      <c r="F929">
        <v>43.211627960000001</v>
      </c>
      <c r="G929">
        <v>1414.4100341999999</v>
      </c>
      <c r="H929">
        <v>1390.2709961</v>
      </c>
      <c r="I929">
        <v>1249.1553954999999</v>
      </c>
      <c r="J929">
        <v>1210.4838867000001</v>
      </c>
      <c r="K929">
        <v>2400</v>
      </c>
      <c r="L929">
        <v>0</v>
      </c>
      <c r="M929">
        <v>0</v>
      </c>
      <c r="N929">
        <v>2400</v>
      </c>
    </row>
    <row r="930" spans="1:14" x14ac:dyDescent="0.25">
      <c r="A930">
        <v>446.16555099999999</v>
      </c>
      <c r="B930" s="1">
        <f>DATE(2011,7,21) + TIME(3,58,23)</f>
        <v>40745.165543981479</v>
      </c>
      <c r="C930">
        <v>80</v>
      </c>
      <c r="D930">
        <v>79.964447020999998</v>
      </c>
      <c r="E930">
        <v>50</v>
      </c>
      <c r="F930">
        <v>43.095607758</v>
      </c>
      <c r="G930">
        <v>1414.3444824000001</v>
      </c>
      <c r="H930">
        <v>1390.2069091999999</v>
      </c>
      <c r="I930">
        <v>1248.9365233999999</v>
      </c>
      <c r="J930">
        <v>1210.1660156</v>
      </c>
      <c r="K930">
        <v>2400</v>
      </c>
      <c r="L930">
        <v>0</v>
      </c>
      <c r="M930">
        <v>0</v>
      </c>
      <c r="N930">
        <v>2400</v>
      </c>
    </row>
    <row r="931" spans="1:14" x14ac:dyDescent="0.25">
      <c r="A931">
        <v>447.399067</v>
      </c>
      <c r="B931" s="1">
        <f>DATE(2011,7,22) + TIME(9,34,39)</f>
        <v>40746.399062500001</v>
      </c>
      <c r="C931">
        <v>80</v>
      </c>
      <c r="D931">
        <v>79.964492797999995</v>
      </c>
      <c r="E931">
        <v>50</v>
      </c>
      <c r="F931">
        <v>42.977176665999998</v>
      </c>
      <c r="G931">
        <v>1414.2796631000001</v>
      </c>
      <c r="H931">
        <v>1390.1436768000001</v>
      </c>
      <c r="I931">
        <v>1248.7133789</v>
      </c>
      <c r="J931">
        <v>1209.8410644999999</v>
      </c>
      <c r="K931">
        <v>2400</v>
      </c>
      <c r="L931">
        <v>0</v>
      </c>
      <c r="M931">
        <v>0</v>
      </c>
      <c r="N931">
        <v>2400</v>
      </c>
    </row>
    <row r="932" spans="1:14" x14ac:dyDescent="0.25">
      <c r="A932">
        <v>448.63975199999999</v>
      </c>
      <c r="B932" s="1">
        <f>DATE(2011,7,23) + TIME(15,21,14)</f>
        <v>40747.639745370368</v>
      </c>
      <c r="C932">
        <v>80</v>
      </c>
      <c r="D932">
        <v>79.964538574000002</v>
      </c>
      <c r="E932">
        <v>50</v>
      </c>
      <c r="F932">
        <v>42.856231688999998</v>
      </c>
      <c r="G932">
        <v>1414.2155762</v>
      </c>
      <c r="H932">
        <v>1390.0811768000001</v>
      </c>
      <c r="I932">
        <v>1248.4858397999999</v>
      </c>
      <c r="J932">
        <v>1209.5085449000001</v>
      </c>
      <c r="K932">
        <v>2400</v>
      </c>
      <c r="L932">
        <v>0</v>
      </c>
      <c r="M932">
        <v>0</v>
      </c>
      <c r="N932">
        <v>2400</v>
      </c>
    </row>
    <row r="933" spans="1:14" x14ac:dyDescent="0.25">
      <c r="A933">
        <v>449.89074299999999</v>
      </c>
      <c r="B933" s="1">
        <f>DATE(2011,7,24) + TIME(21,22,40)</f>
        <v>40748.890740740739</v>
      </c>
      <c r="C933">
        <v>80</v>
      </c>
      <c r="D933">
        <v>79.964584350999999</v>
      </c>
      <c r="E933">
        <v>50</v>
      </c>
      <c r="F933">
        <v>42.732471466</v>
      </c>
      <c r="G933">
        <v>1414.1520995999999</v>
      </c>
      <c r="H933">
        <v>1390.0191649999999</v>
      </c>
      <c r="I933">
        <v>1248.2530518000001</v>
      </c>
      <c r="J933">
        <v>1209.1674805</v>
      </c>
      <c r="K933">
        <v>2400</v>
      </c>
      <c r="L933">
        <v>0</v>
      </c>
      <c r="M933">
        <v>0</v>
      </c>
      <c r="N933">
        <v>2400</v>
      </c>
    </row>
    <row r="934" spans="1:14" x14ac:dyDescent="0.25">
      <c r="A934">
        <v>451.15474899999998</v>
      </c>
      <c r="B934" s="1">
        <f>DATE(2011,7,26) + TIME(3,42,50)</f>
        <v>40750.154745370368</v>
      </c>
      <c r="C934">
        <v>80</v>
      </c>
      <c r="D934">
        <v>79.964637756000002</v>
      </c>
      <c r="E934">
        <v>50</v>
      </c>
      <c r="F934">
        <v>42.605545044000003</v>
      </c>
      <c r="G934">
        <v>1414.0888672000001</v>
      </c>
      <c r="H934">
        <v>1389.9573975000001</v>
      </c>
      <c r="I934">
        <v>1248.0145264</v>
      </c>
      <c r="J934">
        <v>1208.8171387</v>
      </c>
      <c r="K934">
        <v>2400</v>
      </c>
      <c r="L934">
        <v>0</v>
      </c>
      <c r="M934">
        <v>0</v>
      </c>
      <c r="N934">
        <v>2400</v>
      </c>
    </row>
    <row r="935" spans="1:14" x14ac:dyDescent="0.25">
      <c r="A935">
        <v>452.43454800000001</v>
      </c>
      <c r="B935" s="1">
        <f>DATE(2011,7,27) + TIME(10,25,44)</f>
        <v>40751.434537037036</v>
      </c>
      <c r="C935">
        <v>80</v>
      </c>
      <c r="D935">
        <v>79.964683532999999</v>
      </c>
      <c r="E935">
        <v>50</v>
      </c>
      <c r="F935">
        <v>42.475078582999998</v>
      </c>
      <c r="G935">
        <v>1414.0258789</v>
      </c>
      <c r="H935">
        <v>1389.895874</v>
      </c>
      <c r="I935">
        <v>1247.7696533000001</v>
      </c>
      <c r="J935">
        <v>1208.4564209</v>
      </c>
      <c r="K935">
        <v>2400</v>
      </c>
      <c r="L935">
        <v>0</v>
      </c>
      <c r="M935">
        <v>0</v>
      </c>
      <c r="N935">
        <v>2400</v>
      </c>
    </row>
    <row r="936" spans="1:14" x14ac:dyDescent="0.25">
      <c r="A936">
        <v>453.73358000000002</v>
      </c>
      <c r="B936" s="1">
        <f>DATE(2011,7,28) + TIME(17,36,21)</f>
        <v>40752.733576388891</v>
      </c>
      <c r="C936">
        <v>80</v>
      </c>
      <c r="D936">
        <v>79.964729309000006</v>
      </c>
      <c r="E936">
        <v>50</v>
      </c>
      <c r="F936">
        <v>42.340671538999999</v>
      </c>
      <c r="G936">
        <v>1413.9628906</v>
      </c>
      <c r="H936">
        <v>1389.8344727000001</v>
      </c>
      <c r="I936">
        <v>1247.5178223</v>
      </c>
      <c r="J936">
        <v>1208.0843506000001</v>
      </c>
      <c r="K936">
        <v>2400</v>
      </c>
      <c r="L936">
        <v>0</v>
      </c>
      <c r="M936">
        <v>0</v>
      </c>
      <c r="N936">
        <v>2400</v>
      </c>
    </row>
    <row r="937" spans="1:14" x14ac:dyDescent="0.25">
      <c r="A937">
        <v>455.04853100000003</v>
      </c>
      <c r="B937" s="1">
        <f>DATE(2011,7,30) + TIME(1,9,53)</f>
        <v>40754.048530092594</v>
      </c>
      <c r="C937">
        <v>80</v>
      </c>
      <c r="D937">
        <v>79.964782714999998</v>
      </c>
      <c r="E937">
        <v>50</v>
      </c>
      <c r="F937">
        <v>42.202037810999997</v>
      </c>
      <c r="G937">
        <v>1413.8999022999999</v>
      </c>
      <c r="H937">
        <v>1389.7729492000001</v>
      </c>
      <c r="I937">
        <v>1247.2581786999999</v>
      </c>
      <c r="J937">
        <v>1207.7000731999999</v>
      </c>
      <c r="K937">
        <v>2400</v>
      </c>
      <c r="L937">
        <v>0</v>
      </c>
      <c r="M937">
        <v>0</v>
      </c>
      <c r="N937">
        <v>2400</v>
      </c>
    </row>
    <row r="938" spans="1:14" x14ac:dyDescent="0.25">
      <c r="A938">
        <v>456.382746</v>
      </c>
      <c r="B938" s="1">
        <f>DATE(2011,7,31) + TIME(9,11,9)</f>
        <v>40755.382743055554</v>
      </c>
      <c r="C938">
        <v>80</v>
      </c>
      <c r="D938">
        <v>79.964828491000006</v>
      </c>
      <c r="E938">
        <v>50</v>
      </c>
      <c r="F938">
        <v>42.059097289999997</v>
      </c>
      <c r="G938">
        <v>1413.8369141000001</v>
      </c>
      <c r="H938">
        <v>1389.7115478999999</v>
      </c>
      <c r="I938">
        <v>1246.9913329999999</v>
      </c>
      <c r="J938">
        <v>1207.3038329999999</v>
      </c>
      <c r="K938">
        <v>2400</v>
      </c>
      <c r="L938">
        <v>0</v>
      </c>
      <c r="M938">
        <v>0</v>
      </c>
      <c r="N938">
        <v>2400</v>
      </c>
    </row>
    <row r="939" spans="1:14" x14ac:dyDescent="0.25">
      <c r="A939">
        <v>457</v>
      </c>
      <c r="B939" s="1">
        <f>DATE(2011,8,1) + TIME(0,0,0)</f>
        <v>40756</v>
      </c>
      <c r="C939">
        <v>80</v>
      </c>
      <c r="D939">
        <v>79.964851378999995</v>
      </c>
      <c r="E939">
        <v>50</v>
      </c>
      <c r="F939">
        <v>41.946140288999999</v>
      </c>
      <c r="G939">
        <v>1413.7739257999999</v>
      </c>
      <c r="H939">
        <v>1389.6499022999999</v>
      </c>
      <c r="I939">
        <v>1246.7199707</v>
      </c>
      <c r="J939">
        <v>1206.9261475000001</v>
      </c>
      <c r="K939">
        <v>2400</v>
      </c>
      <c r="L939">
        <v>0</v>
      </c>
      <c r="M939">
        <v>0</v>
      </c>
      <c r="N939">
        <v>2400</v>
      </c>
    </row>
    <row r="940" spans="1:14" x14ac:dyDescent="0.25">
      <c r="A940">
        <v>458.35077000000001</v>
      </c>
      <c r="B940" s="1">
        <f>DATE(2011,8,2) + TIME(8,25,6)</f>
        <v>40757.350763888891</v>
      </c>
      <c r="C940">
        <v>80</v>
      </c>
      <c r="D940">
        <v>79.964904785000002</v>
      </c>
      <c r="E940">
        <v>50</v>
      </c>
      <c r="F940">
        <v>41.830615997000002</v>
      </c>
      <c r="G940">
        <v>1413.744751</v>
      </c>
      <c r="H940">
        <v>1389.621582</v>
      </c>
      <c r="I940">
        <v>1246.5845947</v>
      </c>
      <c r="J940">
        <v>1206.6887207</v>
      </c>
      <c r="K940">
        <v>2400</v>
      </c>
      <c r="L940">
        <v>0</v>
      </c>
      <c r="M940">
        <v>0</v>
      </c>
      <c r="N940">
        <v>2400</v>
      </c>
    </row>
    <row r="941" spans="1:14" x14ac:dyDescent="0.25">
      <c r="A941">
        <v>459.70781599999998</v>
      </c>
      <c r="B941" s="1">
        <f>DATE(2011,8,3) + TIME(16,59,15)</f>
        <v>40758.707812499997</v>
      </c>
      <c r="C941">
        <v>80</v>
      </c>
      <c r="D941">
        <v>79.964950561999999</v>
      </c>
      <c r="E941">
        <v>50</v>
      </c>
      <c r="F941">
        <v>41.686252594000003</v>
      </c>
      <c r="G941">
        <v>1413.6824951000001</v>
      </c>
      <c r="H941">
        <v>1389.5607910000001</v>
      </c>
      <c r="I941">
        <v>1246.3026123</v>
      </c>
      <c r="J941">
        <v>1206.2745361</v>
      </c>
      <c r="K941">
        <v>2400</v>
      </c>
      <c r="L941">
        <v>0</v>
      </c>
      <c r="M941">
        <v>0</v>
      </c>
      <c r="N941">
        <v>2400</v>
      </c>
    </row>
    <row r="942" spans="1:14" x14ac:dyDescent="0.25">
      <c r="A942">
        <v>461.07067999999998</v>
      </c>
      <c r="B942" s="1">
        <f>DATE(2011,8,5) + TIME(1,41,46)</f>
        <v>40760.070671296293</v>
      </c>
      <c r="C942">
        <v>80</v>
      </c>
      <c r="D942">
        <v>79.965003967000001</v>
      </c>
      <c r="E942">
        <v>50</v>
      </c>
      <c r="F942">
        <v>41.531909943000002</v>
      </c>
      <c r="G942">
        <v>1413.6203613</v>
      </c>
      <c r="H942">
        <v>1389.5001221</v>
      </c>
      <c r="I942">
        <v>1246.0131836</v>
      </c>
      <c r="J942">
        <v>1205.8427733999999</v>
      </c>
      <c r="K942">
        <v>2400</v>
      </c>
      <c r="L942">
        <v>0</v>
      </c>
      <c r="M942">
        <v>0</v>
      </c>
      <c r="N942">
        <v>2400</v>
      </c>
    </row>
    <row r="943" spans="1:14" x14ac:dyDescent="0.25">
      <c r="A943">
        <v>462.44266599999997</v>
      </c>
      <c r="B943" s="1">
        <f>DATE(2011,8,6) + TIME(10,37,26)</f>
        <v>40761.442662037036</v>
      </c>
      <c r="C943">
        <v>80</v>
      </c>
      <c r="D943">
        <v>79.965049743999998</v>
      </c>
      <c r="E943">
        <v>50</v>
      </c>
      <c r="F943">
        <v>41.372375488000003</v>
      </c>
      <c r="G943">
        <v>1413.5588379000001</v>
      </c>
      <c r="H943">
        <v>1389.4401855000001</v>
      </c>
      <c r="I943">
        <v>1245.7180175999999</v>
      </c>
      <c r="J943">
        <v>1205.4000243999999</v>
      </c>
      <c r="K943">
        <v>2400</v>
      </c>
      <c r="L943">
        <v>0</v>
      </c>
      <c r="M943">
        <v>0</v>
      </c>
      <c r="N943">
        <v>2400</v>
      </c>
    </row>
    <row r="944" spans="1:14" x14ac:dyDescent="0.25">
      <c r="A944">
        <v>463.827111</v>
      </c>
      <c r="B944" s="1">
        <f>DATE(2011,8,7) + TIME(19,51,2)</f>
        <v>40762.827106481483</v>
      </c>
      <c r="C944">
        <v>80</v>
      </c>
      <c r="D944">
        <v>79.965103149000001</v>
      </c>
      <c r="E944">
        <v>50</v>
      </c>
      <c r="F944">
        <v>41.208560943999998</v>
      </c>
      <c r="G944">
        <v>1413.4978027</v>
      </c>
      <c r="H944">
        <v>1389.3804932</v>
      </c>
      <c r="I944">
        <v>1245.4168701000001</v>
      </c>
      <c r="J944">
        <v>1204.9465332</v>
      </c>
      <c r="K944">
        <v>2400</v>
      </c>
      <c r="L944">
        <v>0</v>
      </c>
      <c r="M944">
        <v>0</v>
      </c>
      <c r="N944">
        <v>2400</v>
      </c>
    </row>
    <row r="945" spans="1:14" x14ac:dyDescent="0.25">
      <c r="A945">
        <v>465.22499399999998</v>
      </c>
      <c r="B945" s="1">
        <f>DATE(2011,8,9) + TIME(5,23,59)</f>
        <v>40764.224988425929</v>
      </c>
      <c r="C945">
        <v>80</v>
      </c>
      <c r="D945">
        <v>79.965156554999993</v>
      </c>
      <c r="E945">
        <v>50</v>
      </c>
      <c r="F945">
        <v>41.040424346999998</v>
      </c>
      <c r="G945">
        <v>1413.4368896000001</v>
      </c>
      <c r="H945">
        <v>1389.3210449000001</v>
      </c>
      <c r="I945">
        <v>1245.1088867000001</v>
      </c>
      <c r="J945">
        <v>1204.4815673999999</v>
      </c>
      <c r="K945">
        <v>2400</v>
      </c>
      <c r="L945">
        <v>0</v>
      </c>
      <c r="M945">
        <v>0</v>
      </c>
      <c r="N945">
        <v>2400</v>
      </c>
    </row>
    <row r="946" spans="1:14" x14ac:dyDescent="0.25">
      <c r="A946">
        <v>466.63656900000001</v>
      </c>
      <c r="B946" s="1">
        <f>DATE(2011,8,10) + TIME(15,16,39)</f>
        <v>40765.636562500003</v>
      </c>
      <c r="C946">
        <v>80</v>
      </c>
      <c r="D946">
        <v>79.965202332000004</v>
      </c>
      <c r="E946">
        <v>50</v>
      </c>
      <c r="F946">
        <v>40.867847443000002</v>
      </c>
      <c r="G946">
        <v>1413.3760986</v>
      </c>
      <c r="H946">
        <v>1389.2617187999999</v>
      </c>
      <c r="I946">
        <v>1244.7938231999999</v>
      </c>
      <c r="J946">
        <v>1204.0050048999999</v>
      </c>
      <c r="K946">
        <v>2400</v>
      </c>
      <c r="L946">
        <v>0</v>
      </c>
      <c r="M946">
        <v>0</v>
      </c>
      <c r="N946">
        <v>2400</v>
      </c>
    </row>
    <row r="947" spans="1:14" x14ac:dyDescent="0.25">
      <c r="A947">
        <v>468.06350600000002</v>
      </c>
      <c r="B947" s="1">
        <f>DATE(2011,8,12) + TIME(1,31,26)</f>
        <v>40767.06349537037</v>
      </c>
      <c r="C947">
        <v>80</v>
      </c>
      <c r="D947">
        <v>79.965255737000007</v>
      </c>
      <c r="E947">
        <v>50</v>
      </c>
      <c r="F947">
        <v>40.690689087000003</v>
      </c>
      <c r="G947">
        <v>1413.3155518000001</v>
      </c>
      <c r="H947">
        <v>1389.2026367000001</v>
      </c>
      <c r="I947">
        <v>1244.4718018000001</v>
      </c>
      <c r="J947">
        <v>1203.5163574000001</v>
      </c>
      <c r="K947">
        <v>2400</v>
      </c>
      <c r="L947">
        <v>0</v>
      </c>
      <c r="M947">
        <v>0</v>
      </c>
      <c r="N947">
        <v>2400</v>
      </c>
    </row>
    <row r="948" spans="1:14" x14ac:dyDescent="0.25">
      <c r="A948">
        <v>469.50329199999999</v>
      </c>
      <c r="B948" s="1">
        <f>DATE(2011,8,13) + TIME(12,4,44)</f>
        <v>40768.503287037034</v>
      </c>
      <c r="C948">
        <v>80</v>
      </c>
      <c r="D948">
        <v>79.965309142999999</v>
      </c>
      <c r="E948">
        <v>50</v>
      </c>
      <c r="F948">
        <v>40.508842467999997</v>
      </c>
      <c r="G948">
        <v>1413.2550048999999</v>
      </c>
      <c r="H948">
        <v>1389.1436768000001</v>
      </c>
      <c r="I948">
        <v>1244.1422118999999</v>
      </c>
      <c r="J948">
        <v>1203.0152588000001</v>
      </c>
      <c r="K948">
        <v>2400</v>
      </c>
      <c r="L948">
        <v>0</v>
      </c>
      <c r="M948">
        <v>0</v>
      </c>
      <c r="N948">
        <v>2400</v>
      </c>
    </row>
    <row r="949" spans="1:14" x14ac:dyDescent="0.25">
      <c r="A949">
        <v>470.96010000000001</v>
      </c>
      <c r="B949" s="1">
        <f>DATE(2011,8,14) + TIME(23,2,32)</f>
        <v>40769.960092592592</v>
      </c>
      <c r="C949">
        <v>80</v>
      </c>
      <c r="D949">
        <v>79.965362549000005</v>
      </c>
      <c r="E949">
        <v>50</v>
      </c>
      <c r="F949">
        <v>40.322303771999998</v>
      </c>
      <c r="G949">
        <v>1413.1948242000001</v>
      </c>
      <c r="H949">
        <v>1389.0848389</v>
      </c>
      <c r="I949">
        <v>1243.8057861</v>
      </c>
      <c r="J949">
        <v>1202.5021973</v>
      </c>
      <c r="K949">
        <v>2400</v>
      </c>
      <c r="L949">
        <v>0</v>
      </c>
      <c r="M949">
        <v>0</v>
      </c>
      <c r="N949">
        <v>2400</v>
      </c>
    </row>
    <row r="950" spans="1:14" x14ac:dyDescent="0.25">
      <c r="A950">
        <v>472.43833599999999</v>
      </c>
      <c r="B950" s="1">
        <f>DATE(2011,8,16) + TIME(10,31,12)</f>
        <v>40771.438333333332</v>
      </c>
      <c r="C950">
        <v>80</v>
      </c>
      <c r="D950">
        <v>79.965415954999997</v>
      </c>
      <c r="E950">
        <v>50</v>
      </c>
      <c r="F950">
        <v>40.130611420000001</v>
      </c>
      <c r="G950">
        <v>1413.1345214999999</v>
      </c>
      <c r="H950">
        <v>1389.026001</v>
      </c>
      <c r="I950">
        <v>1243.4613036999999</v>
      </c>
      <c r="J950">
        <v>1201.9757079999999</v>
      </c>
      <c r="K950">
        <v>2400</v>
      </c>
      <c r="L950">
        <v>0</v>
      </c>
      <c r="M950">
        <v>0</v>
      </c>
      <c r="N950">
        <v>2400</v>
      </c>
    </row>
    <row r="951" spans="1:14" x14ac:dyDescent="0.25">
      <c r="A951">
        <v>473.92226099999999</v>
      </c>
      <c r="B951" s="1">
        <f>DATE(2011,8,17) + TIME(22,8,3)</f>
        <v>40772.922256944446</v>
      </c>
      <c r="C951">
        <v>80</v>
      </c>
      <c r="D951">
        <v>79.96546936</v>
      </c>
      <c r="E951">
        <v>50</v>
      </c>
      <c r="F951">
        <v>39.933834075999997</v>
      </c>
      <c r="G951">
        <v>1413.0740966999999</v>
      </c>
      <c r="H951">
        <v>1388.9670410000001</v>
      </c>
      <c r="I951">
        <v>1243.1080322</v>
      </c>
      <c r="J951">
        <v>1201.4349365</v>
      </c>
      <c r="K951">
        <v>2400</v>
      </c>
      <c r="L951">
        <v>0</v>
      </c>
      <c r="M951">
        <v>0</v>
      </c>
      <c r="N951">
        <v>2400</v>
      </c>
    </row>
    <row r="952" spans="1:14" x14ac:dyDescent="0.25">
      <c r="A952">
        <v>475.40932700000002</v>
      </c>
      <c r="B952" s="1">
        <f>DATE(2011,8,19) + TIME(9,49,25)</f>
        <v>40774.409317129626</v>
      </c>
      <c r="C952">
        <v>80</v>
      </c>
      <c r="D952">
        <v>79.965515136999997</v>
      </c>
      <c r="E952">
        <v>50</v>
      </c>
      <c r="F952">
        <v>39.733173370000003</v>
      </c>
      <c r="G952">
        <v>1413.0142822</v>
      </c>
      <c r="H952">
        <v>1388.9085693</v>
      </c>
      <c r="I952">
        <v>1242.7495117000001</v>
      </c>
      <c r="J952">
        <v>1200.8845214999999</v>
      </c>
      <c r="K952">
        <v>2400</v>
      </c>
      <c r="L952">
        <v>0</v>
      </c>
      <c r="M952">
        <v>0</v>
      </c>
      <c r="N952">
        <v>2400</v>
      </c>
    </row>
    <row r="953" spans="1:14" x14ac:dyDescent="0.25">
      <c r="A953">
        <v>476.90316000000001</v>
      </c>
      <c r="B953" s="1">
        <f>DATE(2011,8,20) + TIME(21,40,33)</f>
        <v>40775.90315972222</v>
      </c>
      <c r="C953">
        <v>80</v>
      </c>
      <c r="D953">
        <v>79.965568542</v>
      </c>
      <c r="E953">
        <v>50</v>
      </c>
      <c r="F953">
        <v>39.528972625999998</v>
      </c>
      <c r="G953">
        <v>1412.9549560999999</v>
      </c>
      <c r="H953">
        <v>1388.8507079999999</v>
      </c>
      <c r="I953">
        <v>1242.3863524999999</v>
      </c>
      <c r="J953">
        <v>1200.3255615</v>
      </c>
      <c r="K953">
        <v>2400</v>
      </c>
      <c r="L953">
        <v>0</v>
      </c>
      <c r="M953">
        <v>0</v>
      </c>
      <c r="N953">
        <v>2400</v>
      </c>
    </row>
    <row r="954" spans="1:14" x14ac:dyDescent="0.25">
      <c r="A954">
        <v>478.40562699999998</v>
      </c>
      <c r="B954" s="1">
        <f>DATE(2011,8,22) + TIME(9,44,6)</f>
        <v>40777.405624999999</v>
      </c>
      <c r="C954">
        <v>80</v>
      </c>
      <c r="D954">
        <v>79.965621948000006</v>
      </c>
      <c r="E954">
        <v>50</v>
      </c>
      <c r="F954">
        <v>39.321044921999999</v>
      </c>
      <c r="G954">
        <v>1412.8959961</v>
      </c>
      <c r="H954">
        <v>1388.7932129000001</v>
      </c>
      <c r="I954">
        <v>1242.0180664</v>
      </c>
      <c r="J954">
        <v>1199.7572021000001</v>
      </c>
      <c r="K954">
        <v>2400</v>
      </c>
      <c r="L954">
        <v>0</v>
      </c>
      <c r="M954">
        <v>0</v>
      </c>
      <c r="N954">
        <v>2400</v>
      </c>
    </row>
    <row r="955" spans="1:14" x14ac:dyDescent="0.25">
      <c r="A955">
        <v>479.91548399999999</v>
      </c>
      <c r="B955" s="1">
        <f>DATE(2011,8,23) + TIME(21,58,17)</f>
        <v>40778.91547453704</v>
      </c>
      <c r="C955">
        <v>80</v>
      </c>
      <c r="D955">
        <v>79.965675353999998</v>
      </c>
      <c r="E955">
        <v>50</v>
      </c>
      <c r="F955">
        <v>39.109306334999999</v>
      </c>
      <c r="G955">
        <v>1412.8374022999999</v>
      </c>
      <c r="H955">
        <v>1388.7360839999999</v>
      </c>
      <c r="I955">
        <v>1241.644043</v>
      </c>
      <c r="J955">
        <v>1199.1788329999999</v>
      </c>
      <c r="K955">
        <v>2400</v>
      </c>
      <c r="L955">
        <v>0</v>
      </c>
      <c r="M955">
        <v>0</v>
      </c>
      <c r="N955">
        <v>2400</v>
      </c>
    </row>
    <row r="956" spans="1:14" x14ac:dyDescent="0.25">
      <c r="A956">
        <v>481.436802</v>
      </c>
      <c r="B956" s="1">
        <f>DATE(2011,8,25) + TIME(10,28,59)</f>
        <v>40780.436793981484</v>
      </c>
      <c r="C956">
        <v>80</v>
      </c>
      <c r="D956">
        <v>79.965728760000005</v>
      </c>
      <c r="E956">
        <v>50</v>
      </c>
      <c r="F956">
        <v>38.893733978</v>
      </c>
      <c r="G956">
        <v>1412.7792969</v>
      </c>
      <c r="H956">
        <v>1388.6793213000001</v>
      </c>
      <c r="I956">
        <v>1241.2648925999999</v>
      </c>
      <c r="J956">
        <v>1198.5910644999999</v>
      </c>
      <c r="K956">
        <v>2400</v>
      </c>
      <c r="L956">
        <v>0</v>
      </c>
      <c r="M956">
        <v>0</v>
      </c>
      <c r="N956">
        <v>2400</v>
      </c>
    </row>
    <row r="957" spans="1:14" x14ac:dyDescent="0.25">
      <c r="A957">
        <v>482.97371399999997</v>
      </c>
      <c r="B957" s="1">
        <f>DATE(2011,8,26) + TIME(23,22,8)</f>
        <v>40781.973703703705</v>
      </c>
      <c r="C957">
        <v>80</v>
      </c>
      <c r="D957">
        <v>79.965782165999997</v>
      </c>
      <c r="E957">
        <v>50</v>
      </c>
      <c r="F957">
        <v>38.673908234000002</v>
      </c>
      <c r="G957">
        <v>1412.7213135</v>
      </c>
      <c r="H957">
        <v>1388.6228027</v>
      </c>
      <c r="I957">
        <v>1240.8795166</v>
      </c>
      <c r="J957">
        <v>1197.9921875</v>
      </c>
      <c r="K957">
        <v>2400</v>
      </c>
      <c r="L957">
        <v>0</v>
      </c>
      <c r="M957">
        <v>0</v>
      </c>
      <c r="N957">
        <v>2400</v>
      </c>
    </row>
    <row r="958" spans="1:14" x14ac:dyDescent="0.25">
      <c r="A958">
        <v>484.52990599999998</v>
      </c>
      <c r="B958" s="1">
        <f>DATE(2011,8,28) + TIME(12,43,3)</f>
        <v>40783.529895833337</v>
      </c>
      <c r="C958">
        <v>80</v>
      </c>
      <c r="D958">
        <v>79.965835571</v>
      </c>
      <c r="E958">
        <v>50</v>
      </c>
      <c r="F958">
        <v>38.449325561999999</v>
      </c>
      <c r="G958">
        <v>1412.6634521000001</v>
      </c>
      <c r="H958">
        <v>1388.5662841999999</v>
      </c>
      <c r="I958">
        <v>1240.4869385</v>
      </c>
      <c r="J958">
        <v>1197.3808594</v>
      </c>
      <c r="K958">
        <v>2400</v>
      </c>
      <c r="L958">
        <v>0</v>
      </c>
      <c r="M958">
        <v>0</v>
      </c>
      <c r="N958">
        <v>2400</v>
      </c>
    </row>
    <row r="959" spans="1:14" x14ac:dyDescent="0.25">
      <c r="A959">
        <v>486.105749</v>
      </c>
      <c r="B959" s="1">
        <f>DATE(2011,8,30) + TIME(2,32,16)</f>
        <v>40785.105740740742</v>
      </c>
      <c r="C959">
        <v>80</v>
      </c>
      <c r="D959">
        <v>79.965888977000006</v>
      </c>
      <c r="E959">
        <v>50</v>
      </c>
      <c r="F959">
        <v>38.219593048</v>
      </c>
      <c r="G959">
        <v>1412.6054687999999</v>
      </c>
      <c r="H959">
        <v>1388.5096435999999</v>
      </c>
      <c r="I959">
        <v>1240.0865478999999</v>
      </c>
      <c r="J959">
        <v>1196.7558594</v>
      </c>
      <c r="K959">
        <v>2400</v>
      </c>
      <c r="L959">
        <v>0</v>
      </c>
      <c r="M959">
        <v>0</v>
      </c>
      <c r="N959">
        <v>2400</v>
      </c>
    </row>
    <row r="960" spans="1:14" x14ac:dyDescent="0.25">
      <c r="A960">
        <v>486.89798000000002</v>
      </c>
      <c r="B960" s="1">
        <f>DATE(2011,8,30) + TIME(21,33,5)</f>
        <v>40785.897974537038</v>
      </c>
      <c r="C960">
        <v>80</v>
      </c>
      <c r="D960">
        <v>79.965919494999994</v>
      </c>
      <c r="E960">
        <v>50</v>
      </c>
      <c r="F960">
        <v>38.028167725000003</v>
      </c>
      <c r="G960">
        <v>1412.5472411999999</v>
      </c>
      <c r="H960">
        <v>1388.4528809000001</v>
      </c>
      <c r="I960">
        <v>1239.6810303</v>
      </c>
      <c r="J960">
        <v>1196.1594238</v>
      </c>
      <c r="K960">
        <v>2400</v>
      </c>
      <c r="L960">
        <v>0</v>
      </c>
      <c r="M960">
        <v>0</v>
      </c>
      <c r="N960">
        <v>2400</v>
      </c>
    </row>
    <row r="961" spans="1:14" x14ac:dyDescent="0.25">
      <c r="A961">
        <v>488</v>
      </c>
      <c r="B961" s="1">
        <f>DATE(2011,9,1) + TIME(0,0,0)</f>
        <v>40787</v>
      </c>
      <c r="C961">
        <v>80</v>
      </c>
      <c r="D961">
        <v>79.965957642000006</v>
      </c>
      <c r="E961">
        <v>50</v>
      </c>
      <c r="F961">
        <v>37.865158080999997</v>
      </c>
      <c r="G961">
        <v>1412.5179443</v>
      </c>
      <c r="H961">
        <v>1388.4241943</v>
      </c>
      <c r="I961">
        <v>1239.46875</v>
      </c>
      <c r="J961">
        <v>1195.7883300999999</v>
      </c>
      <c r="K961">
        <v>2400</v>
      </c>
      <c r="L961">
        <v>0</v>
      </c>
      <c r="M961">
        <v>0</v>
      </c>
      <c r="N961">
        <v>2400</v>
      </c>
    </row>
    <row r="962" spans="1:14" x14ac:dyDescent="0.25">
      <c r="A962">
        <v>488.79223100000002</v>
      </c>
      <c r="B962" s="1">
        <f>DATE(2011,9,1) + TIME(19,0,48)</f>
        <v>40787.792222222219</v>
      </c>
      <c r="C962">
        <v>80</v>
      </c>
      <c r="D962">
        <v>79.965980529999996</v>
      </c>
      <c r="E962">
        <v>50</v>
      </c>
      <c r="F962">
        <v>37.716323852999999</v>
      </c>
      <c r="G962">
        <v>1412.4779053</v>
      </c>
      <c r="H962">
        <v>1388.3851318</v>
      </c>
      <c r="I962">
        <v>1239.1820068</v>
      </c>
      <c r="J962">
        <v>1195.3540039</v>
      </c>
      <c r="K962">
        <v>2400</v>
      </c>
      <c r="L962">
        <v>0</v>
      </c>
      <c r="M962">
        <v>0</v>
      </c>
      <c r="N962">
        <v>2400</v>
      </c>
    </row>
    <row r="963" spans="1:14" x14ac:dyDescent="0.25">
      <c r="A963">
        <v>489.58446199999997</v>
      </c>
      <c r="B963" s="1">
        <f>DATE(2011,9,2) + TIME(14,1,37)</f>
        <v>40788.584456018521</v>
      </c>
      <c r="C963">
        <v>80</v>
      </c>
      <c r="D963">
        <v>79.966011046999995</v>
      </c>
      <c r="E963">
        <v>50</v>
      </c>
      <c r="F963">
        <v>37.585075377999999</v>
      </c>
      <c r="G963">
        <v>1412.4490966999999</v>
      </c>
      <c r="H963">
        <v>1388.3570557</v>
      </c>
      <c r="I963">
        <v>1238.9722899999999</v>
      </c>
      <c r="J963">
        <v>1195.0148925999999</v>
      </c>
      <c r="K963">
        <v>2400</v>
      </c>
      <c r="L963">
        <v>0</v>
      </c>
      <c r="M963">
        <v>0</v>
      </c>
      <c r="N963">
        <v>2400</v>
      </c>
    </row>
    <row r="964" spans="1:14" x14ac:dyDescent="0.25">
      <c r="A964">
        <v>490.37669199999999</v>
      </c>
      <c r="B964" s="1">
        <f>DATE(2011,9,3) + TIME(9,2,26)</f>
        <v>40789.376689814817</v>
      </c>
      <c r="C964">
        <v>80</v>
      </c>
      <c r="D964">
        <v>79.966033936000002</v>
      </c>
      <c r="E964">
        <v>50</v>
      </c>
      <c r="F964">
        <v>37.459987640000001</v>
      </c>
      <c r="G964">
        <v>1412.4206543</v>
      </c>
      <c r="H964">
        <v>1388.3292236</v>
      </c>
      <c r="I964">
        <v>1238.7630615</v>
      </c>
      <c r="J964">
        <v>1194.682251</v>
      </c>
      <c r="K964">
        <v>2400</v>
      </c>
      <c r="L964">
        <v>0</v>
      </c>
      <c r="M964">
        <v>0</v>
      </c>
      <c r="N964">
        <v>2400</v>
      </c>
    </row>
    <row r="965" spans="1:14" x14ac:dyDescent="0.25">
      <c r="A965">
        <v>491.16892300000001</v>
      </c>
      <c r="B965" s="1">
        <f>DATE(2011,9,4) + TIME(4,3,14)</f>
        <v>40790.168912037036</v>
      </c>
      <c r="C965">
        <v>80</v>
      </c>
      <c r="D965">
        <v>79.966064453000001</v>
      </c>
      <c r="E965">
        <v>50</v>
      </c>
      <c r="F965">
        <v>37.336872100999997</v>
      </c>
      <c r="G965">
        <v>1412.3923339999999</v>
      </c>
      <c r="H965">
        <v>1388.3016356999999</v>
      </c>
      <c r="I965">
        <v>1238.5537108999999</v>
      </c>
      <c r="J965">
        <v>1194.3510742000001</v>
      </c>
      <c r="K965">
        <v>2400</v>
      </c>
      <c r="L965">
        <v>0</v>
      </c>
      <c r="M965">
        <v>0</v>
      </c>
      <c r="N965">
        <v>2400</v>
      </c>
    </row>
    <row r="966" spans="1:14" x14ac:dyDescent="0.25">
      <c r="A966">
        <v>491.96115400000002</v>
      </c>
      <c r="B966" s="1">
        <f>DATE(2011,9,4) + TIME(23,4,3)</f>
        <v>40790.961145833331</v>
      </c>
      <c r="C966">
        <v>80</v>
      </c>
      <c r="D966">
        <v>79.966087341000005</v>
      </c>
      <c r="E966">
        <v>50</v>
      </c>
      <c r="F966">
        <v>37.214199065999999</v>
      </c>
      <c r="G966">
        <v>1412.3641356999999</v>
      </c>
      <c r="H966">
        <v>1388.2740478999999</v>
      </c>
      <c r="I966">
        <v>1238.3438721</v>
      </c>
      <c r="J966">
        <v>1194.0196533000001</v>
      </c>
      <c r="K966">
        <v>2400</v>
      </c>
      <c r="L966">
        <v>0</v>
      </c>
      <c r="M966">
        <v>0</v>
      </c>
      <c r="N966">
        <v>2400</v>
      </c>
    </row>
    <row r="967" spans="1:14" x14ac:dyDescent="0.25">
      <c r="A967">
        <v>493.545616</v>
      </c>
      <c r="B967" s="1">
        <f>DATE(2011,9,6) + TIME(13,5,41)</f>
        <v>40792.545613425929</v>
      </c>
      <c r="C967">
        <v>80</v>
      </c>
      <c r="D967">
        <v>79.966140746999997</v>
      </c>
      <c r="E967">
        <v>50</v>
      </c>
      <c r="F967">
        <v>37.063713073999999</v>
      </c>
      <c r="G967">
        <v>1412.3364257999999</v>
      </c>
      <c r="H967">
        <v>1388.2470702999999</v>
      </c>
      <c r="I967">
        <v>1238.1320800999999</v>
      </c>
      <c r="J967">
        <v>1193.6604004000001</v>
      </c>
      <c r="K967">
        <v>2400</v>
      </c>
      <c r="L967">
        <v>0</v>
      </c>
      <c r="M967">
        <v>0</v>
      </c>
      <c r="N967">
        <v>2400</v>
      </c>
    </row>
    <row r="968" spans="1:14" x14ac:dyDescent="0.25">
      <c r="A968">
        <v>495.13228900000001</v>
      </c>
      <c r="B968" s="1">
        <f>DATE(2011,9,8) + TIME(3,10,29)</f>
        <v>40794.132280092592</v>
      </c>
      <c r="C968">
        <v>80</v>
      </c>
      <c r="D968">
        <v>79.966194153000004</v>
      </c>
      <c r="E968">
        <v>50</v>
      </c>
      <c r="F968">
        <v>36.839084624999998</v>
      </c>
      <c r="G968">
        <v>1412.2811279</v>
      </c>
      <c r="H968">
        <v>1388.1931152</v>
      </c>
      <c r="I968">
        <v>1237.7136230000001</v>
      </c>
      <c r="J968">
        <v>1193.0183105000001</v>
      </c>
      <c r="K968">
        <v>2400</v>
      </c>
      <c r="L968">
        <v>0</v>
      </c>
      <c r="M968">
        <v>0</v>
      </c>
      <c r="N968">
        <v>2400</v>
      </c>
    </row>
    <row r="969" spans="1:14" x14ac:dyDescent="0.25">
      <c r="A969">
        <v>496.73885899999999</v>
      </c>
      <c r="B969" s="1">
        <f>DATE(2011,9,9) + TIME(17,43,57)</f>
        <v>40795.738854166666</v>
      </c>
      <c r="C969">
        <v>80</v>
      </c>
      <c r="D969">
        <v>79.966247558999996</v>
      </c>
      <c r="E969">
        <v>50</v>
      </c>
      <c r="F969">
        <v>36.595577239999997</v>
      </c>
      <c r="G969">
        <v>1412.2260742000001</v>
      </c>
      <c r="H969">
        <v>1388.1392822</v>
      </c>
      <c r="I969">
        <v>1237.2890625</v>
      </c>
      <c r="J969">
        <v>1192.3498535000001</v>
      </c>
      <c r="K969">
        <v>2400</v>
      </c>
      <c r="L969">
        <v>0</v>
      </c>
      <c r="M969">
        <v>0</v>
      </c>
      <c r="N969">
        <v>2400</v>
      </c>
    </row>
    <row r="970" spans="1:14" x14ac:dyDescent="0.25">
      <c r="A970">
        <v>498.36923200000001</v>
      </c>
      <c r="B970" s="1">
        <f>DATE(2011,9,11) + TIME(8,51,41)</f>
        <v>40797.36922453704</v>
      </c>
      <c r="C970">
        <v>80</v>
      </c>
      <c r="D970">
        <v>79.966308593999997</v>
      </c>
      <c r="E970">
        <v>50</v>
      </c>
      <c r="F970">
        <v>36.344173431000002</v>
      </c>
      <c r="G970">
        <v>1412.1707764</v>
      </c>
      <c r="H970">
        <v>1388.0853271000001</v>
      </c>
      <c r="I970">
        <v>1236.8569336</v>
      </c>
      <c r="J970">
        <v>1191.6645507999999</v>
      </c>
      <c r="K970">
        <v>2400</v>
      </c>
      <c r="L970">
        <v>0</v>
      </c>
      <c r="M970">
        <v>0</v>
      </c>
      <c r="N970">
        <v>2400</v>
      </c>
    </row>
    <row r="971" spans="1:14" x14ac:dyDescent="0.25">
      <c r="A971">
        <v>500.02720799999997</v>
      </c>
      <c r="B971" s="1">
        <f>DATE(2011,9,13) + TIME(0,39,10)</f>
        <v>40799.027199074073</v>
      </c>
      <c r="C971">
        <v>80</v>
      </c>
      <c r="D971">
        <v>79.966362000000004</v>
      </c>
      <c r="E971">
        <v>50</v>
      </c>
      <c r="F971">
        <v>36.086963654000002</v>
      </c>
      <c r="G971">
        <v>1412.1153564000001</v>
      </c>
      <c r="H971">
        <v>1388.03125</v>
      </c>
      <c r="I971">
        <v>1236.4165039</v>
      </c>
      <c r="J971">
        <v>1190.9642334</v>
      </c>
      <c r="K971">
        <v>2400</v>
      </c>
      <c r="L971">
        <v>0</v>
      </c>
      <c r="M971">
        <v>0</v>
      </c>
      <c r="N971">
        <v>2400</v>
      </c>
    </row>
    <row r="972" spans="1:14" x14ac:dyDescent="0.25">
      <c r="A972">
        <v>501.69800500000002</v>
      </c>
      <c r="B972" s="1">
        <f>DATE(2011,9,14) + TIME(16,45,7)</f>
        <v>40800.697997685187</v>
      </c>
      <c r="C972">
        <v>80</v>
      </c>
      <c r="D972">
        <v>79.966415405000006</v>
      </c>
      <c r="E972">
        <v>50</v>
      </c>
      <c r="F972">
        <v>35.824668883999998</v>
      </c>
      <c r="G972">
        <v>1412.0594481999999</v>
      </c>
      <c r="H972">
        <v>1387.9766846</v>
      </c>
      <c r="I972">
        <v>1235.9671631000001</v>
      </c>
      <c r="J972">
        <v>1190.2484131000001</v>
      </c>
      <c r="K972">
        <v>2400</v>
      </c>
      <c r="L972">
        <v>0</v>
      </c>
      <c r="M972">
        <v>0</v>
      </c>
      <c r="N972">
        <v>2400</v>
      </c>
    </row>
    <row r="973" spans="1:14" x14ac:dyDescent="0.25">
      <c r="A973">
        <v>503.37202400000001</v>
      </c>
      <c r="B973" s="1">
        <f>DATE(2011,9,16) + TIME(8,55,42)</f>
        <v>40802.372013888889</v>
      </c>
      <c r="C973">
        <v>80</v>
      </c>
      <c r="D973">
        <v>79.966468810999999</v>
      </c>
      <c r="E973">
        <v>50</v>
      </c>
      <c r="F973">
        <v>35.559207915999998</v>
      </c>
      <c r="G973">
        <v>1412.0036620999999</v>
      </c>
      <c r="H973">
        <v>1387.9221190999999</v>
      </c>
      <c r="I973">
        <v>1235.5129394999999</v>
      </c>
      <c r="J973">
        <v>1189.5231934000001</v>
      </c>
      <c r="K973">
        <v>2400</v>
      </c>
      <c r="L973">
        <v>0</v>
      </c>
      <c r="M973">
        <v>0</v>
      </c>
      <c r="N973">
        <v>2400</v>
      </c>
    </row>
    <row r="974" spans="1:14" x14ac:dyDescent="0.25">
      <c r="A974">
        <v>505.04702300000002</v>
      </c>
      <c r="B974" s="1">
        <f>DATE(2011,9,18) + TIME(1,7,42)</f>
        <v>40804.047013888892</v>
      </c>
      <c r="C974">
        <v>80</v>
      </c>
      <c r="D974">
        <v>79.966522217000005</v>
      </c>
      <c r="E974">
        <v>50</v>
      </c>
      <c r="F974">
        <v>35.292091370000001</v>
      </c>
      <c r="G974">
        <v>1411.9482422000001</v>
      </c>
      <c r="H974">
        <v>1387.8681641000001</v>
      </c>
      <c r="I974">
        <v>1235.0565185999999</v>
      </c>
      <c r="J974">
        <v>1188.7927245999999</v>
      </c>
      <c r="K974">
        <v>2400</v>
      </c>
      <c r="L974">
        <v>0</v>
      </c>
      <c r="M974">
        <v>0</v>
      </c>
      <c r="N974">
        <v>2400</v>
      </c>
    </row>
    <row r="975" spans="1:14" x14ac:dyDescent="0.25">
      <c r="A975">
        <v>506.72682900000001</v>
      </c>
      <c r="B975" s="1">
        <f>DATE(2011,9,19) + TIME(17,26,37)</f>
        <v>40805.726817129631</v>
      </c>
      <c r="C975">
        <v>80</v>
      </c>
      <c r="D975">
        <v>79.966575622999997</v>
      </c>
      <c r="E975">
        <v>50</v>
      </c>
      <c r="F975">
        <v>35.023857116999999</v>
      </c>
      <c r="G975">
        <v>1411.8934326000001</v>
      </c>
      <c r="H975">
        <v>1387.8145752</v>
      </c>
      <c r="I975">
        <v>1234.5988769999999</v>
      </c>
      <c r="J975">
        <v>1188.0584716999999</v>
      </c>
      <c r="K975">
        <v>2400</v>
      </c>
      <c r="L975">
        <v>0</v>
      </c>
      <c r="M975">
        <v>0</v>
      </c>
      <c r="N975">
        <v>2400</v>
      </c>
    </row>
    <row r="976" spans="1:14" x14ac:dyDescent="0.25">
      <c r="A976">
        <v>508.41530799999998</v>
      </c>
      <c r="B976" s="1">
        <f>DATE(2011,9,21) + TIME(9,58,2)</f>
        <v>40807.415300925924</v>
      </c>
      <c r="C976">
        <v>80</v>
      </c>
      <c r="D976">
        <v>79.966636657999999</v>
      </c>
      <c r="E976">
        <v>50</v>
      </c>
      <c r="F976">
        <v>34.754280090000002</v>
      </c>
      <c r="G976">
        <v>1411.8388672000001</v>
      </c>
      <c r="H976">
        <v>1387.7612305</v>
      </c>
      <c r="I976">
        <v>1234.1392822</v>
      </c>
      <c r="J976">
        <v>1187.3194579999999</v>
      </c>
      <c r="K976">
        <v>2400</v>
      </c>
      <c r="L976">
        <v>0</v>
      </c>
      <c r="M976">
        <v>0</v>
      </c>
      <c r="N976">
        <v>2400</v>
      </c>
    </row>
    <row r="977" spans="1:14" x14ac:dyDescent="0.25">
      <c r="A977">
        <v>510.11442299999999</v>
      </c>
      <c r="B977" s="1">
        <f>DATE(2011,9,23) + TIME(2,44,46)</f>
        <v>40809.114421296297</v>
      </c>
      <c r="C977">
        <v>80</v>
      </c>
      <c r="D977">
        <v>79.966690063000001</v>
      </c>
      <c r="E977">
        <v>50</v>
      </c>
      <c r="F977">
        <v>34.483043670999997</v>
      </c>
      <c r="G977">
        <v>1411.7845459</v>
      </c>
      <c r="H977">
        <v>1387.7082519999999</v>
      </c>
      <c r="I977">
        <v>1233.6767577999999</v>
      </c>
      <c r="J977">
        <v>1186.5742187999999</v>
      </c>
      <c r="K977">
        <v>2400</v>
      </c>
      <c r="L977">
        <v>0</v>
      </c>
      <c r="M977">
        <v>0</v>
      </c>
      <c r="N977">
        <v>2400</v>
      </c>
    </row>
    <row r="978" spans="1:14" x14ac:dyDescent="0.25">
      <c r="A978">
        <v>511.82181200000002</v>
      </c>
      <c r="B978" s="1">
        <f>DATE(2011,9,24) + TIME(19,43,24)</f>
        <v>40810.821805555555</v>
      </c>
      <c r="C978">
        <v>80</v>
      </c>
      <c r="D978">
        <v>79.966743468999994</v>
      </c>
      <c r="E978">
        <v>50</v>
      </c>
      <c r="F978">
        <v>34.210121155000003</v>
      </c>
      <c r="G978">
        <v>1411.7303466999999</v>
      </c>
      <c r="H978">
        <v>1387.6552733999999</v>
      </c>
      <c r="I978">
        <v>1233.2110596</v>
      </c>
      <c r="J978">
        <v>1185.8223877</v>
      </c>
      <c r="K978">
        <v>2400</v>
      </c>
      <c r="L978">
        <v>0</v>
      </c>
      <c r="M978">
        <v>0</v>
      </c>
      <c r="N978">
        <v>2400</v>
      </c>
    </row>
    <row r="979" spans="1:14" x14ac:dyDescent="0.25">
      <c r="A979">
        <v>513.53595600000006</v>
      </c>
      <c r="B979" s="1">
        <f>DATE(2011,9,26) + TIME(12,51,46)</f>
        <v>40812.535949074074</v>
      </c>
      <c r="C979">
        <v>80</v>
      </c>
      <c r="D979">
        <v>79.966796875</v>
      </c>
      <c r="E979">
        <v>50</v>
      </c>
      <c r="F979">
        <v>33.935916900999999</v>
      </c>
      <c r="G979">
        <v>1411.6763916</v>
      </c>
      <c r="H979">
        <v>1387.6025391000001</v>
      </c>
      <c r="I979">
        <v>1232.7429199000001</v>
      </c>
      <c r="J979">
        <v>1185.0653076000001</v>
      </c>
      <c r="K979">
        <v>2400</v>
      </c>
      <c r="L979">
        <v>0</v>
      </c>
      <c r="M979">
        <v>0</v>
      </c>
      <c r="N979">
        <v>2400</v>
      </c>
    </row>
    <row r="980" spans="1:14" x14ac:dyDescent="0.25">
      <c r="A980">
        <v>515.25591599999996</v>
      </c>
      <c r="B980" s="1">
        <f>DATE(2011,9,28) + TIME(6,8,31)</f>
        <v>40814.255914351852</v>
      </c>
      <c r="C980">
        <v>80</v>
      </c>
      <c r="D980">
        <v>79.966850281000006</v>
      </c>
      <c r="E980">
        <v>50</v>
      </c>
      <c r="F980">
        <v>33.660846710000001</v>
      </c>
      <c r="G980">
        <v>1411.6226807</v>
      </c>
      <c r="H980">
        <v>1387.5500488</v>
      </c>
      <c r="I980">
        <v>1232.2731934000001</v>
      </c>
      <c r="J980">
        <v>1184.3037108999999</v>
      </c>
      <c r="K980">
        <v>2400</v>
      </c>
      <c r="L980">
        <v>0</v>
      </c>
      <c r="M980">
        <v>0</v>
      </c>
      <c r="N980">
        <v>2400</v>
      </c>
    </row>
    <row r="981" spans="1:14" x14ac:dyDescent="0.25">
      <c r="A981">
        <v>516.98030400000005</v>
      </c>
      <c r="B981" s="1">
        <f>DATE(2011,9,29) + TIME(23,31,38)</f>
        <v>40815.980300925927</v>
      </c>
      <c r="C981">
        <v>80</v>
      </c>
      <c r="D981">
        <v>79.966911315999994</v>
      </c>
      <c r="E981">
        <v>50</v>
      </c>
      <c r="F981">
        <v>33.385272980000003</v>
      </c>
      <c r="G981">
        <v>1411.5692139</v>
      </c>
      <c r="H981">
        <v>1387.4979248</v>
      </c>
      <c r="I981">
        <v>1231.802124</v>
      </c>
      <c r="J981">
        <v>1183.5386963000001</v>
      </c>
      <c r="K981">
        <v>2400</v>
      </c>
      <c r="L981">
        <v>0</v>
      </c>
      <c r="M981">
        <v>0</v>
      </c>
      <c r="N981">
        <v>2400</v>
      </c>
    </row>
    <row r="982" spans="1:14" x14ac:dyDescent="0.25">
      <c r="A982">
        <v>518</v>
      </c>
      <c r="B982" s="1">
        <f>DATE(2011,10,1) + TIME(0,0,0)</f>
        <v>40817</v>
      </c>
      <c r="C982">
        <v>80</v>
      </c>
      <c r="D982">
        <v>79.966941833000007</v>
      </c>
      <c r="E982">
        <v>50</v>
      </c>
      <c r="F982">
        <v>33.144657135000003</v>
      </c>
      <c r="G982">
        <v>1411.5159911999999</v>
      </c>
      <c r="H982">
        <v>1387.4459228999999</v>
      </c>
      <c r="I982">
        <v>1231.3316649999999</v>
      </c>
      <c r="J982">
        <v>1182.8084716999999</v>
      </c>
      <c r="K982">
        <v>2400</v>
      </c>
      <c r="L982">
        <v>0</v>
      </c>
      <c r="M982">
        <v>0</v>
      </c>
      <c r="N982">
        <v>2400</v>
      </c>
    </row>
    <row r="983" spans="1:14" x14ac:dyDescent="0.25">
      <c r="A983">
        <v>519.72795299999996</v>
      </c>
      <c r="B983" s="1">
        <f>DATE(2011,10,2) + TIME(17,28,15)</f>
        <v>40818.727951388886</v>
      </c>
      <c r="C983">
        <v>80</v>
      </c>
      <c r="D983">
        <v>79.966995238999999</v>
      </c>
      <c r="E983">
        <v>50</v>
      </c>
      <c r="F983">
        <v>32.930561066000003</v>
      </c>
      <c r="G983">
        <v>1411.4846190999999</v>
      </c>
      <c r="H983">
        <v>1387.4152832</v>
      </c>
      <c r="I983">
        <v>1231.0500488</v>
      </c>
      <c r="J983">
        <v>1182.2965088000001</v>
      </c>
      <c r="K983">
        <v>2400</v>
      </c>
      <c r="L983">
        <v>0</v>
      </c>
      <c r="M983">
        <v>0</v>
      </c>
      <c r="N983">
        <v>2400</v>
      </c>
    </row>
    <row r="984" spans="1:14" x14ac:dyDescent="0.25">
      <c r="A984">
        <v>521.46629700000005</v>
      </c>
      <c r="B984" s="1">
        <f>DATE(2011,10,4) + TIME(11,11,28)</f>
        <v>40820.466296296298</v>
      </c>
      <c r="C984">
        <v>80</v>
      </c>
      <c r="D984">
        <v>79.967048645000006</v>
      </c>
      <c r="E984">
        <v>50</v>
      </c>
      <c r="F984">
        <v>32.668289184999999</v>
      </c>
      <c r="G984">
        <v>1411.432251</v>
      </c>
      <c r="H984">
        <v>1387.3640137</v>
      </c>
      <c r="I984">
        <v>1230.5810547000001</v>
      </c>
      <c r="J984">
        <v>1181.5437012</v>
      </c>
      <c r="K984">
        <v>2400</v>
      </c>
      <c r="L984">
        <v>0</v>
      </c>
      <c r="M984">
        <v>0</v>
      </c>
      <c r="N984">
        <v>2400</v>
      </c>
    </row>
    <row r="985" spans="1:14" x14ac:dyDescent="0.25">
      <c r="A985">
        <v>523.20633699999996</v>
      </c>
      <c r="B985" s="1">
        <f>DATE(2011,10,6) + TIME(4,57,7)</f>
        <v>40822.206331018519</v>
      </c>
      <c r="C985">
        <v>80</v>
      </c>
      <c r="D985">
        <v>79.967102050999998</v>
      </c>
      <c r="E985">
        <v>50</v>
      </c>
      <c r="F985">
        <v>32.395721436000002</v>
      </c>
      <c r="G985">
        <v>1411.3797606999999</v>
      </c>
      <c r="H985">
        <v>1387.3127440999999</v>
      </c>
      <c r="I985">
        <v>1230.1087646000001</v>
      </c>
      <c r="J985">
        <v>1180.7735596</v>
      </c>
      <c r="K985">
        <v>2400</v>
      </c>
      <c r="L985">
        <v>0</v>
      </c>
      <c r="M985">
        <v>0</v>
      </c>
      <c r="N985">
        <v>2400</v>
      </c>
    </row>
    <row r="986" spans="1:14" x14ac:dyDescent="0.25">
      <c r="A986">
        <v>524.95464200000004</v>
      </c>
      <c r="B986" s="1">
        <f>DATE(2011,10,7) + TIME(22,54,41)</f>
        <v>40823.954641203702</v>
      </c>
      <c r="C986">
        <v>80</v>
      </c>
      <c r="D986">
        <v>79.967155457000004</v>
      </c>
      <c r="E986">
        <v>50</v>
      </c>
      <c r="F986">
        <v>32.121627808</v>
      </c>
      <c r="G986">
        <v>1411.3276367000001</v>
      </c>
      <c r="H986">
        <v>1387.2618408000001</v>
      </c>
      <c r="I986">
        <v>1229.6370850000001</v>
      </c>
      <c r="J986">
        <v>1180.0003661999999</v>
      </c>
      <c r="K986">
        <v>2400</v>
      </c>
      <c r="L986">
        <v>0</v>
      </c>
      <c r="M986">
        <v>0</v>
      </c>
      <c r="N986">
        <v>2400</v>
      </c>
    </row>
    <row r="987" spans="1:14" x14ac:dyDescent="0.25">
      <c r="A987">
        <v>525.83169299999997</v>
      </c>
      <c r="B987" s="1">
        <f>DATE(2011,10,8) + TIME(19,57,38)</f>
        <v>40824.831689814811</v>
      </c>
      <c r="C987">
        <v>80</v>
      </c>
      <c r="D987">
        <v>79.967185974000003</v>
      </c>
      <c r="E987">
        <v>50</v>
      </c>
      <c r="F987">
        <v>31.894512176999999</v>
      </c>
      <c r="G987">
        <v>1411.2756348</v>
      </c>
      <c r="H987">
        <v>1387.2109375</v>
      </c>
      <c r="I987">
        <v>1229.1662598</v>
      </c>
      <c r="J987">
        <v>1179.2764893000001</v>
      </c>
      <c r="K987">
        <v>2400</v>
      </c>
      <c r="L987">
        <v>0</v>
      </c>
      <c r="M987">
        <v>0</v>
      </c>
      <c r="N987">
        <v>2400</v>
      </c>
    </row>
    <row r="988" spans="1:14" x14ac:dyDescent="0.25">
      <c r="A988">
        <v>526.70874500000002</v>
      </c>
      <c r="B988" s="1">
        <f>DATE(2011,10,9) + TIME(17,0,35)</f>
        <v>40825.708738425928</v>
      </c>
      <c r="C988">
        <v>80</v>
      </c>
      <c r="D988">
        <v>79.967208862000007</v>
      </c>
      <c r="E988">
        <v>50</v>
      </c>
      <c r="F988">
        <v>31.726716995</v>
      </c>
      <c r="G988">
        <v>1411.2492675999999</v>
      </c>
      <c r="H988">
        <v>1387.1850586</v>
      </c>
      <c r="I988">
        <v>1228.9272461</v>
      </c>
      <c r="J988">
        <v>1178.8499756000001</v>
      </c>
      <c r="K988">
        <v>2400</v>
      </c>
      <c r="L988">
        <v>0</v>
      </c>
      <c r="M988">
        <v>0</v>
      </c>
      <c r="N988">
        <v>2400</v>
      </c>
    </row>
    <row r="989" spans="1:14" x14ac:dyDescent="0.25">
      <c r="A989">
        <v>527.58579599999996</v>
      </c>
      <c r="B989" s="1">
        <f>DATE(2011,10,10) + TIME(14,3,32)</f>
        <v>40826.585787037038</v>
      </c>
      <c r="C989">
        <v>80</v>
      </c>
      <c r="D989">
        <v>79.967239379999995</v>
      </c>
      <c r="E989">
        <v>50</v>
      </c>
      <c r="F989">
        <v>31.57957077</v>
      </c>
      <c r="G989">
        <v>1411.2233887</v>
      </c>
      <c r="H989">
        <v>1387.1597899999999</v>
      </c>
      <c r="I989">
        <v>1228.6914062000001</v>
      </c>
      <c r="J989">
        <v>1178.4499512</v>
      </c>
      <c r="K989">
        <v>2400</v>
      </c>
      <c r="L989">
        <v>0</v>
      </c>
      <c r="M989">
        <v>0</v>
      </c>
      <c r="N989">
        <v>2400</v>
      </c>
    </row>
    <row r="990" spans="1:14" x14ac:dyDescent="0.25">
      <c r="A990">
        <v>528.46284700000001</v>
      </c>
      <c r="B990" s="1">
        <f>DATE(2011,10,11) + TIME(11,6,30)</f>
        <v>40827.462847222225</v>
      </c>
      <c r="C990">
        <v>80</v>
      </c>
      <c r="D990">
        <v>79.967262267999999</v>
      </c>
      <c r="E990">
        <v>50</v>
      </c>
      <c r="F990">
        <v>31.439828873</v>
      </c>
      <c r="G990">
        <v>1411.1975098</v>
      </c>
      <c r="H990">
        <v>1387.1345214999999</v>
      </c>
      <c r="I990">
        <v>1228.4569091999999</v>
      </c>
      <c r="J990">
        <v>1178.0589600000001</v>
      </c>
      <c r="K990">
        <v>2400</v>
      </c>
      <c r="L990">
        <v>0</v>
      </c>
      <c r="M990">
        <v>0</v>
      </c>
      <c r="N990">
        <v>2400</v>
      </c>
    </row>
    <row r="991" spans="1:14" x14ac:dyDescent="0.25">
      <c r="A991">
        <v>529.33989899999995</v>
      </c>
      <c r="B991" s="1">
        <f>DATE(2011,10,12) + TIME(8,9,27)</f>
        <v>40828.339895833335</v>
      </c>
      <c r="C991">
        <v>80</v>
      </c>
      <c r="D991">
        <v>79.967292786000002</v>
      </c>
      <c r="E991">
        <v>50</v>
      </c>
      <c r="F991">
        <v>31.302959441999999</v>
      </c>
      <c r="G991">
        <v>1411.171875</v>
      </c>
      <c r="H991">
        <v>1387.109375</v>
      </c>
      <c r="I991">
        <v>1228.2231445</v>
      </c>
      <c r="J991">
        <v>1177.6712646000001</v>
      </c>
      <c r="K991">
        <v>2400</v>
      </c>
      <c r="L991">
        <v>0</v>
      </c>
      <c r="M991">
        <v>0</v>
      </c>
      <c r="N991">
        <v>2400</v>
      </c>
    </row>
    <row r="992" spans="1:14" x14ac:dyDescent="0.25">
      <c r="A992">
        <v>530.21695</v>
      </c>
      <c r="B992" s="1">
        <f>DATE(2011,10,13) + TIME(5,12,24)</f>
        <v>40829.216944444444</v>
      </c>
      <c r="C992">
        <v>80</v>
      </c>
      <c r="D992">
        <v>79.967315674000005</v>
      </c>
      <c r="E992">
        <v>50</v>
      </c>
      <c r="F992">
        <v>31.167417526000001</v>
      </c>
      <c r="G992">
        <v>1411.1462402</v>
      </c>
      <c r="H992">
        <v>1387.0843506000001</v>
      </c>
      <c r="I992">
        <v>1227.9899902</v>
      </c>
      <c r="J992">
        <v>1177.2851562000001</v>
      </c>
      <c r="K992">
        <v>2400</v>
      </c>
      <c r="L992">
        <v>0</v>
      </c>
      <c r="M992">
        <v>0</v>
      </c>
      <c r="N992">
        <v>2400</v>
      </c>
    </row>
    <row r="993" spans="1:14" x14ac:dyDescent="0.25">
      <c r="A993">
        <v>531.09400100000005</v>
      </c>
      <c r="B993" s="1">
        <f>DATE(2011,10,14) + TIME(2,15,21)</f>
        <v>40830.093993055554</v>
      </c>
      <c r="C993">
        <v>80</v>
      </c>
      <c r="D993">
        <v>79.967346191000004</v>
      </c>
      <c r="E993">
        <v>50</v>
      </c>
      <c r="F993">
        <v>31.032686234</v>
      </c>
      <c r="G993">
        <v>1411.1207274999999</v>
      </c>
      <c r="H993">
        <v>1387.0594481999999</v>
      </c>
      <c r="I993">
        <v>1227.7574463000001</v>
      </c>
      <c r="J993">
        <v>1176.9000243999999</v>
      </c>
      <c r="K993">
        <v>2400</v>
      </c>
      <c r="L993">
        <v>0</v>
      </c>
      <c r="M993">
        <v>0</v>
      </c>
      <c r="N993">
        <v>2400</v>
      </c>
    </row>
    <row r="994" spans="1:14" x14ac:dyDescent="0.25">
      <c r="A994">
        <v>531.97105299999998</v>
      </c>
      <c r="B994" s="1">
        <f>DATE(2011,10,14) + TIME(23,18,18)</f>
        <v>40830.971041666664</v>
      </c>
      <c r="C994">
        <v>80</v>
      </c>
      <c r="D994">
        <v>79.967369079999997</v>
      </c>
      <c r="E994">
        <v>50</v>
      </c>
      <c r="F994">
        <v>30.898599624999999</v>
      </c>
      <c r="G994">
        <v>1411.0953368999999</v>
      </c>
      <c r="H994">
        <v>1387.0345459</v>
      </c>
      <c r="I994">
        <v>1227.5256348</v>
      </c>
      <c r="J994">
        <v>1176.5157471</v>
      </c>
      <c r="K994">
        <v>2400</v>
      </c>
      <c r="L994">
        <v>0</v>
      </c>
      <c r="M994">
        <v>0</v>
      </c>
      <c r="N994">
        <v>2400</v>
      </c>
    </row>
    <row r="995" spans="1:14" x14ac:dyDescent="0.25">
      <c r="A995">
        <v>532.84810400000003</v>
      </c>
      <c r="B995" s="1">
        <f>DATE(2011,10,15) + TIME(20,21,16)</f>
        <v>40831.848101851851</v>
      </c>
      <c r="C995">
        <v>80</v>
      </c>
      <c r="D995">
        <v>79.967399596999996</v>
      </c>
      <c r="E995">
        <v>50</v>
      </c>
      <c r="F995">
        <v>30.765111922999999</v>
      </c>
      <c r="G995">
        <v>1411.0699463000001</v>
      </c>
      <c r="H995">
        <v>1387.0097656</v>
      </c>
      <c r="I995">
        <v>1227.2945557</v>
      </c>
      <c r="J995">
        <v>1176.1322021000001</v>
      </c>
      <c r="K995">
        <v>2400</v>
      </c>
      <c r="L995">
        <v>0</v>
      </c>
      <c r="M995">
        <v>0</v>
      </c>
      <c r="N995">
        <v>2400</v>
      </c>
    </row>
    <row r="996" spans="1:14" x14ac:dyDescent="0.25">
      <c r="A996">
        <v>533.72515499999997</v>
      </c>
      <c r="B996" s="1">
        <f>DATE(2011,10,16) + TIME(17,24,13)</f>
        <v>40832.72515046296</v>
      </c>
      <c r="C996">
        <v>80</v>
      </c>
      <c r="D996">
        <v>79.967422485</v>
      </c>
      <c r="E996">
        <v>50</v>
      </c>
      <c r="F996">
        <v>30.632221221999998</v>
      </c>
      <c r="G996">
        <v>1411.0446777</v>
      </c>
      <c r="H996">
        <v>1386.9851074000001</v>
      </c>
      <c r="I996">
        <v>1227.0643310999999</v>
      </c>
      <c r="J996">
        <v>1175.7495117000001</v>
      </c>
      <c r="K996">
        <v>2400</v>
      </c>
      <c r="L996">
        <v>0</v>
      </c>
      <c r="M996">
        <v>0</v>
      </c>
      <c r="N996">
        <v>2400</v>
      </c>
    </row>
    <row r="997" spans="1:14" x14ac:dyDescent="0.25">
      <c r="A997">
        <v>534.60220700000002</v>
      </c>
      <c r="B997" s="1">
        <f>DATE(2011,10,17) + TIME(14,27,10)</f>
        <v>40833.602199074077</v>
      </c>
      <c r="C997">
        <v>80</v>
      </c>
      <c r="D997">
        <v>79.967453003000003</v>
      </c>
      <c r="E997">
        <v>50</v>
      </c>
      <c r="F997">
        <v>30.499935149999999</v>
      </c>
      <c r="G997">
        <v>1411.0195312000001</v>
      </c>
      <c r="H997">
        <v>1386.9604492000001</v>
      </c>
      <c r="I997">
        <v>1226.8347168</v>
      </c>
      <c r="J997">
        <v>1175.3676757999999</v>
      </c>
      <c r="K997">
        <v>2400</v>
      </c>
      <c r="L997">
        <v>0</v>
      </c>
      <c r="M997">
        <v>0</v>
      </c>
      <c r="N997">
        <v>2400</v>
      </c>
    </row>
    <row r="998" spans="1:14" x14ac:dyDescent="0.25">
      <c r="A998">
        <v>536.35630900000001</v>
      </c>
      <c r="B998" s="1">
        <f>DATE(2011,10,19) + TIME(8,33,5)</f>
        <v>40835.356307870374</v>
      </c>
      <c r="C998">
        <v>80</v>
      </c>
      <c r="D998">
        <v>79.967506408999995</v>
      </c>
      <c r="E998">
        <v>50</v>
      </c>
      <c r="F998">
        <v>30.340932846000001</v>
      </c>
      <c r="G998">
        <v>1410.994751</v>
      </c>
      <c r="H998">
        <v>1386.9361572</v>
      </c>
      <c r="I998">
        <v>1226.6055908000001</v>
      </c>
      <c r="J998">
        <v>1174.9556885</v>
      </c>
      <c r="K998">
        <v>2400</v>
      </c>
      <c r="L998">
        <v>0</v>
      </c>
      <c r="M998">
        <v>0</v>
      </c>
      <c r="N998">
        <v>2400</v>
      </c>
    </row>
    <row r="999" spans="1:14" x14ac:dyDescent="0.25">
      <c r="A999">
        <v>538.11685899999998</v>
      </c>
      <c r="B999" s="1">
        <f>DATE(2011,10,21) + TIME(2,48,16)</f>
        <v>40837.116851851853</v>
      </c>
      <c r="C999">
        <v>80</v>
      </c>
      <c r="D999">
        <v>79.967559813999998</v>
      </c>
      <c r="E999">
        <v>50</v>
      </c>
      <c r="F999">
        <v>30.100934981999998</v>
      </c>
      <c r="G999">
        <v>1410.9450684000001</v>
      </c>
      <c r="H999">
        <v>1386.8875731999999</v>
      </c>
      <c r="I999">
        <v>1226.1517334</v>
      </c>
      <c r="J999">
        <v>1174.2235106999999</v>
      </c>
      <c r="K999">
        <v>2400</v>
      </c>
      <c r="L999">
        <v>0</v>
      </c>
      <c r="M999">
        <v>0</v>
      </c>
      <c r="N999">
        <v>2400</v>
      </c>
    </row>
    <row r="1000" spans="1:14" x14ac:dyDescent="0.25">
      <c r="A1000">
        <v>539.89936699999998</v>
      </c>
      <c r="B1000" s="1">
        <f>DATE(2011,10,22) + TIME(21,35,5)</f>
        <v>40838.899363425924</v>
      </c>
      <c r="C1000">
        <v>80</v>
      </c>
      <c r="D1000">
        <v>79.967613220000004</v>
      </c>
      <c r="E1000">
        <v>50</v>
      </c>
      <c r="F1000">
        <v>29.844982147</v>
      </c>
      <c r="G1000">
        <v>1410.8953856999999</v>
      </c>
      <c r="H1000">
        <v>1386.8389893000001</v>
      </c>
      <c r="I1000">
        <v>1225.6970214999999</v>
      </c>
      <c r="J1000">
        <v>1173.4685059000001</v>
      </c>
      <c r="K1000">
        <v>2400</v>
      </c>
      <c r="L1000">
        <v>0</v>
      </c>
      <c r="M1000">
        <v>0</v>
      </c>
      <c r="N1000">
        <v>2400</v>
      </c>
    </row>
    <row r="1001" spans="1:14" x14ac:dyDescent="0.25">
      <c r="A1001">
        <v>540.79518900000005</v>
      </c>
      <c r="B1001" s="1">
        <f>DATE(2011,10,23) + TIME(19,5,4)</f>
        <v>40839.795185185183</v>
      </c>
      <c r="C1001">
        <v>80</v>
      </c>
      <c r="D1001">
        <v>79.967636107999994</v>
      </c>
      <c r="E1001">
        <v>50</v>
      </c>
      <c r="F1001">
        <v>29.629747390999999</v>
      </c>
      <c r="G1001">
        <v>1410.8452147999999</v>
      </c>
      <c r="H1001">
        <v>1386.7899170000001</v>
      </c>
      <c r="I1001">
        <v>1225.2413329999999</v>
      </c>
      <c r="J1001">
        <v>1172.7568358999999</v>
      </c>
      <c r="K1001">
        <v>2400</v>
      </c>
      <c r="L1001">
        <v>0</v>
      </c>
      <c r="M1001">
        <v>0</v>
      </c>
      <c r="N1001">
        <v>2400</v>
      </c>
    </row>
    <row r="1002" spans="1:14" x14ac:dyDescent="0.25">
      <c r="A1002">
        <v>541.68858799999998</v>
      </c>
      <c r="B1002" s="1">
        <f>DATE(2011,10,24) + TIME(16,31,34)</f>
        <v>40840.688587962963</v>
      </c>
      <c r="C1002">
        <v>80</v>
      </c>
      <c r="D1002">
        <v>79.967666625999996</v>
      </c>
      <c r="E1002">
        <v>50</v>
      </c>
      <c r="F1002">
        <v>29.471639632999999</v>
      </c>
      <c r="G1002">
        <v>1410.8198242000001</v>
      </c>
      <c r="H1002">
        <v>1386.7650146000001</v>
      </c>
      <c r="I1002">
        <v>1225.0111084</v>
      </c>
      <c r="J1002">
        <v>1172.3377685999999</v>
      </c>
      <c r="K1002">
        <v>2400</v>
      </c>
      <c r="L1002">
        <v>0</v>
      </c>
      <c r="M1002">
        <v>0</v>
      </c>
      <c r="N1002">
        <v>2400</v>
      </c>
    </row>
    <row r="1003" spans="1:14" x14ac:dyDescent="0.25">
      <c r="A1003">
        <v>542.58198800000002</v>
      </c>
      <c r="B1003" s="1">
        <f>DATE(2011,10,25) + TIME(13,58,3)</f>
        <v>40841.581979166665</v>
      </c>
      <c r="C1003">
        <v>80</v>
      </c>
      <c r="D1003">
        <v>79.967689514</v>
      </c>
      <c r="E1003">
        <v>50</v>
      </c>
      <c r="F1003">
        <v>29.333446503000001</v>
      </c>
      <c r="G1003">
        <v>1410.7947998</v>
      </c>
      <c r="H1003">
        <v>1386.7406006000001</v>
      </c>
      <c r="I1003">
        <v>1224.7850341999999</v>
      </c>
      <c r="J1003">
        <v>1171.9464111</v>
      </c>
      <c r="K1003">
        <v>2400</v>
      </c>
      <c r="L1003">
        <v>0</v>
      </c>
      <c r="M1003">
        <v>0</v>
      </c>
      <c r="N1003">
        <v>2400</v>
      </c>
    </row>
    <row r="1004" spans="1:14" x14ac:dyDescent="0.25">
      <c r="A1004">
        <v>543.47538799999995</v>
      </c>
      <c r="B1004" s="1">
        <f>DATE(2011,10,26) + TIME(11,24,33)</f>
        <v>40842.475381944445</v>
      </c>
      <c r="C1004">
        <v>80</v>
      </c>
      <c r="D1004">
        <v>79.967720032000003</v>
      </c>
      <c r="E1004">
        <v>50</v>
      </c>
      <c r="F1004">
        <v>29.202543258999999</v>
      </c>
      <c r="G1004">
        <v>1410.7700195</v>
      </c>
      <c r="H1004">
        <v>1386.7163086</v>
      </c>
      <c r="I1004">
        <v>1224.5604248</v>
      </c>
      <c r="J1004">
        <v>1171.5646973</v>
      </c>
      <c r="K1004">
        <v>2400</v>
      </c>
      <c r="L1004">
        <v>0</v>
      </c>
      <c r="M1004">
        <v>0</v>
      </c>
      <c r="N1004">
        <v>2400</v>
      </c>
    </row>
    <row r="1005" spans="1:14" x14ac:dyDescent="0.25">
      <c r="A1005">
        <v>544.368788</v>
      </c>
      <c r="B1005" s="1">
        <f>DATE(2011,10,27) + TIME(8,51,3)</f>
        <v>40843.368784722225</v>
      </c>
      <c r="C1005">
        <v>80</v>
      </c>
      <c r="D1005">
        <v>79.967742920000006</v>
      </c>
      <c r="E1005">
        <v>50</v>
      </c>
      <c r="F1005">
        <v>29.074665070000002</v>
      </c>
      <c r="G1005">
        <v>1410.7452393000001</v>
      </c>
      <c r="H1005">
        <v>1386.6920166</v>
      </c>
      <c r="I1005">
        <v>1224.3370361</v>
      </c>
      <c r="J1005">
        <v>1171.1872559000001</v>
      </c>
      <c r="K1005">
        <v>2400</v>
      </c>
      <c r="L1005">
        <v>0</v>
      </c>
      <c r="M1005">
        <v>0</v>
      </c>
      <c r="N1005">
        <v>2400</v>
      </c>
    </row>
    <row r="1006" spans="1:14" x14ac:dyDescent="0.25">
      <c r="A1006">
        <v>545.26218800000004</v>
      </c>
      <c r="B1006" s="1">
        <f>DATE(2011,10,28) + TIME(6,17,33)</f>
        <v>40844.262187499997</v>
      </c>
      <c r="C1006">
        <v>80</v>
      </c>
      <c r="D1006">
        <v>79.967773437999995</v>
      </c>
      <c r="E1006">
        <v>50</v>
      </c>
      <c r="F1006">
        <v>28.948375702</v>
      </c>
      <c r="G1006">
        <v>1410.7204589999999</v>
      </c>
      <c r="H1006">
        <v>1386.6678466999999</v>
      </c>
      <c r="I1006">
        <v>1224.1148682</v>
      </c>
      <c r="J1006">
        <v>1170.8121338000001</v>
      </c>
      <c r="K1006">
        <v>2400</v>
      </c>
      <c r="L1006">
        <v>0</v>
      </c>
      <c r="M1006">
        <v>0</v>
      </c>
      <c r="N1006">
        <v>2400</v>
      </c>
    </row>
    <row r="1007" spans="1:14" x14ac:dyDescent="0.25">
      <c r="A1007">
        <v>546.15558799999997</v>
      </c>
      <c r="B1007" s="1">
        <f>DATE(2011,10,29) + TIME(3,44,2)</f>
        <v>40845.155578703707</v>
      </c>
      <c r="C1007">
        <v>80</v>
      </c>
      <c r="D1007">
        <v>79.967796325999998</v>
      </c>
      <c r="E1007">
        <v>50</v>
      </c>
      <c r="F1007">
        <v>28.823196411000001</v>
      </c>
      <c r="G1007">
        <v>1410.6958007999999</v>
      </c>
      <c r="H1007">
        <v>1386.6436768000001</v>
      </c>
      <c r="I1007">
        <v>1223.8939209</v>
      </c>
      <c r="J1007">
        <v>1170.4388428</v>
      </c>
      <c r="K1007">
        <v>2400</v>
      </c>
      <c r="L1007">
        <v>0</v>
      </c>
      <c r="M1007">
        <v>0</v>
      </c>
      <c r="N1007">
        <v>2400</v>
      </c>
    </row>
    <row r="1008" spans="1:14" x14ac:dyDescent="0.25">
      <c r="A1008">
        <v>547.04898700000001</v>
      </c>
      <c r="B1008" s="1">
        <f>DATE(2011,10,30) + TIME(1,10,32)</f>
        <v>40846.048981481479</v>
      </c>
      <c r="C1008">
        <v>80</v>
      </c>
      <c r="D1008">
        <v>79.967826842999997</v>
      </c>
      <c r="E1008">
        <v>50</v>
      </c>
      <c r="F1008">
        <v>28.698976516999998</v>
      </c>
      <c r="G1008">
        <v>1410.6712646000001</v>
      </c>
      <c r="H1008">
        <v>1386.6196289</v>
      </c>
      <c r="I1008">
        <v>1223.6741943</v>
      </c>
      <c r="J1008">
        <v>1170.0672606999999</v>
      </c>
      <c r="K1008">
        <v>2400</v>
      </c>
      <c r="L1008">
        <v>0</v>
      </c>
      <c r="M1008">
        <v>0</v>
      </c>
      <c r="N1008">
        <v>2400</v>
      </c>
    </row>
    <row r="1009" spans="1:14" x14ac:dyDescent="0.25">
      <c r="A1009">
        <v>547.94238700000005</v>
      </c>
      <c r="B1009" s="1">
        <f>DATE(2011,10,30) + TIME(22,37,2)</f>
        <v>40846.942384259259</v>
      </c>
      <c r="C1009">
        <v>80</v>
      </c>
      <c r="D1009">
        <v>79.967849731000001</v>
      </c>
      <c r="E1009">
        <v>50</v>
      </c>
      <c r="F1009">
        <v>28.575672149999999</v>
      </c>
      <c r="G1009">
        <v>1410.6467285000001</v>
      </c>
      <c r="H1009">
        <v>1386.5955810999999</v>
      </c>
      <c r="I1009">
        <v>1223.4555664</v>
      </c>
      <c r="J1009">
        <v>1169.6972656</v>
      </c>
      <c r="K1009">
        <v>2400</v>
      </c>
      <c r="L1009">
        <v>0</v>
      </c>
      <c r="M1009">
        <v>0</v>
      </c>
      <c r="N1009">
        <v>2400</v>
      </c>
    </row>
    <row r="1010" spans="1:14" x14ac:dyDescent="0.25">
      <c r="A1010">
        <v>549</v>
      </c>
      <c r="B1010" s="1">
        <f>DATE(2011,11,1) + TIME(0,0,0)</f>
        <v>40848</v>
      </c>
      <c r="C1010">
        <v>80</v>
      </c>
      <c r="D1010">
        <v>79.967880249000004</v>
      </c>
      <c r="E1010">
        <v>50</v>
      </c>
      <c r="F1010">
        <v>28.446472168</v>
      </c>
      <c r="G1010">
        <v>1410.6223144999999</v>
      </c>
      <c r="H1010">
        <v>1386.5716553</v>
      </c>
      <c r="I1010">
        <v>1223.2380370999999</v>
      </c>
      <c r="J1010">
        <v>1169.3205565999999</v>
      </c>
      <c r="K1010">
        <v>2400</v>
      </c>
      <c r="L1010">
        <v>0</v>
      </c>
      <c r="M1010">
        <v>0</v>
      </c>
      <c r="N1010">
        <v>2400</v>
      </c>
    </row>
    <row r="1011" spans="1:14" x14ac:dyDescent="0.25">
      <c r="A1011">
        <v>549.000001</v>
      </c>
      <c r="B1011" s="1">
        <f>DATE(2011,11,1) + TIME(0,0,0)</f>
        <v>40848</v>
      </c>
      <c r="C1011">
        <v>80</v>
      </c>
      <c r="D1011">
        <v>79.967636107999994</v>
      </c>
      <c r="E1011">
        <v>50</v>
      </c>
      <c r="F1011">
        <v>28.446722031</v>
      </c>
      <c r="G1011">
        <v>1384.8278809000001</v>
      </c>
      <c r="H1011">
        <v>1358.2543945</v>
      </c>
      <c r="I1011">
        <v>1285.7530518000001</v>
      </c>
      <c r="J1011">
        <v>1224.9910889</v>
      </c>
      <c r="K1011">
        <v>0</v>
      </c>
      <c r="L1011">
        <v>2400</v>
      </c>
      <c r="M1011">
        <v>2400</v>
      </c>
      <c r="N1011">
        <v>0</v>
      </c>
    </row>
    <row r="1012" spans="1:14" x14ac:dyDescent="0.25">
      <c r="A1012">
        <v>549.00000399999999</v>
      </c>
      <c r="B1012" s="1">
        <f>DATE(2011,11,1) + TIME(0,0,0)</f>
        <v>40848</v>
      </c>
      <c r="C1012">
        <v>80</v>
      </c>
      <c r="D1012">
        <v>79.967010497999993</v>
      </c>
      <c r="E1012">
        <v>50</v>
      </c>
      <c r="F1012">
        <v>28.447425842000001</v>
      </c>
      <c r="G1012">
        <v>1380.4241943</v>
      </c>
      <c r="H1012">
        <v>1353.8652344</v>
      </c>
      <c r="I1012">
        <v>1290.5925293</v>
      </c>
      <c r="J1012">
        <v>1229.8452147999999</v>
      </c>
      <c r="K1012">
        <v>0</v>
      </c>
      <c r="L1012">
        <v>2400</v>
      </c>
      <c r="M1012">
        <v>2400</v>
      </c>
      <c r="N1012">
        <v>0</v>
      </c>
    </row>
    <row r="1013" spans="1:14" x14ac:dyDescent="0.25">
      <c r="A1013">
        <v>549.00001299999997</v>
      </c>
      <c r="B1013" s="1">
        <f>DATE(2011,11,1) + TIME(0,0,1)</f>
        <v>40848.000011574077</v>
      </c>
      <c r="C1013">
        <v>80</v>
      </c>
      <c r="D1013">
        <v>79.965744018999999</v>
      </c>
      <c r="E1013">
        <v>50</v>
      </c>
      <c r="F1013">
        <v>28.449228287</v>
      </c>
      <c r="G1013">
        <v>1371.5510254000001</v>
      </c>
      <c r="H1013">
        <v>1345.0661620999999</v>
      </c>
      <c r="I1013">
        <v>1302.3312988</v>
      </c>
      <c r="J1013">
        <v>1241.6519774999999</v>
      </c>
      <c r="K1013">
        <v>0</v>
      </c>
      <c r="L1013">
        <v>2400</v>
      </c>
      <c r="M1013">
        <v>2400</v>
      </c>
      <c r="N1013">
        <v>0</v>
      </c>
    </row>
    <row r="1014" spans="1:14" x14ac:dyDescent="0.25">
      <c r="A1014">
        <v>549.00004000000001</v>
      </c>
      <c r="B1014" s="1">
        <f>DATE(2011,11,1) + TIME(0,0,3)</f>
        <v>40848.000034722223</v>
      </c>
      <c r="C1014">
        <v>80</v>
      </c>
      <c r="D1014">
        <v>79.963912964000002</v>
      </c>
      <c r="E1014">
        <v>50</v>
      </c>
      <c r="F1014">
        <v>28.453159331999998</v>
      </c>
      <c r="G1014">
        <v>1358.6779785000001</v>
      </c>
      <c r="H1014">
        <v>1332.4093018000001</v>
      </c>
      <c r="I1014">
        <v>1324.3817139</v>
      </c>
      <c r="J1014">
        <v>1263.9450684000001</v>
      </c>
      <c r="K1014">
        <v>0</v>
      </c>
      <c r="L1014">
        <v>2400</v>
      </c>
      <c r="M1014">
        <v>2400</v>
      </c>
      <c r="N1014">
        <v>0</v>
      </c>
    </row>
    <row r="1015" spans="1:14" x14ac:dyDescent="0.25">
      <c r="A1015">
        <v>549.00012100000004</v>
      </c>
      <c r="B1015" s="1">
        <f>DATE(2011,11,1) + TIME(0,0,10)</f>
        <v>40848.000115740739</v>
      </c>
      <c r="C1015">
        <v>80</v>
      </c>
      <c r="D1015">
        <v>79.961891174000002</v>
      </c>
      <c r="E1015">
        <v>50</v>
      </c>
      <c r="F1015">
        <v>28.46077919</v>
      </c>
      <c r="G1015">
        <v>1344.6229248</v>
      </c>
      <c r="H1015">
        <v>1318.7885742000001</v>
      </c>
      <c r="I1015">
        <v>1353.9227295000001</v>
      </c>
      <c r="J1015">
        <v>1294.0797118999999</v>
      </c>
      <c r="K1015">
        <v>0</v>
      </c>
      <c r="L1015">
        <v>2400</v>
      </c>
      <c r="M1015">
        <v>2400</v>
      </c>
      <c r="N1015">
        <v>0</v>
      </c>
    </row>
    <row r="1016" spans="1:14" x14ac:dyDescent="0.25">
      <c r="A1016">
        <v>549.00036399999999</v>
      </c>
      <c r="B1016" s="1">
        <f>DATE(2011,11,1) + TIME(0,0,31)</f>
        <v>40848.000358796293</v>
      </c>
      <c r="C1016">
        <v>80</v>
      </c>
      <c r="D1016">
        <v>79.959899902000004</v>
      </c>
      <c r="E1016">
        <v>50</v>
      </c>
      <c r="F1016">
        <v>28.476806641</v>
      </c>
      <c r="G1016">
        <v>1331.1088867000001</v>
      </c>
      <c r="H1016">
        <v>1305.9664307</v>
      </c>
      <c r="I1016">
        <v>1384.6112060999999</v>
      </c>
      <c r="J1016">
        <v>1325.8793945</v>
      </c>
      <c r="K1016">
        <v>0</v>
      </c>
      <c r="L1016">
        <v>2400</v>
      </c>
      <c r="M1016">
        <v>2400</v>
      </c>
      <c r="N1016">
        <v>0</v>
      </c>
    </row>
    <row r="1017" spans="1:14" x14ac:dyDescent="0.25">
      <c r="A1017">
        <v>549.00109299999997</v>
      </c>
      <c r="B1017" s="1">
        <f>DATE(2011,11,1) + TIME(0,1,34)</f>
        <v>40848.001087962963</v>
      </c>
      <c r="C1017">
        <v>80</v>
      </c>
      <c r="D1017">
        <v>79.957946777000004</v>
      </c>
      <c r="E1017">
        <v>50</v>
      </c>
      <c r="F1017">
        <v>28.516498565999999</v>
      </c>
      <c r="G1017">
        <v>1318.8271483999999</v>
      </c>
      <c r="H1017">
        <v>1294.4719238</v>
      </c>
      <c r="I1017">
        <v>1413.5168457</v>
      </c>
      <c r="J1017">
        <v>1356.4569091999999</v>
      </c>
      <c r="K1017">
        <v>0</v>
      </c>
      <c r="L1017">
        <v>2400</v>
      </c>
      <c r="M1017">
        <v>2400</v>
      </c>
      <c r="N1017">
        <v>0</v>
      </c>
    </row>
    <row r="1018" spans="1:14" x14ac:dyDescent="0.25">
      <c r="A1018">
        <v>549.00328000000002</v>
      </c>
      <c r="B1018" s="1">
        <f>DATE(2011,11,1) + TIME(0,4,43)</f>
        <v>40848.003275462965</v>
      </c>
      <c r="C1018">
        <v>80</v>
      </c>
      <c r="D1018">
        <v>79.955802917</v>
      </c>
      <c r="E1018">
        <v>50</v>
      </c>
      <c r="F1018">
        <v>28.624601364</v>
      </c>
      <c r="G1018">
        <v>1308.0703125</v>
      </c>
      <c r="H1018">
        <v>1284.2388916</v>
      </c>
      <c r="I1018">
        <v>1439.6942139</v>
      </c>
      <c r="J1018">
        <v>1384.4802245999999</v>
      </c>
      <c r="K1018">
        <v>0</v>
      </c>
      <c r="L1018">
        <v>2400</v>
      </c>
      <c r="M1018">
        <v>2400</v>
      </c>
      <c r="N1018">
        <v>0</v>
      </c>
    </row>
    <row r="1019" spans="1:14" x14ac:dyDescent="0.25">
      <c r="A1019">
        <v>549.00984100000005</v>
      </c>
      <c r="B1019" s="1">
        <f>DATE(2011,11,1) + TIME(0,14,10)</f>
        <v>40848.009837962964</v>
      </c>
      <c r="C1019">
        <v>80</v>
      </c>
      <c r="D1019">
        <v>79.952507018999995</v>
      </c>
      <c r="E1019">
        <v>50</v>
      </c>
      <c r="F1019">
        <v>28.931463242</v>
      </c>
      <c r="G1019">
        <v>1297.7366943</v>
      </c>
      <c r="H1019">
        <v>1274.0639647999999</v>
      </c>
      <c r="I1019">
        <v>1461.8837891000001</v>
      </c>
      <c r="J1019">
        <v>1408.1268310999999</v>
      </c>
      <c r="K1019">
        <v>0</v>
      </c>
      <c r="L1019">
        <v>2400</v>
      </c>
      <c r="M1019">
        <v>2400</v>
      </c>
      <c r="N1019">
        <v>0</v>
      </c>
    </row>
    <row r="1020" spans="1:14" x14ac:dyDescent="0.25">
      <c r="A1020">
        <v>549.02759700000001</v>
      </c>
      <c r="B1020" s="1">
        <f>DATE(2011,11,1) + TIME(0,39,44)</f>
        <v>40848.027592592596</v>
      </c>
      <c r="C1020">
        <v>80</v>
      </c>
      <c r="D1020">
        <v>79.946334839000002</v>
      </c>
      <c r="E1020">
        <v>50</v>
      </c>
      <c r="F1020">
        <v>29.720506667999999</v>
      </c>
      <c r="G1020">
        <v>1288.2131348</v>
      </c>
      <c r="H1020">
        <v>1264.5316161999999</v>
      </c>
      <c r="I1020">
        <v>1476.8157959</v>
      </c>
      <c r="J1020">
        <v>1424.3365478999999</v>
      </c>
      <c r="K1020">
        <v>0</v>
      </c>
      <c r="L1020">
        <v>2400</v>
      </c>
      <c r="M1020">
        <v>2400</v>
      </c>
      <c r="N1020">
        <v>0</v>
      </c>
    </row>
    <row r="1021" spans="1:14" x14ac:dyDescent="0.25">
      <c r="A1021">
        <v>549.04603699999996</v>
      </c>
      <c r="B1021" s="1">
        <f>DATE(2011,11,1) + TIME(1,6,17)</f>
        <v>40848.046030092592</v>
      </c>
      <c r="C1021">
        <v>80</v>
      </c>
      <c r="D1021">
        <v>79.940757751000007</v>
      </c>
      <c r="E1021">
        <v>50</v>
      </c>
      <c r="F1021">
        <v>30.506599426000001</v>
      </c>
      <c r="G1021">
        <v>1283.9282227000001</v>
      </c>
      <c r="H1021">
        <v>1260.2299805</v>
      </c>
      <c r="I1021">
        <v>1481.6213379000001</v>
      </c>
      <c r="J1021">
        <v>1430.0933838000001</v>
      </c>
      <c r="K1021">
        <v>0</v>
      </c>
      <c r="L1021">
        <v>2400</v>
      </c>
      <c r="M1021">
        <v>2400</v>
      </c>
      <c r="N1021">
        <v>0</v>
      </c>
    </row>
    <row r="1022" spans="1:14" x14ac:dyDescent="0.25">
      <c r="A1022">
        <v>549.06528700000001</v>
      </c>
      <c r="B1022" s="1">
        <f>DATE(2011,11,1) + TIME(1,34,0)</f>
        <v>40848.06527777778</v>
      </c>
      <c r="C1022">
        <v>80</v>
      </c>
      <c r="D1022">
        <v>79.935325622999997</v>
      </c>
      <c r="E1022">
        <v>50</v>
      </c>
      <c r="F1022">
        <v>31.293819426999999</v>
      </c>
      <c r="G1022">
        <v>1281.8797606999999</v>
      </c>
      <c r="H1022">
        <v>1258.1723632999999</v>
      </c>
      <c r="I1022">
        <v>1482.8714600000001</v>
      </c>
      <c r="J1022">
        <v>1432.2354736</v>
      </c>
      <c r="K1022">
        <v>0</v>
      </c>
      <c r="L1022">
        <v>2400</v>
      </c>
      <c r="M1022">
        <v>2400</v>
      </c>
      <c r="N1022">
        <v>0</v>
      </c>
    </row>
    <row r="1023" spans="1:14" x14ac:dyDescent="0.25">
      <c r="A1023">
        <v>549.08543299999997</v>
      </c>
      <c r="B1023" s="1">
        <f>DATE(2011,11,1) + TIME(2,3,1)</f>
        <v>40848.085428240738</v>
      </c>
      <c r="C1023">
        <v>80</v>
      </c>
      <c r="D1023">
        <v>79.929878235000004</v>
      </c>
      <c r="E1023">
        <v>50</v>
      </c>
      <c r="F1023">
        <v>32.082778931</v>
      </c>
      <c r="G1023">
        <v>1280.8890381000001</v>
      </c>
      <c r="H1023">
        <v>1257.177124</v>
      </c>
      <c r="I1023">
        <v>1482.6447754000001</v>
      </c>
      <c r="J1023">
        <v>1432.8740233999999</v>
      </c>
      <c r="K1023">
        <v>0</v>
      </c>
      <c r="L1023">
        <v>2400</v>
      </c>
      <c r="M1023">
        <v>2400</v>
      </c>
      <c r="N1023">
        <v>0</v>
      </c>
    </row>
    <row r="1024" spans="1:14" x14ac:dyDescent="0.25">
      <c r="A1024">
        <v>549.10656800000004</v>
      </c>
      <c r="B1024" s="1">
        <f>DATE(2011,11,1) + TIME(2,33,27)</f>
        <v>40848.106562499997</v>
      </c>
      <c r="C1024">
        <v>80</v>
      </c>
      <c r="D1024">
        <v>79.924308776999993</v>
      </c>
      <c r="E1024">
        <v>50</v>
      </c>
      <c r="F1024">
        <v>32.873973845999998</v>
      </c>
      <c r="G1024">
        <v>1280.4101562000001</v>
      </c>
      <c r="H1024">
        <v>1256.6958007999999</v>
      </c>
      <c r="I1024">
        <v>1481.7792969</v>
      </c>
      <c r="J1024">
        <v>1432.8513184000001</v>
      </c>
      <c r="K1024">
        <v>0</v>
      </c>
      <c r="L1024">
        <v>2400</v>
      </c>
      <c r="M1024">
        <v>2400</v>
      </c>
      <c r="N1024">
        <v>0</v>
      </c>
    </row>
    <row r="1025" spans="1:14" x14ac:dyDescent="0.25">
      <c r="A1025">
        <v>549.12880399999995</v>
      </c>
      <c r="B1025" s="1">
        <f>DATE(2011,11,1) + TIME(3,5,28)</f>
        <v>40848.128796296296</v>
      </c>
      <c r="C1025">
        <v>80</v>
      </c>
      <c r="D1025">
        <v>79.918571471999996</v>
      </c>
      <c r="E1025">
        <v>50</v>
      </c>
      <c r="F1025">
        <v>33.667816162000001</v>
      </c>
      <c r="G1025">
        <v>1280.1790771000001</v>
      </c>
      <c r="H1025">
        <v>1256.4633789</v>
      </c>
      <c r="I1025">
        <v>1480.6462402</v>
      </c>
      <c r="J1025">
        <v>1432.5390625</v>
      </c>
      <c r="K1025">
        <v>0</v>
      </c>
      <c r="L1025">
        <v>2400</v>
      </c>
      <c r="M1025">
        <v>2400</v>
      </c>
      <c r="N1025">
        <v>0</v>
      </c>
    </row>
    <row r="1026" spans="1:14" x14ac:dyDescent="0.25">
      <c r="A1026">
        <v>549.15226900000005</v>
      </c>
      <c r="B1026" s="1">
        <f>DATE(2011,11,1) + TIME(3,39,16)</f>
        <v>40848.152268518519</v>
      </c>
      <c r="C1026">
        <v>80</v>
      </c>
      <c r="D1026">
        <v>79.912628174000005</v>
      </c>
      <c r="E1026">
        <v>50</v>
      </c>
      <c r="F1026">
        <v>34.464778899999999</v>
      </c>
      <c r="G1026">
        <v>1280.0672606999999</v>
      </c>
      <c r="H1026">
        <v>1256.3505858999999</v>
      </c>
      <c r="I1026">
        <v>1479.4134521000001</v>
      </c>
      <c r="J1026">
        <v>1432.1058350000001</v>
      </c>
      <c r="K1026">
        <v>0</v>
      </c>
      <c r="L1026">
        <v>2400</v>
      </c>
      <c r="M1026">
        <v>2400</v>
      </c>
      <c r="N1026">
        <v>0</v>
      </c>
    </row>
    <row r="1027" spans="1:14" x14ac:dyDescent="0.25">
      <c r="A1027">
        <v>549.17711899999995</v>
      </c>
      <c r="B1027" s="1">
        <f>DATE(2011,11,1) + TIME(4,15,3)</f>
        <v>40848.177118055559</v>
      </c>
      <c r="C1027">
        <v>80</v>
      </c>
      <c r="D1027">
        <v>79.906433105000005</v>
      </c>
      <c r="E1027">
        <v>50</v>
      </c>
      <c r="F1027">
        <v>35.265380858999997</v>
      </c>
      <c r="G1027">
        <v>1280.0125731999999</v>
      </c>
      <c r="H1027">
        <v>1256.2952881000001</v>
      </c>
      <c r="I1027">
        <v>1478.1553954999999</v>
      </c>
      <c r="J1027">
        <v>1431.6268310999999</v>
      </c>
      <c r="K1027">
        <v>0</v>
      </c>
      <c r="L1027">
        <v>2400</v>
      </c>
      <c r="M1027">
        <v>2400</v>
      </c>
      <c r="N1027">
        <v>0</v>
      </c>
    </row>
    <row r="1028" spans="1:14" x14ac:dyDescent="0.25">
      <c r="A1028">
        <v>549.20353699999998</v>
      </c>
      <c r="B1028" s="1">
        <f>DATE(2011,11,1) + TIME(4,53,5)</f>
        <v>40848.203530092593</v>
      </c>
      <c r="C1028">
        <v>80</v>
      </c>
      <c r="D1028">
        <v>79.899948120000005</v>
      </c>
      <c r="E1028">
        <v>50</v>
      </c>
      <c r="F1028">
        <v>36.070175171000002</v>
      </c>
      <c r="G1028">
        <v>1279.9853516000001</v>
      </c>
      <c r="H1028">
        <v>1256.2673339999999</v>
      </c>
      <c r="I1028">
        <v>1476.9031981999999</v>
      </c>
      <c r="J1028">
        <v>1431.1341553</v>
      </c>
      <c r="K1028">
        <v>0</v>
      </c>
      <c r="L1028">
        <v>2400</v>
      </c>
      <c r="M1028">
        <v>2400</v>
      </c>
      <c r="N1028">
        <v>0</v>
      </c>
    </row>
    <row r="1029" spans="1:14" x14ac:dyDescent="0.25">
      <c r="A1029">
        <v>549.23174700000004</v>
      </c>
      <c r="B1029" s="1">
        <f>DATE(2011,11,1) + TIME(5,33,42)</f>
        <v>40848.231736111113</v>
      </c>
      <c r="C1029">
        <v>80</v>
      </c>
      <c r="D1029">
        <v>79.893150329999997</v>
      </c>
      <c r="E1029">
        <v>50</v>
      </c>
      <c r="F1029">
        <v>36.879760742000002</v>
      </c>
      <c r="G1029">
        <v>1279.9713135</v>
      </c>
      <c r="H1029">
        <v>1256.2526855000001</v>
      </c>
      <c r="I1029">
        <v>1475.6688231999999</v>
      </c>
      <c r="J1029">
        <v>1430.6407471</v>
      </c>
      <c r="K1029">
        <v>0</v>
      </c>
      <c r="L1029">
        <v>2400</v>
      </c>
      <c r="M1029">
        <v>2400</v>
      </c>
      <c r="N1029">
        <v>0</v>
      </c>
    </row>
    <row r="1030" spans="1:14" x14ac:dyDescent="0.25">
      <c r="A1030">
        <v>549.26201900000001</v>
      </c>
      <c r="B1030" s="1">
        <f>DATE(2011,11,1) + TIME(6,17,18)</f>
        <v>40848.262013888889</v>
      </c>
      <c r="C1030">
        <v>80</v>
      </c>
      <c r="D1030">
        <v>79.885971068999993</v>
      </c>
      <c r="E1030">
        <v>50</v>
      </c>
      <c r="F1030">
        <v>37.694751740000001</v>
      </c>
      <c r="G1030">
        <v>1279.9636230000001</v>
      </c>
      <c r="H1030">
        <v>1256.2442627</v>
      </c>
      <c r="I1030">
        <v>1474.4554443</v>
      </c>
      <c r="J1030">
        <v>1430.1506348</v>
      </c>
      <c r="K1030">
        <v>0</v>
      </c>
      <c r="L1030">
        <v>2400</v>
      </c>
      <c r="M1030">
        <v>2400</v>
      </c>
      <c r="N1030">
        <v>0</v>
      </c>
    </row>
    <row r="1031" spans="1:14" x14ac:dyDescent="0.25">
      <c r="A1031">
        <v>549.29468699999995</v>
      </c>
      <c r="B1031" s="1">
        <f>DATE(2011,11,1) + TIME(7,4,20)</f>
        <v>40848.294675925928</v>
      </c>
      <c r="C1031">
        <v>80</v>
      </c>
      <c r="D1031">
        <v>79.878364563000005</v>
      </c>
      <c r="E1031">
        <v>50</v>
      </c>
      <c r="F1031">
        <v>38.515792847</v>
      </c>
      <c r="G1031">
        <v>1279.9589844</v>
      </c>
      <c r="H1031">
        <v>1256.2391356999999</v>
      </c>
      <c r="I1031">
        <v>1473.2630615</v>
      </c>
      <c r="J1031">
        <v>1429.6644286999999</v>
      </c>
      <c r="K1031">
        <v>0</v>
      </c>
      <c r="L1031">
        <v>2400</v>
      </c>
      <c r="M1031">
        <v>2400</v>
      </c>
      <c r="N1031">
        <v>0</v>
      </c>
    </row>
    <row r="1032" spans="1:14" x14ac:dyDescent="0.25">
      <c r="A1032">
        <v>549.33017099999995</v>
      </c>
      <c r="B1032" s="1">
        <f>DATE(2011,11,1) + TIME(7,55,26)</f>
        <v>40848.33016203704</v>
      </c>
      <c r="C1032">
        <v>80</v>
      </c>
      <c r="D1032">
        <v>79.870254517000006</v>
      </c>
      <c r="E1032">
        <v>50</v>
      </c>
      <c r="F1032">
        <v>39.343551636000001</v>
      </c>
      <c r="G1032">
        <v>1279.9559326000001</v>
      </c>
      <c r="H1032">
        <v>1256.2353516000001</v>
      </c>
      <c r="I1032">
        <v>1472.0897216999999</v>
      </c>
      <c r="J1032">
        <v>1429.1812743999999</v>
      </c>
      <c r="K1032">
        <v>0</v>
      </c>
      <c r="L1032">
        <v>2400</v>
      </c>
      <c r="M1032">
        <v>2400</v>
      </c>
      <c r="N1032">
        <v>0</v>
      </c>
    </row>
    <row r="1033" spans="1:14" x14ac:dyDescent="0.25">
      <c r="A1033">
        <v>549.36899800000003</v>
      </c>
      <c r="B1033" s="1">
        <f>DATE(2011,11,1) + TIME(8,51,21)</f>
        <v>40848.368993055556</v>
      </c>
      <c r="C1033">
        <v>80</v>
      </c>
      <c r="D1033">
        <v>79.861564635999997</v>
      </c>
      <c r="E1033">
        <v>50</v>
      </c>
      <c r="F1033">
        <v>40.178607941000003</v>
      </c>
      <c r="G1033">
        <v>1279.9536132999999</v>
      </c>
      <c r="H1033">
        <v>1256.2322998</v>
      </c>
      <c r="I1033">
        <v>1470.9333495999999</v>
      </c>
      <c r="J1033">
        <v>1428.699707</v>
      </c>
      <c r="K1033">
        <v>0</v>
      </c>
      <c r="L1033">
        <v>2400</v>
      </c>
      <c r="M1033">
        <v>2400</v>
      </c>
      <c r="N1033">
        <v>0</v>
      </c>
    </row>
    <row r="1034" spans="1:14" x14ac:dyDescent="0.25">
      <c r="A1034">
        <v>549.41186100000004</v>
      </c>
      <c r="B1034" s="1">
        <f>DATE(2011,11,1) + TIME(9,53,4)</f>
        <v>40848.411851851852</v>
      </c>
      <c r="C1034">
        <v>80</v>
      </c>
      <c r="D1034">
        <v>79.852165221999996</v>
      </c>
      <c r="E1034">
        <v>50</v>
      </c>
      <c r="F1034">
        <v>41.021762848000002</v>
      </c>
      <c r="G1034">
        <v>1279.9514160000001</v>
      </c>
      <c r="H1034">
        <v>1256.2293701000001</v>
      </c>
      <c r="I1034">
        <v>1469.7913818</v>
      </c>
      <c r="J1034">
        <v>1428.2177733999999</v>
      </c>
      <c r="K1034">
        <v>0</v>
      </c>
      <c r="L1034">
        <v>2400</v>
      </c>
      <c r="M1034">
        <v>2400</v>
      </c>
      <c r="N1034">
        <v>0</v>
      </c>
    </row>
    <row r="1035" spans="1:14" x14ac:dyDescent="0.25">
      <c r="A1035">
        <v>549.45968100000005</v>
      </c>
      <c r="B1035" s="1">
        <f>DATE(2011,11,1) + TIME(11,1,56)</f>
        <v>40848.459675925929</v>
      </c>
      <c r="C1035">
        <v>80</v>
      </c>
      <c r="D1035">
        <v>79.841911315999994</v>
      </c>
      <c r="E1035">
        <v>50</v>
      </c>
      <c r="F1035">
        <v>41.873493195000002</v>
      </c>
      <c r="G1035">
        <v>1279.9493408000001</v>
      </c>
      <c r="H1035">
        <v>1256.2264404</v>
      </c>
      <c r="I1035">
        <v>1468.6613769999999</v>
      </c>
      <c r="J1035">
        <v>1427.7333983999999</v>
      </c>
      <c r="K1035">
        <v>0</v>
      </c>
      <c r="L1035">
        <v>2400</v>
      </c>
      <c r="M1035">
        <v>2400</v>
      </c>
      <c r="N1035">
        <v>0</v>
      </c>
    </row>
    <row r="1036" spans="1:14" x14ac:dyDescent="0.25">
      <c r="A1036">
        <v>549.51317400000005</v>
      </c>
      <c r="B1036" s="1">
        <f>DATE(2011,11,1) + TIME(12,18,58)</f>
        <v>40848.513171296298</v>
      </c>
      <c r="C1036">
        <v>80</v>
      </c>
      <c r="D1036">
        <v>79.830718993999994</v>
      </c>
      <c r="E1036">
        <v>50</v>
      </c>
      <c r="F1036">
        <v>42.726528168000002</v>
      </c>
      <c r="G1036">
        <v>1279.9471435999999</v>
      </c>
      <c r="H1036">
        <v>1256.2232666</v>
      </c>
      <c r="I1036">
        <v>1467.5494385</v>
      </c>
      <c r="J1036">
        <v>1427.2473144999999</v>
      </c>
      <c r="K1036">
        <v>0</v>
      </c>
      <c r="L1036">
        <v>2400</v>
      </c>
      <c r="M1036">
        <v>2400</v>
      </c>
      <c r="N1036">
        <v>0</v>
      </c>
    </row>
    <row r="1037" spans="1:14" x14ac:dyDescent="0.25">
      <c r="A1037">
        <v>549.57333000000006</v>
      </c>
      <c r="B1037" s="1">
        <f>DATE(2011,11,1) + TIME(13,45,35)</f>
        <v>40848.573321759257</v>
      </c>
      <c r="C1037">
        <v>80</v>
      </c>
      <c r="D1037">
        <v>79.818443298000005</v>
      </c>
      <c r="E1037">
        <v>50</v>
      </c>
      <c r="F1037">
        <v>43.574260711999997</v>
      </c>
      <c r="G1037">
        <v>1279.9445800999999</v>
      </c>
      <c r="H1037">
        <v>1256.2197266000001</v>
      </c>
      <c r="I1037">
        <v>1466.4600829999999</v>
      </c>
      <c r="J1037">
        <v>1426.7598877</v>
      </c>
      <c r="K1037">
        <v>0</v>
      </c>
      <c r="L1037">
        <v>2400</v>
      </c>
      <c r="M1037">
        <v>2400</v>
      </c>
      <c r="N1037">
        <v>0</v>
      </c>
    </row>
    <row r="1038" spans="1:14" x14ac:dyDescent="0.25">
      <c r="A1038">
        <v>549.64193999999998</v>
      </c>
      <c r="B1038" s="1">
        <f>DATE(2011,11,1) + TIME(15,24,23)</f>
        <v>40848.641932870371</v>
      </c>
      <c r="C1038">
        <v>80</v>
      </c>
      <c r="D1038">
        <v>79.804817200000002</v>
      </c>
      <c r="E1038">
        <v>50</v>
      </c>
      <c r="F1038">
        <v>44.414806366000001</v>
      </c>
      <c r="G1038">
        <v>1279.9417725000001</v>
      </c>
      <c r="H1038">
        <v>1256.2159423999999</v>
      </c>
      <c r="I1038">
        <v>1465.3914795000001</v>
      </c>
      <c r="J1038">
        <v>1426.269043</v>
      </c>
      <c r="K1038">
        <v>0</v>
      </c>
      <c r="L1038">
        <v>2400</v>
      </c>
      <c r="M1038">
        <v>2400</v>
      </c>
      <c r="N1038">
        <v>0</v>
      </c>
    </row>
    <row r="1039" spans="1:14" x14ac:dyDescent="0.25">
      <c r="A1039">
        <v>549.72158000000002</v>
      </c>
      <c r="B1039" s="1">
        <f>DATE(2011,11,1) + TIME(17,19,4)</f>
        <v>40848.721574074072</v>
      </c>
      <c r="C1039">
        <v>80</v>
      </c>
      <c r="D1039">
        <v>79.789474487000007</v>
      </c>
      <c r="E1039">
        <v>50</v>
      </c>
      <c r="F1039">
        <v>45.24539566</v>
      </c>
      <c r="G1039">
        <v>1279.9385986</v>
      </c>
      <c r="H1039">
        <v>1256.2115478999999</v>
      </c>
      <c r="I1039">
        <v>1464.3409423999999</v>
      </c>
      <c r="J1039">
        <v>1425.7709961</v>
      </c>
      <c r="K1039">
        <v>0</v>
      </c>
      <c r="L1039">
        <v>2400</v>
      </c>
      <c r="M1039">
        <v>2400</v>
      </c>
      <c r="N1039">
        <v>0</v>
      </c>
    </row>
    <row r="1040" spans="1:14" x14ac:dyDescent="0.25">
      <c r="A1040">
        <v>549.80595000000005</v>
      </c>
      <c r="B1040" s="1">
        <f>DATE(2011,11,1) + TIME(19,20,34)</f>
        <v>40848.805949074071</v>
      </c>
      <c r="C1040">
        <v>80</v>
      </c>
      <c r="D1040">
        <v>79.773468018000003</v>
      </c>
      <c r="E1040">
        <v>50</v>
      </c>
      <c r="F1040">
        <v>45.987781525000003</v>
      </c>
      <c r="G1040">
        <v>1279.9348144999999</v>
      </c>
      <c r="H1040">
        <v>1256.206543</v>
      </c>
      <c r="I1040">
        <v>1463.3798827999999</v>
      </c>
      <c r="J1040">
        <v>1425.2874756000001</v>
      </c>
      <c r="K1040">
        <v>0</v>
      </c>
      <c r="L1040">
        <v>2400</v>
      </c>
      <c r="M1040">
        <v>2400</v>
      </c>
      <c r="N1040">
        <v>0</v>
      </c>
    </row>
    <row r="1041" spans="1:14" x14ac:dyDescent="0.25">
      <c r="A1041">
        <v>549.892109</v>
      </c>
      <c r="B1041" s="1">
        <f>DATE(2011,11,1) + TIME(21,24,38)</f>
        <v>40848.892106481479</v>
      </c>
      <c r="C1041">
        <v>80</v>
      </c>
      <c r="D1041">
        <v>79.757255553999997</v>
      </c>
      <c r="E1041">
        <v>50</v>
      </c>
      <c r="F1041">
        <v>46.625148772999999</v>
      </c>
      <c r="G1041">
        <v>1279.9306641000001</v>
      </c>
      <c r="H1041">
        <v>1256.2012939000001</v>
      </c>
      <c r="I1041">
        <v>1462.5329589999999</v>
      </c>
      <c r="J1041">
        <v>1424.8388672000001</v>
      </c>
      <c r="K1041">
        <v>0</v>
      </c>
      <c r="L1041">
        <v>2400</v>
      </c>
      <c r="M1041">
        <v>2400</v>
      </c>
      <c r="N1041">
        <v>0</v>
      </c>
    </row>
    <row r="1042" spans="1:14" x14ac:dyDescent="0.25">
      <c r="A1042">
        <v>549.98119699999995</v>
      </c>
      <c r="B1042" s="1">
        <f>DATE(2011,11,1) + TIME(23,32,55)</f>
        <v>40848.981192129628</v>
      </c>
      <c r="C1042">
        <v>80</v>
      </c>
      <c r="D1042">
        <v>79.740669249999996</v>
      </c>
      <c r="E1042">
        <v>50</v>
      </c>
      <c r="F1042">
        <v>47.176082610999998</v>
      </c>
      <c r="G1042">
        <v>1279.9263916</v>
      </c>
      <c r="H1042">
        <v>1256.1959228999999</v>
      </c>
      <c r="I1042">
        <v>1461.7832031</v>
      </c>
      <c r="J1042">
        <v>1424.4246826000001</v>
      </c>
      <c r="K1042">
        <v>0</v>
      </c>
      <c r="L1042">
        <v>2400</v>
      </c>
      <c r="M1042">
        <v>2400</v>
      </c>
      <c r="N1042">
        <v>0</v>
      </c>
    </row>
    <row r="1043" spans="1:14" x14ac:dyDescent="0.25">
      <c r="A1043">
        <v>550.07404599999995</v>
      </c>
      <c r="B1043" s="1">
        <f>DATE(2011,11,2) + TIME(1,46,37)</f>
        <v>40849.07403935185</v>
      </c>
      <c r="C1043">
        <v>80</v>
      </c>
      <c r="D1043">
        <v>79.723571777000004</v>
      </c>
      <c r="E1043">
        <v>50</v>
      </c>
      <c r="F1043">
        <v>47.652675629000001</v>
      </c>
      <c r="G1043">
        <v>1279.9221190999999</v>
      </c>
      <c r="H1043">
        <v>1256.1904297000001</v>
      </c>
      <c r="I1043">
        <v>1461.1114502</v>
      </c>
      <c r="J1043">
        <v>1424.0367432</v>
      </c>
      <c r="K1043">
        <v>0</v>
      </c>
      <c r="L1043">
        <v>2400</v>
      </c>
      <c r="M1043">
        <v>2400</v>
      </c>
      <c r="N1043">
        <v>0</v>
      </c>
    </row>
    <row r="1044" spans="1:14" x14ac:dyDescent="0.25">
      <c r="A1044">
        <v>550.17157999999995</v>
      </c>
      <c r="B1044" s="1">
        <f>DATE(2011,11,2) + TIME(4,7,4)</f>
        <v>40849.171574074076</v>
      </c>
      <c r="C1044">
        <v>80</v>
      </c>
      <c r="D1044">
        <v>79.705833435000002</v>
      </c>
      <c r="E1044">
        <v>50</v>
      </c>
      <c r="F1044">
        <v>48.064601897999999</v>
      </c>
      <c r="G1044">
        <v>1279.9174805</v>
      </c>
      <c r="H1044">
        <v>1256.1846923999999</v>
      </c>
      <c r="I1044">
        <v>1460.5039062000001</v>
      </c>
      <c r="J1044">
        <v>1423.6691894999999</v>
      </c>
      <c r="K1044">
        <v>0</v>
      </c>
      <c r="L1044">
        <v>2400</v>
      </c>
      <c r="M1044">
        <v>2400</v>
      </c>
      <c r="N1044">
        <v>0</v>
      </c>
    </row>
    <row r="1045" spans="1:14" x14ac:dyDescent="0.25">
      <c r="A1045">
        <v>550.27484300000003</v>
      </c>
      <c r="B1045" s="1">
        <f>DATE(2011,11,2) + TIME(6,35,46)</f>
        <v>40849.274837962963</v>
      </c>
      <c r="C1045">
        <v>80</v>
      </c>
      <c r="D1045">
        <v>79.687294006000002</v>
      </c>
      <c r="E1045">
        <v>50</v>
      </c>
      <c r="F1045">
        <v>48.419673920000001</v>
      </c>
      <c r="G1045">
        <v>1279.9127197</v>
      </c>
      <c r="H1045">
        <v>1256.1785889</v>
      </c>
      <c r="I1045">
        <v>1459.9489745999999</v>
      </c>
      <c r="J1045">
        <v>1423.3168945</v>
      </c>
      <c r="K1045">
        <v>0</v>
      </c>
      <c r="L1045">
        <v>2400</v>
      </c>
      <c r="M1045">
        <v>2400</v>
      </c>
      <c r="N1045">
        <v>0</v>
      </c>
    </row>
    <row r="1046" spans="1:14" x14ac:dyDescent="0.25">
      <c r="A1046">
        <v>550.38496199999997</v>
      </c>
      <c r="B1046" s="1">
        <f>DATE(2011,11,2) + TIME(9,14,20)</f>
        <v>40849.384953703702</v>
      </c>
      <c r="C1046">
        <v>80</v>
      </c>
      <c r="D1046">
        <v>79.667793274000005</v>
      </c>
      <c r="E1046">
        <v>50</v>
      </c>
      <c r="F1046">
        <v>48.724151611000003</v>
      </c>
      <c r="G1046">
        <v>1279.9075928</v>
      </c>
      <c r="H1046">
        <v>1256.1722411999999</v>
      </c>
      <c r="I1046">
        <v>1459.4373779</v>
      </c>
      <c r="J1046">
        <v>1422.9758300999999</v>
      </c>
      <c r="K1046">
        <v>0</v>
      </c>
      <c r="L1046">
        <v>2400</v>
      </c>
      <c r="M1046">
        <v>2400</v>
      </c>
      <c r="N1046">
        <v>0</v>
      </c>
    </row>
    <row r="1047" spans="1:14" x14ac:dyDescent="0.25">
      <c r="A1047">
        <v>550.50220000000002</v>
      </c>
      <c r="B1047" s="1">
        <f>DATE(2011,11,2) + TIME(12,3,10)</f>
        <v>40849.502199074072</v>
      </c>
      <c r="C1047">
        <v>80</v>
      </c>
      <c r="D1047">
        <v>79.647285460999996</v>
      </c>
      <c r="E1047">
        <v>50</v>
      </c>
      <c r="F1047">
        <v>48.981521606000001</v>
      </c>
      <c r="G1047">
        <v>1279.9022216999999</v>
      </c>
      <c r="H1047">
        <v>1256.1654053</v>
      </c>
      <c r="I1047">
        <v>1458.9631348</v>
      </c>
      <c r="J1047">
        <v>1422.6427002</v>
      </c>
      <c r="K1047">
        <v>0</v>
      </c>
      <c r="L1047">
        <v>2400</v>
      </c>
      <c r="M1047">
        <v>2400</v>
      </c>
      <c r="N1047">
        <v>0</v>
      </c>
    </row>
    <row r="1048" spans="1:14" x14ac:dyDescent="0.25">
      <c r="A1048">
        <v>550.62820999999997</v>
      </c>
      <c r="B1048" s="1">
        <f>DATE(2011,11,2) + TIME(15,4,37)</f>
        <v>40849.628206018519</v>
      </c>
      <c r="C1048">
        <v>80</v>
      </c>
      <c r="D1048">
        <v>79.625556946000003</v>
      </c>
      <c r="E1048">
        <v>50</v>
      </c>
      <c r="F1048">
        <v>49.197799683</v>
      </c>
      <c r="G1048">
        <v>1279.8963623</v>
      </c>
      <c r="H1048">
        <v>1256.1580810999999</v>
      </c>
      <c r="I1048">
        <v>1458.5203856999999</v>
      </c>
      <c r="J1048">
        <v>1422.3162841999999</v>
      </c>
      <c r="K1048">
        <v>0</v>
      </c>
      <c r="L1048">
        <v>2400</v>
      </c>
      <c r="M1048">
        <v>2400</v>
      </c>
      <c r="N1048">
        <v>0</v>
      </c>
    </row>
    <row r="1049" spans="1:14" x14ac:dyDescent="0.25">
      <c r="A1049">
        <v>550.76497600000005</v>
      </c>
      <c r="B1049" s="1">
        <f>DATE(2011,11,2) + TIME(18,21,33)</f>
        <v>40849.764965277776</v>
      </c>
      <c r="C1049">
        <v>80</v>
      </c>
      <c r="D1049">
        <v>79.602340698000006</v>
      </c>
      <c r="E1049">
        <v>50</v>
      </c>
      <c r="F1049">
        <v>49.377975464000002</v>
      </c>
      <c r="G1049">
        <v>1279.8901367000001</v>
      </c>
      <c r="H1049">
        <v>1256.1502685999999</v>
      </c>
      <c r="I1049">
        <v>1458.1019286999999</v>
      </c>
      <c r="J1049">
        <v>1421.9927978999999</v>
      </c>
      <c r="K1049">
        <v>0</v>
      </c>
      <c r="L1049">
        <v>2400</v>
      </c>
      <c r="M1049">
        <v>2400</v>
      </c>
      <c r="N1049">
        <v>0</v>
      </c>
    </row>
    <row r="1050" spans="1:14" x14ac:dyDescent="0.25">
      <c r="A1050">
        <v>550.91490599999997</v>
      </c>
      <c r="B1050" s="1">
        <f>DATE(2011,11,2) + TIME(21,57,27)</f>
        <v>40849.914895833332</v>
      </c>
      <c r="C1050">
        <v>80</v>
      </c>
      <c r="D1050">
        <v>79.577308654999996</v>
      </c>
      <c r="E1050">
        <v>50</v>
      </c>
      <c r="F1050">
        <v>49.526271819999998</v>
      </c>
      <c r="G1050">
        <v>1279.8833007999999</v>
      </c>
      <c r="H1050">
        <v>1256.1417236</v>
      </c>
      <c r="I1050">
        <v>1457.7014160000001</v>
      </c>
      <c r="J1050">
        <v>1421.6683350000001</v>
      </c>
      <c r="K1050">
        <v>0</v>
      </c>
      <c r="L1050">
        <v>2400</v>
      </c>
      <c r="M1050">
        <v>2400</v>
      </c>
      <c r="N1050">
        <v>0</v>
      </c>
    </row>
    <row r="1051" spans="1:14" x14ac:dyDescent="0.25">
      <c r="A1051">
        <v>551.07864400000005</v>
      </c>
      <c r="B1051" s="1">
        <f>DATE(2011,11,3) + TIME(1,53,14)</f>
        <v>40850.078634259262</v>
      </c>
      <c r="C1051">
        <v>80</v>
      </c>
      <c r="D1051">
        <v>79.550369262999993</v>
      </c>
      <c r="E1051">
        <v>50</v>
      </c>
      <c r="F1051">
        <v>49.645168304000002</v>
      </c>
      <c r="G1051">
        <v>1279.8758545000001</v>
      </c>
      <c r="H1051">
        <v>1256.1324463000001</v>
      </c>
      <c r="I1051">
        <v>1457.3135986</v>
      </c>
      <c r="J1051">
        <v>1421.3398437999999</v>
      </c>
      <c r="K1051">
        <v>0</v>
      </c>
      <c r="L1051">
        <v>2400</v>
      </c>
      <c r="M1051">
        <v>2400</v>
      </c>
      <c r="N1051">
        <v>0</v>
      </c>
    </row>
    <row r="1052" spans="1:14" x14ac:dyDescent="0.25">
      <c r="A1052">
        <v>551.25980500000003</v>
      </c>
      <c r="B1052" s="1">
        <f>DATE(2011,11,3) + TIME(6,14,7)</f>
        <v>40850.25980324074</v>
      </c>
      <c r="C1052">
        <v>80</v>
      </c>
      <c r="D1052">
        <v>79.521072387999993</v>
      </c>
      <c r="E1052">
        <v>50</v>
      </c>
      <c r="F1052">
        <v>49.739124298</v>
      </c>
      <c r="G1052">
        <v>1279.8676757999999</v>
      </c>
      <c r="H1052">
        <v>1256.1221923999999</v>
      </c>
      <c r="I1052">
        <v>1456.9365233999999</v>
      </c>
      <c r="J1052">
        <v>1421.0076904</v>
      </c>
      <c r="K1052">
        <v>0</v>
      </c>
      <c r="L1052">
        <v>2400</v>
      </c>
      <c r="M1052">
        <v>2400</v>
      </c>
      <c r="N1052">
        <v>0</v>
      </c>
    </row>
    <row r="1053" spans="1:14" x14ac:dyDescent="0.25">
      <c r="A1053">
        <v>551.45350800000006</v>
      </c>
      <c r="B1053" s="1">
        <f>DATE(2011,11,3) + TIME(10,53,3)</f>
        <v>40850.453506944446</v>
      </c>
      <c r="C1053">
        <v>80</v>
      </c>
      <c r="D1053">
        <v>79.489898682000003</v>
      </c>
      <c r="E1053">
        <v>50</v>
      </c>
      <c r="F1053">
        <v>49.809524535999998</v>
      </c>
      <c r="G1053">
        <v>1279.8583983999999</v>
      </c>
      <c r="H1053">
        <v>1256.1109618999999</v>
      </c>
      <c r="I1053">
        <v>1456.5653076000001</v>
      </c>
      <c r="J1053">
        <v>1420.6679687999999</v>
      </c>
      <c r="K1053">
        <v>0</v>
      </c>
      <c r="L1053">
        <v>2400</v>
      </c>
      <c r="M1053">
        <v>2400</v>
      </c>
      <c r="N1053">
        <v>0</v>
      </c>
    </row>
    <row r="1054" spans="1:14" x14ac:dyDescent="0.25">
      <c r="A1054">
        <v>551.64898900000003</v>
      </c>
      <c r="B1054" s="1">
        <f>DATE(2011,11,3) + TIME(15,34,32)</f>
        <v>40850.648981481485</v>
      </c>
      <c r="C1054">
        <v>80</v>
      </c>
      <c r="D1054">
        <v>79.458068847999996</v>
      </c>
      <c r="E1054">
        <v>50</v>
      </c>
      <c r="F1054">
        <v>49.859214782999999</v>
      </c>
      <c r="G1054">
        <v>1279.8483887</v>
      </c>
      <c r="H1054">
        <v>1256.098999</v>
      </c>
      <c r="I1054">
        <v>1456.2091064000001</v>
      </c>
      <c r="J1054">
        <v>1420.3319091999999</v>
      </c>
      <c r="K1054">
        <v>0</v>
      </c>
      <c r="L1054">
        <v>2400</v>
      </c>
      <c r="M1054">
        <v>2400</v>
      </c>
      <c r="N1054">
        <v>0</v>
      </c>
    </row>
    <row r="1055" spans="1:14" x14ac:dyDescent="0.25">
      <c r="A1055">
        <v>551.84788500000002</v>
      </c>
      <c r="B1055" s="1">
        <f>DATE(2011,11,3) + TIME(20,20,57)</f>
        <v>40850.847881944443</v>
      </c>
      <c r="C1055">
        <v>80</v>
      </c>
      <c r="D1055">
        <v>79.425582886000001</v>
      </c>
      <c r="E1055">
        <v>50</v>
      </c>
      <c r="F1055">
        <v>49.894432068</v>
      </c>
      <c r="G1055">
        <v>1279.8383789</v>
      </c>
      <c r="H1055">
        <v>1256.0869141000001</v>
      </c>
      <c r="I1055">
        <v>1455.8815918</v>
      </c>
      <c r="J1055">
        <v>1420.0167236</v>
      </c>
      <c r="K1055">
        <v>0</v>
      </c>
      <c r="L1055">
        <v>2400</v>
      </c>
      <c r="M1055">
        <v>2400</v>
      </c>
      <c r="N1055">
        <v>0</v>
      </c>
    </row>
    <row r="1056" spans="1:14" x14ac:dyDescent="0.25">
      <c r="A1056">
        <v>552.05242399999997</v>
      </c>
      <c r="B1056" s="1">
        <f>DATE(2011,11,4) + TIME(1,15,29)</f>
        <v>40851.052418981482</v>
      </c>
      <c r="C1056">
        <v>80</v>
      </c>
      <c r="D1056">
        <v>79.392303467000005</v>
      </c>
      <c r="E1056">
        <v>50</v>
      </c>
      <c r="F1056">
        <v>49.919479369999998</v>
      </c>
      <c r="G1056">
        <v>1279.828125</v>
      </c>
      <c r="H1056">
        <v>1256.0744629000001</v>
      </c>
      <c r="I1056">
        <v>1455.5755615</v>
      </c>
      <c r="J1056">
        <v>1419.7175293</v>
      </c>
      <c r="K1056">
        <v>0</v>
      </c>
      <c r="L1056">
        <v>2400</v>
      </c>
      <c r="M1056">
        <v>2400</v>
      </c>
      <c r="N1056">
        <v>0</v>
      </c>
    </row>
    <row r="1057" spans="1:14" x14ac:dyDescent="0.25">
      <c r="A1057">
        <v>552.26478199999997</v>
      </c>
      <c r="B1057" s="1">
        <f>DATE(2011,11,4) + TIME(6,21,17)</f>
        <v>40851.264780092592</v>
      </c>
      <c r="C1057">
        <v>80</v>
      </c>
      <c r="D1057">
        <v>79.358039856000005</v>
      </c>
      <c r="E1057">
        <v>50</v>
      </c>
      <c r="F1057">
        <v>49.937290191999999</v>
      </c>
      <c r="G1057">
        <v>1279.8176269999999</v>
      </c>
      <c r="H1057">
        <v>1256.0617675999999</v>
      </c>
      <c r="I1057">
        <v>1455.284668</v>
      </c>
      <c r="J1057">
        <v>1419.4296875</v>
      </c>
      <c r="K1057">
        <v>0</v>
      </c>
      <c r="L1057">
        <v>2400</v>
      </c>
      <c r="M1057">
        <v>2400</v>
      </c>
      <c r="N1057">
        <v>0</v>
      </c>
    </row>
    <row r="1058" spans="1:14" x14ac:dyDescent="0.25">
      <c r="A1058">
        <v>552.48728600000004</v>
      </c>
      <c r="B1058" s="1">
        <f>DATE(2011,11,4) + TIME(11,41,41)</f>
        <v>40851.487280092595</v>
      </c>
      <c r="C1058">
        <v>80</v>
      </c>
      <c r="D1058">
        <v>79.322547912999994</v>
      </c>
      <c r="E1058">
        <v>50</v>
      </c>
      <c r="F1058">
        <v>49.949913025000001</v>
      </c>
      <c r="G1058">
        <v>1279.8067627</v>
      </c>
      <c r="H1058">
        <v>1256.0484618999999</v>
      </c>
      <c r="I1058">
        <v>1455.0045166</v>
      </c>
      <c r="J1058">
        <v>1419.1494141000001</v>
      </c>
      <c r="K1058">
        <v>0</v>
      </c>
      <c r="L1058">
        <v>2400</v>
      </c>
      <c r="M1058">
        <v>2400</v>
      </c>
      <c r="N1058">
        <v>0</v>
      </c>
    </row>
    <row r="1059" spans="1:14" x14ac:dyDescent="0.25">
      <c r="A1059">
        <v>552.72238800000002</v>
      </c>
      <c r="B1059" s="1">
        <f>DATE(2011,11,4) + TIME(17,20,14)</f>
        <v>40851.722384259258</v>
      </c>
      <c r="C1059">
        <v>80</v>
      </c>
      <c r="D1059">
        <v>79.285552979000002</v>
      </c>
      <c r="E1059">
        <v>50</v>
      </c>
      <c r="F1059">
        <v>49.958805083999998</v>
      </c>
      <c r="G1059">
        <v>1279.7952881000001</v>
      </c>
      <c r="H1059">
        <v>1256.0345459</v>
      </c>
      <c r="I1059">
        <v>1454.730957</v>
      </c>
      <c r="J1059">
        <v>1418.8737793</v>
      </c>
      <c r="K1059">
        <v>0</v>
      </c>
      <c r="L1059">
        <v>2400</v>
      </c>
      <c r="M1059">
        <v>2400</v>
      </c>
      <c r="N1059">
        <v>0</v>
      </c>
    </row>
    <row r="1060" spans="1:14" x14ac:dyDescent="0.25">
      <c r="A1060">
        <v>552.97246199999995</v>
      </c>
      <c r="B1060" s="1">
        <f>DATE(2011,11,4) + TIME(23,20,20)</f>
        <v>40851.972453703704</v>
      </c>
      <c r="C1060">
        <v>80</v>
      </c>
      <c r="D1060">
        <v>79.246749878000003</v>
      </c>
      <c r="E1060">
        <v>50</v>
      </c>
      <c r="F1060">
        <v>49.965007782000001</v>
      </c>
      <c r="G1060">
        <v>1279.7832031</v>
      </c>
      <c r="H1060">
        <v>1256.0197754000001</v>
      </c>
      <c r="I1060">
        <v>1454.4613036999999</v>
      </c>
      <c r="J1060">
        <v>1418.6002197</v>
      </c>
      <c r="K1060">
        <v>0</v>
      </c>
      <c r="L1060">
        <v>2400</v>
      </c>
      <c r="M1060">
        <v>2400</v>
      </c>
      <c r="N1060">
        <v>0</v>
      </c>
    </row>
    <row r="1061" spans="1:14" x14ac:dyDescent="0.25">
      <c r="A1061">
        <v>553.24124900000004</v>
      </c>
      <c r="B1061" s="1">
        <f>DATE(2011,11,5) + TIME(5,47,23)</f>
        <v>40852.241238425922</v>
      </c>
      <c r="C1061">
        <v>80</v>
      </c>
      <c r="D1061">
        <v>79.205734253000003</v>
      </c>
      <c r="E1061">
        <v>50</v>
      </c>
      <c r="F1061">
        <v>49.969299315999997</v>
      </c>
      <c r="G1061">
        <v>1279.7703856999999</v>
      </c>
      <c r="H1061">
        <v>1256.0040283000001</v>
      </c>
      <c r="I1061">
        <v>1454.1932373</v>
      </c>
      <c r="J1061">
        <v>1418.3267822</v>
      </c>
      <c r="K1061">
        <v>0</v>
      </c>
      <c r="L1061">
        <v>2400</v>
      </c>
      <c r="M1061">
        <v>2400</v>
      </c>
      <c r="N1061">
        <v>0</v>
      </c>
    </row>
    <row r="1062" spans="1:14" x14ac:dyDescent="0.25">
      <c r="A1062">
        <v>553.53343400000006</v>
      </c>
      <c r="B1062" s="1">
        <f>DATE(2011,11,5) + TIME(12,48,8)</f>
        <v>40852.533425925925</v>
      </c>
      <c r="C1062">
        <v>80</v>
      </c>
      <c r="D1062">
        <v>79.161956786999994</v>
      </c>
      <c r="E1062">
        <v>50</v>
      </c>
      <c r="F1062">
        <v>49.972244263</v>
      </c>
      <c r="G1062">
        <v>1279.7564697</v>
      </c>
      <c r="H1062">
        <v>1255.9871826000001</v>
      </c>
      <c r="I1062">
        <v>1453.9238281</v>
      </c>
      <c r="J1062">
        <v>1418.0510254000001</v>
      </c>
      <c r="K1062">
        <v>0</v>
      </c>
      <c r="L1062">
        <v>2400</v>
      </c>
      <c r="M1062">
        <v>2400</v>
      </c>
      <c r="N1062">
        <v>0</v>
      </c>
    </row>
    <row r="1063" spans="1:14" x14ac:dyDescent="0.25">
      <c r="A1063">
        <v>553.85216000000003</v>
      </c>
      <c r="B1063" s="1">
        <f>DATE(2011,11,5) + TIME(20,27,6)</f>
        <v>40852.852152777778</v>
      </c>
      <c r="C1063">
        <v>80</v>
      </c>
      <c r="D1063">
        <v>79.114997864000003</v>
      </c>
      <c r="E1063">
        <v>50</v>
      </c>
      <c r="F1063">
        <v>49.974227904999999</v>
      </c>
      <c r="G1063">
        <v>1279.7413329999999</v>
      </c>
      <c r="H1063">
        <v>1255.96875</v>
      </c>
      <c r="I1063">
        <v>1453.6500243999999</v>
      </c>
      <c r="J1063">
        <v>1417.7697754000001</v>
      </c>
      <c r="K1063">
        <v>0</v>
      </c>
      <c r="L1063">
        <v>2400</v>
      </c>
      <c r="M1063">
        <v>2400</v>
      </c>
      <c r="N1063">
        <v>0</v>
      </c>
    </row>
    <row r="1064" spans="1:14" x14ac:dyDescent="0.25">
      <c r="A1064">
        <v>554.17509099999995</v>
      </c>
      <c r="B1064" s="1">
        <f>DATE(2011,11,6) + TIME(4,12,7)</f>
        <v>40853.175081018519</v>
      </c>
      <c r="C1064">
        <v>80</v>
      </c>
      <c r="D1064">
        <v>79.066566467000001</v>
      </c>
      <c r="E1064">
        <v>50</v>
      </c>
      <c r="F1064">
        <v>49.975479126000003</v>
      </c>
      <c r="G1064">
        <v>1279.7244873</v>
      </c>
      <c r="H1064">
        <v>1255.9487305</v>
      </c>
      <c r="I1064">
        <v>1453.3712158000001</v>
      </c>
      <c r="J1064">
        <v>1417.4826660000001</v>
      </c>
      <c r="K1064">
        <v>0</v>
      </c>
      <c r="L1064">
        <v>2400</v>
      </c>
      <c r="M1064">
        <v>2400</v>
      </c>
      <c r="N1064">
        <v>0</v>
      </c>
    </row>
    <row r="1065" spans="1:14" x14ac:dyDescent="0.25">
      <c r="A1065">
        <v>554.50157000000002</v>
      </c>
      <c r="B1065" s="1">
        <f>DATE(2011,11,6) + TIME(12,2,15)</f>
        <v>40853.501562500001</v>
      </c>
      <c r="C1065">
        <v>80</v>
      </c>
      <c r="D1065">
        <v>79.017234802000004</v>
      </c>
      <c r="E1065">
        <v>50</v>
      </c>
      <c r="F1065">
        <v>49.976280211999999</v>
      </c>
      <c r="G1065">
        <v>1279.7073975000001</v>
      </c>
      <c r="H1065">
        <v>1255.9283447</v>
      </c>
      <c r="I1065">
        <v>1453.1075439000001</v>
      </c>
      <c r="J1065">
        <v>1417.2105713000001</v>
      </c>
      <c r="K1065">
        <v>0</v>
      </c>
      <c r="L1065">
        <v>2400</v>
      </c>
      <c r="M1065">
        <v>2400</v>
      </c>
      <c r="N1065">
        <v>0</v>
      </c>
    </row>
    <row r="1066" spans="1:14" x14ac:dyDescent="0.25">
      <c r="A1066">
        <v>554.83537699999999</v>
      </c>
      <c r="B1066" s="1">
        <f>DATE(2011,11,6) + TIME(20,2,56)</f>
        <v>40853.835370370369</v>
      </c>
      <c r="C1066">
        <v>80</v>
      </c>
      <c r="D1066">
        <v>78.967033385999997</v>
      </c>
      <c r="E1066">
        <v>50</v>
      </c>
      <c r="F1066">
        <v>49.976810454999999</v>
      </c>
      <c r="G1066">
        <v>1279.6900635</v>
      </c>
      <c r="H1066">
        <v>1255.9074707</v>
      </c>
      <c r="I1066">
        <v>1452.8579102000001</v>
      </c>
      <c r="J1066">
        <v>1416.9526367000001</v>
      </c>
      <c r="K1066">
        <v>0</v>
      </c>
      <c r="L1066">
        <v>2400</v>
      </c>
      <c r="M1066">
        <v>2400</v>
      </c>
      <c r="N1066">
        <v>0</v>
      </c>
    </row>
    <row r="1067" spans="1:14" x14ac:dyDescent="0.25">
      <c r="A1067">
        <v>555.18017799999996</v>
      </c>
      <c r="B1067" s="1">
        <f>DATE(2011,11,7) + TIME(4,19,27)</f>
        <v>40854.180173611108</v>
      </c>
      <c r="C1067">
        <v>80</v>
      </c>
      <c r="D1067">
        <v>78.915740967000005</v>
      </c>
      <c r="E1067">
        <v>50</v>
      </c>
      <c r="F1067">
        <v>49.977165221999996</v>
      </c>
      <c r="G1067">
        <v>1279.6724853999999</v>
      </c>
      <c r="H1067">
        <v>1255.8862305</v>
      </c>
      <c r="I1067">
        <v>1452.6182861</v>
      </c>
      <c r="J1067">
        <v>1416.7044678</v>
      </c>
      <c r="K1067">
        <v>0</v>
      </c>
      <c r="L1067">
        <v>2400</v>
      </c>
      <c r="M1067">
        <v>2400</v>
      </c>
      <c r="N1067">
        <v>0</v>
      </c>
    </row>
    <row r="1068" spans="1:14" x14ac:dyDescent="0.25">
      <c r="A1068">
        <v>555.53941499999996</v>
      </c>
      <c r="B1068" s="1">
        <f>DATE(2011,11,7) + TIME(12,56,45)</f>
        <v>40854.539409722223</v>
      </c>
      <c r="C1068">
        <v>80</v>
      </c>
      <c r="D1068">
        <v>78.863037109000004</v>
      </c>
      <c r="E1068">
        <v>50</v>
      </c>
      <c r="F1068">
        <v>49.977409363</v>
      </c>
      <c r="G1068">
        <v>1279.6541748</v>
      </c>
      <c r="H1068">
        <v>1255.8641356999999</v>
      </c>
      <c r="I1068">
        <v>1452.3851318</v>
      </c>
      <c r="J1068">
        <v>1416.4628906</v>
      </c>
      <c r="K1068">
        <v>0</v>
      </c>
      <c r="L1068">
        <v>2400</v>
      </c>
      <c r="M1068">
        <v>2400</v>
      </c>
      <c r="N1068">
        <v>0</v>
      </c>
    </row>
    <row r="1069" spans="1:14" x14ac:dyDescent="0.25">
      <c r="A1069">
        <v>555.91542500000003</v>
      </c>
      <c r="B1069" s="1">
        <f>DATE(2011,11,7) + TIME(21,58,12)</f>
        <v>40854.915416666663</v>
      </c>
      <c r="C1069">
        <v>80</v>
      </c>
      <c r="D1069">
        <v>78.808631896999998</v>
      </c>
      <c r="E1069">
        <v>50</v>
      </c>
      <c r="F1069">
        <v>49.977581024000003</v>
      </c>
      <c r="G1069">
        <v>1279.6350098</v>
      </c>
      <c r="H1069">
        <v>1255.8409423999999</v>
      </c>
      <c r="I1069">
        <v>1452.1561279</v>
      </c>
      <c r="J1069">
        <v>1416.2253418</v>
      </c>
      <c r="K1069">
        <v>0</v>
      </c>
      <c r="L1069">
        <v>2400</v>
      </c>
      <c r="M1069">
        <v>2400</v>
      </c>
      <c r="N1069">
        <v>0</v>
      </c>
    </row>
    <row r="1070" spans="1:14" x14ac:dyDescent="0.25">
      <c r="A1070">
        <v>556.31281300000001</v>
      </c>
      <c r="B1070" s="1">
        <f>DATE(2011,11,8) + TIME(7,30,27)</f>
        <v>40855.3128125</v>
      </c>
      <c r="C1070">
        <v>80</v>
      </c>
      <c r="D1070">
        <v>78.752082825000002</v>
      </c>
      <c r="E1070">
        <v>50</v>
      </c>
      <c r="F1070">
        <v>49.977706908999998</v>
      </c>
      <c r="G1070">
        <v>1279.6148682</v>
      </c>
      <c r="H1070">
        <v>1255.8167725000001</v>
      </c>
      <c r="I1070">
        <v>1451.9300536999999</v>
      </c>
      <c r="J1070">
        <v>1415.9906006000001</v>
      </c>
      <c r="K1070">
        <v>0</v>
      </c>
      <c r="L1070">
        <v>2400</v>
      </c>
      <c r="M1070">
        <v>2400</v>
      </c>
      <c r="N1070">
        <v>0</v>
      </c>
    </row>
    <row r="1071" spans="1:14" x14ac:dyDescent="0.25">
      <c r="A1071">
        <v>556.73718599999995</v>
      </c>
      <c r="B1071" s="1">
        <f>DATE(2011,11,8) + TIME(17,41,32)</f>
        <v>40855.737175925926</v>
      </c>
      <c r="C1071">
        <v>80</v>
      </c>
      <c r="D1071">
        <v>78.692787170000003</v>
      </c>
      <c r="E1071">
        <v>50</v>
      </c>
      <c r="F1071">
        <v>49.977802277000002</v>
      </c>
      <c r="G1071">
        <v>1279.5936279</v>
      </c>
      <c r="H1071">
        <v>1255.7908935999999</v>
      </c>
      <c r="I1071">
        <v>1451.7043457</v>
      </c>
      <c r="J1071">
        <v>1415.7562256000001</v>
      </c>
      <c r="K1071">
        <v>0</v>
      </c>
      <c r="L1071">
        <v>2400</v>
      </c>
      <c r="M1071">
        <v>2400</v>
      </c>
      <c r="N1071">
        <v>0</v>
      </c>
    </row>
    <row r="1072" spans="1:14" x14ac:dyDescent="0.25">
      <c r="A1072">
        <v>557.19317699999999</v>
      </c>
      <c r="B1072" s="1">
        <f>DATE(2011,11,9) + TIME(4,38,10)</f>
        <v>40856.193171296298</v>
      </c>
      <c r="C1072">
        <v>80</v>
      </c>
      <c r="D1072">
        <v>78.630180358999993</v>
      </c>
      <c r="E1072">
        <v>50</v>
      </c>
      <c r="F1072">
        <v>49.977874755999999</v>
      </c>
      <c r="G1072">
        <v>1279.5706786999999</v>
      </c>
      <c r="H1072">
        <v>1255.7633057</v>
      </c>
      <c r="I1072">
        <v>1451.4770507999999</v>
      </c>
      <c r="J1072">
        <v>1415.5198975000001</v>
      </c>
      <c r="K1072">
        <v>0</v>
      </c>
      <c r="L1072">
        <v>2400</v>
      </c>
      <c r="M1072">
        <v>2400</v>
      </c>
      <c r="N1072">
        <v>0</v>
      </c>
    </row>
    <row r="1073" spans="1:14" x14ac:dyDescent="0.25">
      <c r="A1073">
        <v>557.65006500000004</v>
      </c>
      <c r="B1073" s="1">
        <f>DATE(2011,11,9) + TIME(15,36,5)</f>
        <v>40856.650057870371</v>
      </c>
      <c r="C1073">
        <v>80</v>
      </c>
      <c r="D1073">
        <v>78.566047667999996</v>
      </c>
      <c r="E1073">
        <v>50</v>
      </c>
      <c r="F1073">
        <v>49.977928161999998</v>
      </c>
      <c r="G1073">
        <v>1279.5456543</v>
      </c>
      <c r="H1073">
        <v>1255.7336425999999</v>
      </c>
      <c r="I1073">
        <v>1451.246582</v>
      </c>
      <c r="J1073">
        <v>1415.2802733999999</v>
      </c>
      <c r="K1073">
        <v>0</v>
      </c>
      <c r="L1073">
        <v>2400</v>
      </c>
      <c r="M1073">
        <v>2400</v>
      </c>
      <c r="N1073">
        <v>0</v>
      </c>
    </row>
    <row r="1074" spans="1:14" x14ac:dyDescent="0.25">
      <c r="A1074">
        <v>558.11294099999998</v>
      </c>
      <c r="B1074" s="1">
        <f>DATE(2011,11,10) + TIME(2,42,38)</f>
        <v>40857.112939814811</v>
      </c>
      <c r="C1074">
        <v>80</v>
      </c>
      <c r="D1074">
        <v>78.501075744999994</v>
      </c>
      <c r="E1074">
        <v>50</v>
      </c>
      <c r="F1074">
        <v>49.977970122999999</v>
      </c>
      <c r="G1074">
        <v>1279.5206298999999</v>
      </c>
      <c r="H1074">
        <v>1255.7034911999999</v>
      </c>
      <c r="I1074">
        <v>1451.0289307</v>
      </c>
      <c r="J1074">
        <v>1415.0538329999999</v>
      </c>
      <c r="K1074">
        <v>0</v>
      </c>
      <c r="L1074">
        <v>2400</v>
      </c>
      <c r="M1074">
        <v>2400</v>
      </c>
      <c r="N1074">
        <v>0</v>
      </c>
    </row>
    <row r="1075" spans="1:14" x14ac:dyDescent="0.25">
      <c r="A1075">
        <v>558.58686599999999</v>
      </c>
      <c r="B1075" s="1">
        <f>DATE(2011,11,10) + TIME(14,5,5)</f>
        <v>40857.586863425924</v>
      </c>
      <c r="C1075">
        <v>80</v>
      </c>
      <c r="D1075">
        <v>78.435241699000002</v>
      </c>
      <c r="E1075">
        <v>50</v>
      </c>
      <c r="F1075">
        <v>49.978008269999997</v>
      </c>
      <c r="G1075">
        <v>1279.4951172000001</v>
      </c>
      <c r="H1075">
        <v>1255.6728516000001</v>
      </c>
      <c r="I1075">
        <v>1450.8204346</v>
      </c>
      <c r="J1075">
        <v>1414.8367920000001</v>
      </c>
      <c r="K1075">
        <v>0</v>
      </c>
      <c r="L1075">
        <v>2400</v>
      </c>
      <c r="M1075">
        <v>2400</v>
      </c>
      <c r="N1075">
        <v>0</v>
      </c>
    </row>
    <row r="1076" spans="1:14" x14ac:dyDescent="0.25">
      <c r="A1076">
        <v>559.07693200000006</v>
      </c>
      <c r="B1076" s="1">
        <f>DATE(2011,11,11) + TIME(1,50,46)</f>
        <v>40858.076921296299</v>
      </c>
      <c r="C1076">
        <v>80</v>
      </c>
      <c r="D1076">
        <v>78.368202209000003</v>
      </c>
      <c r="E1076">
        <v>50</v>
      </c>
      <c r="F1076">
        <v>49.978038787999999</v>
      </c>
      <c r="G1076">
        <v>1279.4688721</v>
      </c>
      <c r="H1076">
        <v>1255.6411132999999</v>
      </c>
      <c r="I1076">
        <v>1450.6182861</v>
      </c>
      <c r="J1076">
        <v>1414.6263428</v>
      </c>
      <c r="K1076">
        <v>0</v>
      </c>
      <c r="L1076">
        <v>2400</v>
      </c>
      <c r="M1076">
        <v>2400</v>
      </c>
      <c r="N1076">
        <v>0</v>
      </c>
    </row>
    <row r="1077" spans="1:14" x14ac:dyDescent="0.25">
      <c r="A1077">
        <v>559.58865800000001</v>
      </c>
      <c r="B1077" s="1">
        <f>DATE(2011,11,11) + TIME(14,7,40)</f>
        <v>40858.58865740741</v>
      </c>
      <c r="C1077">
        <v>80</v>
      </c>
      <c r="D1077">
        <v>78.299438476999995</v>
      </c>
      <c r="E1077">
        <v>50</v>
      </c>
      <c r="F1077">
        <v>49.978069304999998</v>
      </c>
      <c r="G1077">
        <v>1279.4416504000001</v>
      </c>
      <c r="H1077">
        <v>1255.6082764</v>
      </c>
      <c r="I1077">
        <v>1450.4199219</v>
      </c>
      <c r="J1077">
        <v>1414.4197998</v>
      </c>
      <c r="K1077">
        <v>0</v>
      </c>
      <c r="L1077">
        <v>2400</v>
      </c>
      <c r="M1077">
        <v>2400</v>
      </c>
      <c r="N1077">
        <v>0</v>
      </c>
    </row>
    <row r="1078" spans="1:14" x14ac:dyDescent="0.25">
      <c r="A1078">
        <v>560.12421500000005</v>
      </c>
      <c r="B1078" s="1">
        <f>DATE(2011,11,12) + TIME(2,58,52)</f>
        <v>40859.124212962961</v>
      </c>
      <c r="C1078">
        <v>80</v>
      </c>
      <c r="D1078">
        <v>78.228546143000003</v>
      </c>
      <c r="E1078">
        <v>50</v>
      </c>
      <c r="F1078">
        <v>49.978096008000001</v>
      </c>
      <c r="G1078">
        <v>1279.4129639</v>
      </c>
      <c r="H1078">
        <v>1255.5736084</v>
      </c>
      <c r="I1078">
        <v>1450.2233887</v>
      </c>
      <c r="J1078">
        <v>1414.2150879000001</v>
      </c>
      <c r="K1078">
        <v>0</v>
      </c>
      <c r="L1078">
        <v>2400</v>
      </c>
      <c r="M1078">
        <v>2400</v>
      </c>
      <c r="N1078">
        <v>0</v>
      </c>
    </row>
    <row r="1079" spans="1:14" x14ac:dyDescent="0.25">
      <c r="A1079">
        <v>560.68996900000002</v>
      </c>
      <c r="B1079" s="1">
        <f>DATE(2011,11,12) + TIME(16,33,33)</f>
        <v>40859.689965277779</v>
      </c>
      <c r="C1079">
        <v>80</v>
      </c>
      <c r="D1079">
        <v>78.154983521000005</v>
      </c>
      <c r="E1079">
        <v>50</v>
      </c>
      <c r="F1079">
        <v>49.978122710999997</v>
      </c>
      <c r="G1079">
        <v>1279.3826904</v>
      </c>
      <c r="H1079">
        <v>1255.5371094</v>
      </c>
      <c r="I1079">
        <v>1450.0280762</v>
      </c>
      <c r="J1079">
        <v>1414.0115966999999</v>
      </c>
      <c r="K1079">
        <v>0</v>
      </c>
      <c r="L1079">
        <v>2400</v>
      </c>
      <c r="M1079">
        <v>2400</v>
      </c>
      <c r="N1079">
        <v>0</v>
      </c>
    </row>
    <row r="1080" spans="1:14" x14ac:dyDescent="0.25">
      <c r="A1080">
        <v>561.28779199999997</v>
      </c>
      <c r="B1080" s="1">
        <f>DATE(2011,11,13) + TIME(6,54,25)</f>
        <v>40860.287789351853</v>
      </c>
      <c r="C1080">
        <v>80</v>
      </c>
      <c r="D1080">
        <v>78.078338622999993</v>
      </c>
      <c r="E1080">
        <v>50</v>
      </c>
      <c r="F1080">
        <v>49.978145599000001</v>
      </c>
      <c r="G1080">
        <v>1279.3505858999999</v>
      </c>
      <c r="H1080">
        <v>1255.4982910000001</v>
      </c>
      <c r="I1080">
        <v>1449.8321533000001</v>
      </c>
      <c r="J1080">
        <v>1413.8076172000001</v>
      </c>
      <c r="K1080">
        <v>0</v>
      </c>
      <c r="L1080">
        <v>2400</v>
      </c>
      <c r="M1080">
        <v>2400</v>
      </c>
      <c r="N1080">
        <v>0</v>
      </c>
    </row>
    <row r="1081" spans="1:14" x14ac:dyDescent="0.25">
      <c r="A1081">
        <v>561.90471600000001</v>
      </c>
      <c r="B1081" s="1">
        <f>DATE(2011,11,13) + TIME(21,42,47)</f>
        <v>40860.904710648145</v>
      </c>
      <c r="C1081">
        <v>80</v>
      </c>
      <c r="D1081">
        <v>77.999130249000004</v>
      </c>
      <c r="E1081">
        <v>50</v>
      </c>
      <c r="F1081">
        <v>49.978172301999997</v>
      </c>
      <c r="G1081">
        <v>1279.3161620999999</v>
      </c>
      <c r="H1081">
        <v>1255.4570312000001</v>
      </c>
      <c r="I1081">
        <v>1449.6357422000001</v>
      </c>
      <c r="J1081">
        <v>1413.6031493999999</v>
      </c>
      <c r="K1081">
        <v>0</v>
      </c>
      <c r="L1081">
        <v>2400</v>
      </c>
      <c r="M1081">
        <v>2400</v>
      </c>
      <c r="N1081">
        <v>0</v>
      </c>
    </row>
    <row r="1082" spans="1:14" x14ac:dyDescent="0.25">
      <c r="A1082">
        <v>562.52723800000001</v>
      </c>
      <c r="B1082" s="1">
        <f>DATE(2011,11,14) + TIME(12,39,13)</f>
        <v>40861.527233796296</v>
      </c>
      <c r="C1082">
        <v>80</v>
      </c>
      <c r="D1082">
        <v>77.918624878000003</v>
      </c>
      <c r="E1082">
        <v>50</v>
      </c>
      <c r="F1082">
        <v>49.978195190000001</v>
      </c>
      <c r="G1082">
        <v>1279.2803954999999</v>
      </c>
      <c r="H1082">
        <v>1255.4139404</v>
      </c>
      <c r="I1082">
        <v>1449.4434814000001</v>
      </c>
      <c r="J1082">
        <v>1413.402832</v>
      </c>
      <c r="K1082">
        <v>0</v>
      </c>
      <c r="L1082">
        <v>2400</v>
      </c>
      <c r="M1082">
        <v>2400</v>
      </c>
      <c r="N1082">
        <v>0</v>
      </c>
    </row>
    <row r="1083" spans="1:14" x14ac:dyDescent="0.25">
      <c r="A1083">
        <v>563.16215999999997</v>
      </c>
      <c r="B1083" s="1">
        <f>DATE(2011,11,15) + TIME(3,53,30)</f>
        <v>40862.162152777775</v>
      </c>
      <c r="C1083">
        <v>80</v>
      </c>
      <c r="D1083">
        <v>77.837310790999993</v>
      </c>
      <c r="E1083">
        <v>50</v>
      </c>
      <c r="F1083">
        <v>49.978221892999997</v>
      </c>
      <c r="G1083">
        <v>1279.2440185999999</v>
      </c>
      <c r="H1083">
        <v>1255.3701172000001</v>
      </c>
      <c r="I1083">
        <v>1449.2591553</v>
      </c>
      <c r="J1083">
        <v>1413.2109375</v>
      </c>
      <c r="K1083">
        <v>0</v>
      </c>
      <c r="L1083">
        <v>2400</v>
      </c>
      <c r="M1083">
        <v>2400</v>
      </c>
      <c r="N1083">
        <v>0</v>
      </c>
    </row>
    <row r="1084" spans="1:14" x14ac:dyDescent="0.25">
      <c r="A1084">
        <v>563.81627000000003</v>
      </c>
      <c r="B1084" s="1">
        <f>DATE(2011,11,15) + TIME(19,35,25)</f>
        <v>40862.816261574073</v>
      </c>
      <c r="C1084">
        <v>80</v>
      </c>
      <c r="D1084">
        <v>77.754913329999994</v>
      </c>
      <c r="E1084">
        <v>50</v>
      </c>
      <c r="F1084">
        <v>49.978244781000001</v>
      </c>
      <c r="G1084">
        <v>1279.206543</v>
      </c>
      <c r="H1084">
        <v>1255.3248291</v>
      </c>
      <c r="I1084">
        <v>1449.0803223</v>
      </c>
      <c r="J1084">
        <v>1413.0249022999999</v>
      </c>
      <c r="K1084">
        <v>0</v>
      </c>
      <c r="L1084">
        <v>2400</v>
      </c>
      <c r="M1084">
        <v>2400</v>
      </c>
      <c r="N1084">
        <v>0</v>
      </c>
    </row>
    <row r="1085" spans="1:14" x14ac:dyDescent="0.25">
      <c r="A1085">
        <v>564.49681599999997</v>
      </c>
      <c r="B1085" s="1">
        <f>DATE(2011,11,16) + TIME(11,55,24)</f>
        <v>40863.496805555558</v>
      </c>
      <c r="C1085">
        <v>80</v>
      </c>
      <c r="D1085">
        <v>77.670837402000004</v>
      </c>
      <c r="E1085">
        <v>50</v>
      </c>
      <c r="F1085">
        <v>49.978271483999997</v>
      </c>
      <c r="G1085">
        <v>1279.1677245999999</v>
      </c>
      <c r="H1085">
        <v>1255.2777100000001</v>
      </c>
      <c r="I1085">
        <v>1448.9049072</v>
      </c>
      <c r="J1085">
        <v>1412.8424072</v>
      </c>
      <c r="K1085">
        <v>0</v>
      </c>
      <c r="L1085">
        <v>2400</v>
      </c>
      <c r="M1085">
        <v>2400</v>
      </c>
      <c r="N1085">
        <v>0</v>
      </c>
    </row>
    <row r="1086" spans="1:14" x14ac:dyDescent="0.25">
      <c r="A1086">
        <v>565.20404699999995</v>
      </c>
      <c r="B1086" s="1">
        <f>DATE(2011,11,17) + TIME(4,53,49)</f>
        <v>40864.204039351855</v>
      </c>
      <c r="C1086">
        <v>80</v>
      </c>
      <c r="D1086">
        <v>77.584678650000001</v>
      </c>
      <c r="E1086">
        <v>50</v>
      </c>
      <c r="F1086">
        <v>49.978298187</v>
      </c>
      <c r="G1086">
        <v>1279.1269531</v>
      </c>
      <c r="H1086">
        <v>1255.2281493999999</v>
      </c>
      <c r="I1086">
        <v>1448.730957</v>
      </c>
      <c r="J1086">
        <v>1412.6613769999999</v>
      </c>
      <c r="K1086">
        <v>0</v>
      </c>
      <c r="L1086">
        <v>2400</v>
      </c>
      <c r="M1086">
        <v>2400</v>
      </c>
      <c r="N1086">
        <v>0</v>
      </c>
    </row>
    <row r="1087" spans="1:14" x14ac:dyDescent="0.25">
      <c r="A1087">
        <v>565.94563800000003</v>
      </c>
      <c r="B1087" s="1">
        <f>DATE(2011,11,17) + TIME(22,41,43)</f>
        <v>40864.945636574077</v>
      </c>
      <c r="C1087">
        <v>80</v>
      </c>
      <c r="D1087">
        <v>77.495971679999997</v>
      </c>
      <c r="E1087">
        <v>50</v>
      </c>
      <c r="F1087">
        <v>49.978324890000003</v>
      </c>
      <c r="G1087">
        <v>1279.0841064000001</v>
      </c>
      <c r="H1087">
        <v>1255.1761475000001</v>
      </c>
      <c r="I1087">
        <v>1448.5585937999999</v>
      </c>
      <c r="J1087">
        <v>1412.4822998</v>
      </c>
      <c r="K1087">
        <v>0</v>
      </c>
      <c r="L1087">
        <v>2400</v>
      </c>
      <c r="M1087">
        <v>2400</v>
      </c>
      <c r="N1087">
        <v>0</v>
      </c>
    </row>
    <row r="1088" spans="1:14" x14ac:dyDescent="0.25">
      <c r="A1088">
        <v>566.71988899999997</v>
      </c>
      <c r="B1088" s="1">
        <f>DATE(2011,11,18) + TIME(17,16,38)</f>
        <v>40865.719884259262</v>
      </c>
      <c r="C1088">
        <v>80</v>
      </c>
      <c r="D1088">
        <v>77.404434203999998</v>
      </c>
      <c r="E1088">
        <v>50</v>
      </c>
      <c r="F1088">
        <v>49.978351592999999</v>
      </c>
      <c r="G1088">
        <v>1279.0386963000001</v>
      </c>
      <c r="H1088">
        <v>1255.1209716999999</v>
      </c>
      <c r="I1088">
        <v>1448.3864745999999</v>
      </c>
      <c r="J1088">
        <v>1412.3033447</v>
      </c>
      <c r="K1088">
        <v>0</v>
      </c>
      <c r="L1088">
        <v>2400</v>
      </c>
      <c r="M1088">
        <v>2400</v>
      </c>
      <c r="N1088">
        <v>0</v>
      </c>
    </row>
    <row r="1089" spans="1:14" x14ac:dyDescent="0.25">
      <c r="A1089">
        <v>567.50762599999996</v>
      </c>
      <c r="B1089" s="1">
        <f>DATE(2011,11,19) + TIME(12,10,58)</f>
        <v>40866.507615740738</v>
      </c>
      <c r="C1089">
        <v>80</v>
      </c>
      <c r="D1089">
        <v>77.310897827000005</v>
      </c>
      <c r="E1089">
        <v>50</v>
      </c>
      <c r="F1089">
        <v>49.978378296000002</v>
      </c>
      <c r="G1089">
        <v>1278.9906006000001</v>
      </c>
      <c r="H1089">
        <v>1255.0627440999999</v>
      </c>
      <c r="I1089">
        <v>1448.2150879000001</v>
      </c>
      <c r="J1089">
        <v>1412.1253661999999</v>
      </c>
      <c r="K1089">
        <v>0</v>
      </c>
      <c r="L1089">
        <v>2400</v>
      </c>
      <c r="M1089">
        <v>2400</v>
      </c>
      <c r="N1089">
        <v>0</v>
      </c>
    </row>
    <row r="1090" spans="1:14" x14ac:dyDescent="0.25">
      <c r="A1090">
        <v>568.30513399999995</v>
      </c>
      <c r="B1090" s="1">
        <f>DATE(2011,11,20) + TIME(7,19,23)</f>
        <v>40867.305127314816</v>
      </c>
      <c r="C1090">
        <v>80</v>
      </c>
      <c r="D1090">
        <v>77.216499329000001</v>
      </c>
      <c r="E1090">
        <v>50</v>
      </c>
      <c r="F1090">
        <v>49.978404998999999</v>
      </c>
      <c r="G1090">
        <v>1278.9411620999999</v>
      </c>
      <c r="H1090">
        <v>1255.0025635</v>
      </c>
      <c r="I1090">
        <v>1448.0488281</v>
      </c>
      <c r="J1090">
        <v>1411.9528809000001</v>
      </c>
      <c r="K1090">
        <v>0</v>
      </c>
      <c r="L1090">
        <v>2400</v>
      </c>
      <c r="M1090">
        <v>2400</v>
      </c>
      <c r="N1090">
        <v>0</v>
      </c>
    </row>
    <row r="1091" spans="1:14" x14ac:dyDescent="0.25">
      <c r="A1091">
        <v>569.12074099999995</v>
      </c>
      <c r="B1091" s="1">
        <f>DATE(2011,11,21) + TIME(2,53,51)</f>
        <v>40868.120729166665</v>
      </c>
      <c r="C1091">
        <v>80</v>
      </c>
      <c r="D1091">
        <v>77.121452332000004</v>
      </c>
      <c r="E1091">
        <v>50</v>
      </c>
      <c r="F1091">
        <v>49.978431702000002</v>
      </c>
      <c r="G1091">
        <v>1278.890625</v>
      </c>
      <c r="H1091">
        <v>1254.9407959</v>
      </c>
      <c r="I1091">
        <v>1447.8883057</v>
      </c>
      <c r="J1091">
        <v>1411.7862548999999</v>
      </c>
      <c r="K1091">
        <v>0</v>
      </c>
      <c r="L1091">
        <v>2400</v>
      </c>
      <c r="M1091">
        <v>2400</v>
      </c>
      <c r="N1091">
        <v>0</v>
      </c>
    </row>
    <row r="1092" spans="1:14" x14ac:dyDescent="0.25">
      <c r="A1092">
        <v>569.96297000000004</v>
      </c>
      <c r="B1092" s="1">
        <f>DATE(2011,11,21) + TIME(23,6,40)</f>
        <v>40868.962962962964</v>
      </c>
      <c r="C1092">
        <v>80</v>
      </c>
      <c r="D1092">
        <v>77.025253296000002</v>
      </c>
      <c r="E1092">
        <v>50</v>
      </c>
      <c r="F1092">
        <v>49.978458404999998</v>
      </c>
      <c r="G1092">
        <v>1278.8382568</v>
      </c>
      <c r="H1092">
        <v>1254.8768310999999</v>
      </c>
      <c r="I1092">
        <v>1447.7313231999999</v>
      </c>
      <c r="J1092">
        <v>1411.6235352000001</v>
      </c>
      <c r="K1092">
        <v>0</v>
      </c>
      <c r="L1092">
        <v>2400</v>
      </c>
      <c r="M1092">
        <v>2400</v>
      </c>
      <c r="N1092">
        <v>0</v>
      </c>
    </row>
    <row r="1093" spans="1:14" x14ac:dyDescent="0.25">
      <c r="A1093">
        <v>570.83947499999999</v>
      </c>
      <c r="B1093" s="1">
        <f>DATE(2011,11,22) + TIME(20,8,50)</f>
        <v>40869.839467592596</v>
      </c>
      <c r="C1093">
        <v>80</v>
      </c>
      <c r="D1093">
        <v>76.927154540999993</v>
      </c>
      <c r="E1093">
        <v>50</v>
      </c>
      <c r="F1093">
        <v>49.978488921999997</v>
      </c>
      <c r="G1093">
        <v>1278.7834473</v>
      </c>
      <c r="H1093">
        <v>1254.8096923999999</v>
      </c>
      <c r="I1093">
        <v>1447.5764160000001</v>
      </c>
      <c r="J1093">
        <v>1411.4630127</v>
      </c>
      <c r="K1093">
        <v>0</v>
      </c>
      <c r="L1093">
        <v>2400</v>
      </c>
      <c r="M1093">
        <v>2400</v>
      </c>
      <c r="N1093">
        <v>0</v>
      </c>
    </row>
    <row r="1094" spans="1:14" x14ac:dyDescent="0.25">
      <c r="A1094">
        <v>571.74981700000001</v>
      </c>
      <c r="B1094" s="1">
        <f>DATE(2011,11,23) + TIME(17,59,44)</f>
        <v>40870.749814814815</v>
      </c>
      <c r="C1094">
        <v>80</v>
      </c>
      <c r="D1094">
        <v>76.826721191000004</v>
      </c>
      <c r="E1094">
        <v>50</v>
      </c>
      <c r="F1094">
        <v>49.978519439999999</v>
      </c>
      <c r="G1094">
        <v>1278.7257079999999</v>
      </c>
      <c r="H1094">
        <v>1254.7388916</v>
      </c>
      <c r="I1094">
        <v>1447.4222411999999</v>
      </c>
      <c r="J1094">
        <v>1411.3032227000001</v>
      </c>
      <c r="K1094">
        <v>0</v>
      </c>
      <c r="L1094">
        <v>2400</v>
      </c>
      <c r="M1094">
        <v>2400</v>
      </c>
      <c r="N1094">
        <v>0</v>
      </c>
    </row>
    <row r="1095" spans="1:14" x14ac:dyDescent="0.25">
      <c r="A1095">
        <v>572.69163100000003</v>
      </c>
      <c r="B1095" s="1">
        <f>DATE(2011,11,24) + TIME(16,35,56)</f>
        <v>40871.691620370373</v>
      </c>
      <c r="C1095">
        <v>80</v>
      </c>
      <c r="D1095">
        <v>76.723945618000002</v>
      </c>
      <c r="E1095">
        <v>50</v>
      </c>
      <c r="F1095">
        <v>49.978546143000003</v>
      </c>
      <c r="G1095">
        <v>1278.6649170000001</v>
      </c>
      <c r="H1095">
        <v>1254.6641846</v>
      </c>
      <c r="I1095">
        <v>1447.2689209</v>
      </c>
      <c r="J1095">
        <v>1411.1446533000001</v>
      </c>
      <c r="K1095">
        <v>0</v>
      </c>
      <c r="L1095">
        <v>2400</v>
      </c>
      <c r="M1095">
        <v>2400</v>
      </c>
      <c r="N1095">
        <v>0</v>
      </c>
    </row>
    <row r="1096" spans="1:14" x14ac:dyDescent="0.25">
      <c r="A1096">
        <v>573.65873299999998</v>
      </c>
      <c r="B1096" s="1">
        <f>DATE(2011,11,25) + TIME(15,48,34)</f>
        <v>40872.658726851849</v>
      </c>
      <c r="C1096">
        <v>80</v>
      </c>
      <c r="D1096">
        <v>76.619209290000001</v>
      </c>
      <c r="E1096">
        <v>50</v>
      </c>
      <c r="F1096">
        <v>49.978576660000002</v>
      </c>
      <c r="G1096">
        <v>1278.6010742000001</v>
      </c>
      <c r="H1096">
        <v>1254.5856934000001</v>
      </c>
      <c r="I1096">
        <v>1447.1173096</v>
      </c>
      <c r="J1096">
        <v>1410.9879149999999</v>
      </c>
      <c r="K1096">
        <v>0</v>
      </c>
      <c r="L1096">
        <v>2400</v>
      </c>
      <c r="M1096">
        <v>2400</v>
      </c>
      <c r="N1096">
        <v>0</v>
      </c>
    </row>
    <row r="1097" spans="1:14" x14ac:dyDescent="0.25">
      <c r="A1097">
        <v>574.63943400000005</v>
      </c>
      <c r="B1097" s="1">
        <f>DATE(2011,11,26) + TIME(15,20,47)</f>
        <v>40873.639432870368</v>
      </c>
      <c r="C1097">
        <v>80</v>
      </c>
      <c r="D1097">
        <v>76.513336182000003</v>
      </c>
      <c r="E1097">
        <v>50</v>
      </c>
      <c r="F1097">
        <v>49.978607177999997</v>
      </c>
      <c r="G1097">
        <v>1278.5345459</v>
      </c>
      <c r="H1097">
        <v>1254.5037841999999</v>
      </c>
      <c r="I1097">
        <v>1446.9682617000001</v>
      </c>
      <c r="J1097">
        <v>1410.8338623</v>
      </c>
      <c r="K1097">
        <v>0</v>
      </c>
      <c r="L1097">
        <v>2400</v>
      </c>
      <c r="M1097">
        <v>2400</v>
      </c>
      <c r="N1097">
        <v>0</v>
      </c>
    </row>
    <row r="1098" spans="1:14" x14ac:dyDescent="0.25">
      <c r="A1098">
        <v>575.63952700000004</v>
      </c>
      <c r="B1098" s="1">
        <f>DATE(2011,11,27) + TIME(15,20,55)</f>
        <v>40874.639525462961</v>
      </c>
      <c r="C1098">
        <v>80</v>
      </c>
      <c r="D1098">
        <v>76.406906128000003</v>
      </c>
      <c r="E1098">
        <v>50</v>
      </c>
      <c r="F1098">
        <v>49.978641510000003</v>
      </c>
      <c r="G1098">
        <v>1278.4659423999999</v>
      </c>
      <c r="H1098">
        <v>1254.4190673999999</v>
      </c>
      <c r="I1098">
        <v>1446.8236084</v>
      </c>
      <c r="J1098">
        <v>1410.6844481999999</v>
      </c>
      <c r="K1098">
        <v>0</v>
      </c>
      <c r="L1098">
        <v>2400</v>
      </c>
      <c r="M1098">
        <v>2400</v>
      </c>
      <c r="N1098">
        <v>0</v>
      </c>
    </row>
    <row r="1099" spans="1:14" x14ac:dyDescent="0.25">
      <c r="A1099">
        <v>576.66927899999996</v>
      </c>
      <c r="B1099" s="1">
        <f>DATE(2011,11,28) + TIME(16,3,45)</f>
        <v>40875.669270833336</v>
      </c>
      <c r="C1099">
        <v>80</v>
      </c>
      <c r="D1099">
        <v>76.299560546999999</v>
      </c>
      <c r="E1099">
        <v>50</v>
      </c>
      <c r="F1099">
        <v>49.978672027999998</v>
      </c>
      <c r="G1099">
        <v>1278.3950195</v>
      </c>
      <c r="H1099">
        <v>1254.3310547000001</v>
      </c>
      <c r="I1099">
        <v>1446.6821289</v>
      </c>
      <c r="J1099">
        <v>1410.5385742000001</v>
      </c>
      <c r="K1099">
        <v>0</v>
      </c>
      <c r="L1099">
        <v>2400</v>
      </c>
      <c r="M1099">
        <v>2400</v>
      </c>
      <c r="N1099">
        <v>0</v>
      </c>
    </row>
    <row r="1100" spans="1:14" x14ac:dyDescent="0.25">
      <c r="A1100">
        <v>577.73977600000001</v>
      </c>
      <c r="B1100" s="1">
        <f>DATE(2011,11,29) + TIME(17,45,16)</f>
        <v>40876.739768518521</v>
      </c>
      <c r="C1100">
        <v>80</v>
      </c>
      <c r="D1100">
        <v>76.190483092999997</v>
      </c>
      <c r="E1100">
        <v>50</v>
      </c>
      <c r="F1100">
        <v>49.978702544999997</v>
      </c>
      <c r="G1100">
        <v>1278.3208007999999</v>
      </c>
      <c r="H1100">
        <v>1254.2388916</v>
      </c>
      <c r="I1100">
        <v>1446.5424805</v>
      </c>
      <c r="J1100">
        <v>1410.3945312000001</v>
      </c>
      <c r="K1100">
        <v>0</v>
      </c>
      <c r="L1100">
        <v>2400</v>
      </c>
      <c r="M1100">
        <v>2400</v>
      </c>
      <c r="N1100">
        <v>0</v>
      </c>
    </row>
    <row r="1101" spans="1:14" x14ac:dyDescent="0.25">
      <c r="A1101">
        <v>578.84543199999996</v>
      </c>
      <c r="B1101" s="1">
        <f>DATE(2011,11,30) + TIME(20,17,25)</f>
        <v>40877.84542824074</v>
      </c>
      <c r="C1101">
        <v>80</v>
      </c>
      <c r="D1101">
        <v>76.079193114999995</v>
      </c>
      <c r="E1101">
        <v>50</v>
      </c>
      <c r="F1101">
        <v>49.978736877000003</v>
      </c>
      <c r="G1101">
        <v>1278.2423096</v>
      </c>
      <c r="H1101">
        <v>1254.1413574000001</v>
      </c>
      <c r="I1101">
        <v>1446.4031981999999</v>
      </c>
      <c r="J1101">
        <v>1410.2509766000001</v>
      </c>
      <c r="K1101">
        <v>0</v>
      </c>
      <c r="L1101">
        <v>2400</v>
      </c>
      <c r="M1101">
        <v>2400</v>
      </c>
      <c r="N1101">
        <v>0</v>
      </c>
    </row>
    <row r="1102" spans="1:14" x14ac:dyDescent="0.25">
      <c r="A1102">
        <v>579</v>
      </c>
      <c r="B1102" s="1">
        <f>DATE(2011,12,1) + TIME(0,0,0)</f>
        <v>40878</v>
      </c>
      <c r="C1102">
        <v>80</v>
      </c>
      <c r="D1102">
        <v>76.038764954000001</v>
      </c>
      <c r="E1102">
        <v>50</v>
      </c>
      <c r="F1102">
        <v>49.978729248</v>
      </c>
      <c r="G1102">
        <v>1278.1574707</v>
      </c>
      <c r="H1102">
        <v>1254.0523682</v>
      </c>
      <c r="I1102">
        <v>1446.2669678</v>
      </c>
      <c r="J1102">
        <v>1410.1107178</v>
      </c>
      <c r="K1102">
        <v>0</v>
      </c>
      <c r="L1102">
        <v>2400</v>
      </c>
      <c r="M1102">
        <v>2400</v>
      </c>
      <c r="N1102">
        <v>0</v>
      </c>
    </row>
    <row r="1103" spans="1:14" x14ac:dyDescent="0.25">
      <c r="A1103">
        <v>580.13660600000003</v>
      </c>
      <c r="B1103" s="1">
        <f>DATE(2011,12,2) + TIME(3,16,42)</f>
        <v>40879.136597222219</v>
      </c>
      <c r="C1103">
        <v>80</v>
      </c>
      <c r="D1103">
        <v>75.943367003999995</v>
      </c>
      <c r="E1103">
        <v>50</v>
      </c>
      <c r="F1103">
        <v>49.978775024000001</v>
      </c>
      <c r="G1103">
        <v>1278.1479492000001</v>
      </c>
      <c r="H1103">
        <v>1254.0216064000001</v>
      </c>
      <c r="I1103">
        <v>1446.2460937999999</v>
      </c>
      <c r="J1103">
        <v>1410.0893555</v>
      </c>
      <c r="K1103">
        <v>0</v>
      </c>
      <c r="L1103">
        <v>2400</v>
      </c>
      <c r="M1103">
        <v>2400</v>
      </c>
      <c r="N1103">
        <v>0</v>
      </c>
    </row>
    <row r="1104" spans="1:14" x14ac:dyDescent="0.25">
      <c r="A1104">
        <v>581.30089699999996</v>
      </c>
      <c r="B1104" s="1">
        <f>DATE(2011,12,3) + TIME(7,13,17)</f>
        <v>40880.300891203704</v>
      </c>
      <c r="C1104">
        <v>80</v>
      </c>
      <c r="D1104">
        <v>75.833885193</v>
      </c>
      <c r="E1104">
        <v>50</v>
      </c>
      <c r="F1104">
        <v>49.978809357000003</v>
      </c>
      <c r="G1104">
        <v>1278.0616454999999</v>
      </c>
      <c r="H1104">
        <v>1253.9151611</v>
      </c>
      <c r="I1104">
        <v>1446.1110839999999</v>
      </c>
      <c r="J1104">
        <v>1409.9504394999999</v>
      </c>
      <c r="K1104">
        <v>0</v>
      </c>
      <c r="L1104">
        <v>2400</v>
      </c>
      <c r="M1104">
        <v>2400</v>
      </c>
      <c r="N1104">
        <v>0</v>
      </c>
    </row>
    <row r="1105" spans="1:14" x14ac:dyDescent="0.25">
      <c r="A1105">
        <v>582.48584900000003</v>
      </c>
      <c r="B1105" s="1">
        <f>DATE(2011,12,4) + TIME(11,39,37)</f>
        <v>40881.485844907409</v>
      </c>
      <c r="C1105">
        <v>80</v>
      </c>
      <c r="D1105">
        <v>75.719818114999995</v>
      </c>
      <c r="E1105">
        <v>50</v>
      </c>
      <c r="F1105">
        <v>49.978843689000001</v>
      </c>
      <c r="G1105">
        <v>1277.9714355000001</v>
      </c>
      <c r="H1105">
        <v>1253.8023682</v>
      </c>
      <c r="I1105">
        <v>1445.9777832</v>
      </c>
      <c r="J1105">
        <v>1409.8134766000001</v>
      </c>
      <c r="K1105">
        <v>0</v>
      </c>
      <c r="L1105">
        <v>2400</v>
      </c>
      <c r="M1105">
        <v>2400</v>
      </c>
      <c r="N1105">
        <v>0</v>
      </c>
    </row>
    <row r="1106" spans="1:14" x14ac:dyDescent="0.25">
      <c r="A1106">
        <v>583.69445700000006</v>
      </c>
      <c r="B1106" s="1">
        <f>DATE(2011,12,5) + TIME(16,40,1)</f>
        <v>40882.694456018522</v>
      </c>
      <c r="C1106">
        <v>80</v>
      </c>
      <c r="D1106">
        <v>75.604164123999993</v>
      </c>
      <c r="E1106">
        <v>50</v>
      </c>
      <c r="F1106">
        <v>49.978878021</v>
      </c>
      <c r="G1106">
        <v>1277.8778076000001</v>
      </c>
      <c r="H1106">
        <v>1253.6848144999999</v>
      </c>
      <c r="I1106">
        <v>1445.8475341999999</v>
      </c>
      <c r="J1106">
        <v>1409.6798096</v>
      </c>
      <c r="K1106">
        <v>0</v>
      </c>
      <c r="L1106">
        <v>2400</v>
      </c>
      <c r="M1106">
        <v>2400</v>
      </c>
      <c r="N1106">
        <v>0</v>
      </c>
    </row>
    <row r="1107" spans="1:14" x14ac:dyDescent="0.25">
      <c r="A1107">
        <v>584.93877899999995</v>
      </c>
      <c r="B1107" s="1">
        <f>DATE(2011,12,6) + TIME(22,31,50)</f>
        <v>40883.938773148147</v>
      </c>
      <c r="C1107">
        <v>80</v>
      </c>
      <c r="D1107">
        <v>75.487350464000002</v>
      </c>
      <c r="E1107">
        <v>50</v>
      </c>
      <c r="F1107">
        <v>49.978912354000002</v>
      </c>
      <c r="G1107">
        <v>1277.7805175999999</v>
      </c>
      <c r="H1107">
        <v>1253.5620117000001</v>
      </c>
      <c r="I1107">
        <v>1445.7198486</v>
      </c>
      <c r="J1107">
        <v>1409.5487060999999</v>
      </c>
      <c r="K1107">
        <v>0</v>
      </c>
      <c r="L1107">
        <v>2400</v>
      </c>
      <c r="M1107">
        <v>2400</v>
      </c>
      <c r="N1107">
        <v>0</v>
      </c>
    </row>
    <row r="1108" spans="1:14" x14ac:dyDescent="0.25">
      <c r="A1108">
        <v>586.231897</v>
      </c>
      <c r="B1108" s="1">
        <f>DATE(2011,12,8) + TIME(5,33,55)</f>
        <v>40885.231886574074</v>
      </c>
      <c r="C1108">
        <v>80</v>
      </c>
      <c r="D1108">
        <v>75.368721007999994</v>
      </c>
      <c r="E1108">
        <v>50</v>
      </c>
      <c r="F1108">
        <v>49.978950500000003</v>
      </c>
      <c r="G1108">
        <v>1277.6783447</v>
      </c>
      <c r="H1108">
        <v>1253.4328613</v>
      </c>
      <c r="I1108">
        <v>1445.5932617000001</v>
      </c>
      <c r="J1108">
        <v>1409.4190673999999</v>
      </c>
      <c r="K1108">
        <v>0</v>
      </c>
      <c r="L1108">
        <v>2400</v>
      </c>
      <c r="M1108">
        <v>2400</v>
      </c>
      <c r="N1108">
        <v>0</v>
      </c>
    </row>
    <row r="1109" spans="1:14" x14ac:dyDescent="0.25">
      <c r="A1109">
        <v>587.56026999999995</v>
      </c>
      <c r="B1109" s="1">
        <f>DATE(2011,12,9) + TIME(13,26,47)</f>
        <v>40886.560266203705</v>
      </c>
      <c r="C1109">
        <v>80</v>
      </c>
      <c r="D1109">
        <v>75.247886657999999</v>
      </c>
      <c r="E1109">
        <v>50</v>
      </c>
      <c r="F1109">
        <v>49.978988647000001</v>
      </c>
      <c r="G1109">
        <v>1277.5700684000001</v>
      </c>
      <c r="H1109">
        <v>1253.2956543</v>
      </c>
      <c r="I1109">
        <v>1445.4667969</v>
      </c>
      <c r="J1109">
        <v>1409.2895507999999</v>
      </c>
      <c r="K1109">
        <v>0</v>
      </c>
      <c r="L1109">
        <v>2400</v>
      </c>
      <c r="M1109">
        <v>2400</v>
      </c>
      <c r="N1109">
        <v>0</v>
      </c>
    </row>
    <row r="1110" spans="1:14" x14ac:dyDescent="0.25">
      <c r="A1110">
        <v>588.90628700000002</v>
      </c>
      <c r="B1110" s="1">
        <f>DATE(2011,12,10) + TIME(21,45,3)</f>
        <v>40887.906284722223</v>
      </c>
      <c r="C1110">
        <v>80</v>
      </c>
      <c r="D1110">
        <v>75.125846863000007</v>
      </c>
      <c r="E1110">
        <v>50</v>
      </c>
      <c r="F1110">
        <v>49.979026793999999</v>
      </c>
      <c r="G1110">
        <v>1277.4564209</v>
      </c>
      <c r="H1110">
        <v>1253.1512451000001</v>
      </c>
      <c r="I1110">
        <v>1445.3417969</v>
      </c>
      <c r="J1110">
        <v>1409.1616211</v>
      </c>
      <c r="K1110">
        <v>0</v>
      </c>
      <c r="L1110">
        <v>2400</v>
      </c>
      <c r="M1110">
        <v>2400</v>
      </c>
      <c r="N1110">
        <v>0</v>
      </c>
    </row>
    <row r="1111" spans="1:14" x14ac:dyDescent="0.25">
      <c r="A1111">
        <v>590.28150000000005</v>
      </c>
      <c r="B1111" s="1">
        <f>DATE(2011,12,12) + TIME(6,45,21)</f>
        <v>40889.281493055554</v>
      </c>
      <c r="C1111">
        <v>80</v>
      </c>
      <c r="D1111">
        <v>75.003456115999995</v>
      </c>
      <c r="E1111">
        <v>50</v>
      </c>
      <c r="F1111">
        <v>49.979064940999997</v>
      </c>
      <c r="G1111">
        <v>1277.3388672000001</v>
      </c>
      <c r="H1111">
        <v>1253.0012207</v>
      </c>
      <c r="I1111">
        <v>1445.2199707</v>
      </c>
      <c r="J1111">
        <v>1409.0371094</v>
      </c>
      <c r="K1111">
        <v>0</v>
      </c>
      <c r="L1111">
        <v>2400</v>
      </c>
      <c r="M1111">
        <v>2400</v>
      </c>
      <c r="N1111">
        <v>0</v>
      </c>
    </row>
    <row r="1112" spans="1:14" x14ac:dyDescent="0.25">
      <c r="A1112">
        <v>591.67845499999999</v>
      </c>
      <c r="B1112" s="1">
        <f>DATE(2011,12,13) + TIME(16,16,58)</f>
        <v>40890.678449074076</v>
      </c>
      <c r="C1112">
        <v>80</v>
      </c>
      <c r="D1112">
        <v>74.880516052000004</v>
      </c>
      <c r="E1112">
        <v>50</v>
      </c>
      <c r="F1112">
        <v>49.979103088000002</v>
      </c>
      <c r="G1112">
        <v>1277.2160644999999</v>
      </c>
      <c r="H1112">
        <v>1252.8441161999999</v>
      </c>
      <c r="I1112">
        <v>1445.0999756000001</v>
      </c>
      <c r="J1112">
        <v>1408.9145507999999</v>
      </c>
      <c r="K1112">
        <v>0</v>
      </c>
      <c r="L1112">
        <v>2400</v>
      </c>
      <c r="M1112">
        <v>2400</v>
      </c>
      <c r="N1112">
        <v>0</v>
      </c>
    </row>
    <row r="1113" spans="1:14" x14ac:dyDescent="0.25">
      <c r="A1113">
        <v>593.10895600000003</v>
      </c>
      <c r="B1113" s="1">
        <f>DATE(2011,12,15) + TIME(2,36,53)</f>
        <v>40892.108946759261</v>
      </c>
      <c r="C1113">
        <v>80</v>
      </c>
      <c r="D1113">
        <v>74.757057189999998</v>
      </c>
      <c r="E1113">
        <v>50</v>
      </c>
      <c r="F1113">
        <v>49.979141235</v>
      </c>
      <c r="G1113">
        <v>1277.088501</v>
      </c>
      <c r="H1113">
        <v>1252.6804199000001</v>
      </c>
      <c r="I1113">
        <v>1444.9825439000001</v>
      </c>
      <c r="J1113">
        <v>1408.7946777</v>
      </c>
      <c r="K1113">
        <v>0</v>
      </c>
      <c r="L1113">
        <v>2400</v>
      </c>
      <c r="M1113">
        <v>2400</v>
      </c>
      <c r="N1113">
        <v>0</v>
      </c>
    </row>
    <row r="1114" spans="1:14" x14ac:dyDescent="0.25">
      <c r="A1114">
        <v>594.58719399999995</v>
      </c>
      <c r="B1114" s="1">
        <f>DATE(2011,12,16) + TIME(14,5,33)</f>
        <v>40893.587187500001</v>
      </c>
      <c r="C1114">
        <v>80</v>
      </c>
      <c r="D1114">
        <v>74.632286071999999</v>
      </c>
      <c r="E1114">
        <v>50</v>
      </c>
      <c r="F1114">
        <v>49.979179381999998</v>
      </c>
      <c r="G1114">
        <v>1276.9550781</v>
      </c>
      <c r="H1114">
        <v>1252.5084228999999</v>
      </c>
      <c r="I1114">
        <v>1444.8665771000001</v>
      </c>
      <c r="J1114">
        <v>1408.6765137</v>
      </c>
      <c r="K1114">
        <v>0</v>
      </c>
      <c r="L1114">
        <v>2400</v>
      </c>
      <c r="M1114">
        <v>2400</v>
      </c>
      <c r="N1114">
        <v>0</v>
      </c>
    </row>
    <row r="1115" spans="1:14" x14ac:dyDescent="0.25">
      <c r="A1115">
        <v>596.11645799999997</v>
      </c>
      <c r="B1115" s="1">
        <f>DATE(2011,12,18) + TIME(2,47,42)</f>
        <v>40895.11645833333</v>
      </c>
      <c r="C1115">
        <v>80</v>
      </c>
      <c r="D1115">
        <v>74.505340575999995</v>
      </c>
      <c r="E1115">
        <v>50</v>
      </c>
      <c r="F1115">
        <v>49.979221344000003</v>
      </c>
      <c r="G1115">
        <v>1276.8139647999999</v>
      </c>
      <c r="H1115">
        <v>1252.3261719</v>
      </c>
      <c r="I1115">
        <v>1444.7510986</v>
      </c>
      <c r="J1115">
        <v>1408.5588379000001</v>
      </c>
      <c r="K1115">
        <v>0</v>
      </c>
      <c r="L1115">
        <v>2400</v>
      </c>
      <c r="M1115">
        <v>2400</v>
      </c>
      <c r="N1115">
        <v>0</v>
      </c>
    </row>
    <row r="1116" spans="1:14" x14ac:dyDescent="0.25">
      <c r="A1116">
        <v>597.66703399999994</v>
      </c>
      <c r="B1116" s="1">
        <f>DATE(2011,12,19) + TIME(16,0,31)</f>
        <v>40896.667025462964</v>
      </c>
      <c r="C1116">
        <v>80</v>
      </c>
      <c r="D1116">
        <v>74.376449585000003</v>
      </c>
      <c r="E1116">
        <v>50</v>
      </c>
      <c r="F1116">
        <v>49.979263306</v>
      </c>
      <c r="G1116">
        <v>1276.6646728999999</v>
      </c>
      <c r="H1116">
        <v>1252.1328125</v>
      </c>
      <c r="I1116">
        <v>1444.6358643000001</v>
      </c>
      <c r="J1116">
        <v>1408.4415283000001</v>
      </c>
      <c r="K1116">
        <v>0</v>
      </c>
      <c r="L1116">
        <v>2400</v>
      </c>
      <c r="M1116">
        <v>2400</v>
      </c>
      <c r="N1116">
        <v>0</v>
      </c>
    </row>
    <row r="1117" spans="1:14" x14ac:dyDescent="0.25">
      <c r="A1117">
        <v>599.24441100000001</v>
      </c>
      <c r="B1117" s="1">
        <f>DATE(2011,12,21) + TIME(5,51,57)</f>
        <v>40898.244409722225</v>
      </c>
      <c r="C1117">
        <v>80</v>
      </c>
      <c r="D1117">
        <v>74.246932982999994</v>
      </c>
      <c r="E1117">
        <v>50</v>
      </c>
      <c r="F1117">
        <v>49.979305267000001</v>
      </c>
      <c r="G1117">
        <v>1276.5095214999999</v>
      </c>
      <c r="H1117">
        <v>1251.9310303</v>
      </c>
      <c r="I1117">
        <v>1444.5231934000001</v>
      </c>
      <c r="J1117">
        <v>1408.3269043</v>
      </c>
      <c r="K1117">
        <v>0</v>
      </c>
      <c r="L1117">
        <v>2400</v>
      </c>
      <c r="M1117">
        <v>2400</v>
      </c>
      <c r="N1117">
        <v>0</v>
      </c>
    </row>
    <row r="1118" spans="1:14" x14ac:dyDescent="0.25">
      <c r="A1118">
        <v>600.85515499999997</v>
      </c>
      <c r="B1118" s="1">
        <f>DATE(2011,12,22) + TIME(20,31,25)</f>
        <v>40899.855150462965</v>
      </c>
      <c r="C1118">
        <v>80</v>
      </c>
      <c r="D1118">
        <v>74.116661071999999</v>
      </c>
      <c r="E1118">
        <v>50</v>
      </c>
      <c r="F1118">
        <v>49.979347228999998</v>
      </c>
      <c r="G1118">
        <v>1276.3477783000001</v>
      </c>
      <c r="H1118">
        <v>1251.7200928</v>
      </c>
      <c r="I1118">
        <v>1444.4125977000001</v>
      </c>
      <c r="J1118">
        <v>1408.2144774999999</v>
      </c>
      <c r="K1118">
        <v>0</v>
      </c>
      <c r="L1118">
        <v>2400</v>
      </c>
      <c r="M1118">
        <v>2400</v>
      </c>
      <c r="N1118">
        <v>0</v>
      </c>
    </row>
    <row r="1119" spans="1:14" x14ac:dyDescent="0.25">
      <c r="A1119">
        <v>602.49429599999996</v>
      </c>
      <c r="B1119" s="1">
        <f>DATE(2011,12,24) + TIME(11,51,47)</f>
        <v>40901.494293981479</v>
      </c>
      <c r="C1119">
        <v>80</v>
      </c>
      <c r="D1119">
        <v>73.985351562000005</v>
      </c>
      <c r="E1119">
        <v>50</v>
      </c>
      <c r="F1119">
        <v>49.979389191000003</v>
      </c>
      <c r="G1119">
        <v>1276.1785889</v>
      </c>
      <c r="H1119">
        <v>1251.4986572</v>
      </c>
      <c r="I1119">
        <v>1444.3034668</v>
      </c>
      <c r="J1119">
        <v>1408.1036377</v>
      </c>
      <c r="K1119">
        <v>0</v>
      </c>
      <c r="L1119">
        <v>2400</v>
      </c>
      <c r="M1119">
        <v>2400</v>
      </c>
      <c r="N1119">
        <v>0</v>
      </c>
    </row>
    <row r="1120" spans="1:14" x14ac:dyDescent="0.25">
      <c r="A1120">
        <v>604.17655999999999</v>
      </c>
      <c r="B1120" s="1">
        <f>DATE(2011,12,26) + TIME(4,14,14)</f>
        <v>40903.176550925928</v>
      </c>
      <c r="C1120">
        <v>80</v>
      </c>
      <c r="D1120">
        <v>73.852844238000003</v>
      </c>
      <c r="E1120">
        <v>50</v>
      </c>
      <c r="F1120">
        <v>49.979431151999997</v>
      </c>
      <c r="G1120">
        <v>1276.0021973</v>
      </c>
      <c r="H1120">
        <v>1251.2667236</v>
      </c>
      <c r="I1120">
        <v>1444.1962891000001</v>
      </c>
      <c r="J1120">
        <v>1407.9948730000001</v>
      </c>
      <c r="K1120">
        <v>0</v>
      </c>
      <c r="L1120">
        <v>2400</v>
      </c>
      <c r="M1120">
        <v>2400</v>
      </c>
      <c r="N1120">
        <v>0</v>
      </c>
    </row>
    <row r="1121" spans="1:14" x14ac:dyDescent="0.25">
      <c r="A1121">
        <v>605.90044499999999</v>
      </c>
      <c r="B1121" s="1">
        <f>DATE(2011,12,27) + TIME(21,36,38)</f>
        <v>40904.900439814817</v>
      </c>
      <c r="C1121">
        <v>80</v>
      </c>
      <c r="D1121">
        <v>73.718391417999996</v>
      </c>
      <c r="E1121">
        <v>50</v>
      </c>
      <c r="F1121">
        <v>49.979476929</v>
      </c>
      <c r="G1121">
        <v>1275.8166504000001</v>
      </c>
      <c r="H1121">
        <v>1251.0220947</v>
      </c>
      <c r="I1121">
        <v>1444.0899658000001</v>
      </c>
      <c r="J1121">
        <v>1407.887207</v>
      </c>
      <c r="K1121">
        <v>0</v>
      </c>
      <c r="L1121">
        <v>2400</v>
      </c>
      <c r="M1121">
        <v>2400</v>
      </c>
      <c r="N1121">
        <v>0</v>
      </c>
    </row>
    <row r="1122" spans="1:14" x14ac:dyDescent="0.25">
      <c r="A1122">
        <v>607.648191</v>
      </c>
      <c r="B1122" s="1">
        <f>DATE(2011,12,29) + TIME(15,33,23)</f>
        <v>40906.648182870369</v>
      </c>
      <c r="C1122">
        <v>80</v>
      </c>
      <c r="D1122">
        <v>73.582077025999993</v>
      </c>
      <c r="E1122">
        <v>50</v>
      </c>
      <c r="F1122">
        <v>49.979522705000001</v>
      </c>
      <c r="G1122">
        <v>1275.621582</v>
      </c>
      <c r="H1122">
        <v>1250.7642822</v>
      </c>
      <c r="I1122">
        <v>1443.9847411999999</v>
      </c>
      <c r="J1122">
        <v>1407.7805175999999</v>
      </c>
      <c r="K1122">
        <v>0</v>
      </c>
      <c r="L1122">
        <v>2400</v>
      </c>
      <c r="M1122">
        <v>2400</v>
      </c>
      <c r="N1122">
        <v>0</v>
      </c>
    </row>
    <row r="1123" spans="1:14" x14ac:dyDescent="0.25">
      <c r="A1123">
        <v>609.42842299999995</v>
      </c>
      <c r="B1123" s="1">
        <f>DATE(2011,12,31) + TIME(10,16,55)</f>
        <v>40908.428414351853</v>
      </c>
      <c r="C1123">
        <v>80</v>
      </c>
      <c r="D1123">
        <v>73.444480896000002</v>
      </c>
      <c r="E1123">
        <v>50</v>
      </c>
      <c r="F1123">
        <v>49.979564666999998</v>
      </c>
      <c r="G1123">
        <v>1275.4188231999999</v>
      </c>
      <c r="H1123">
        <v>1250.4951172000001</v>
      </c>
      <c r="I1123">
        <v>1443.8815918</v>
      </c>
      <c r="J1123">
        <v>1407.6761475000001</v>
      </c>
      <c r="K1123">
        <v>0</v>
      </c>
      <c r="L1123">
        <v>2400</v>
      </c>
      <c r="M1123">
        <v>2400</v>
      </c>
      <c r="N1123">
        <v>0</v>
      </c>
    </row>
    <row r="1124" spans="1:14" x14ac:dyDescent="0.25">
      <c r="A1124">
        <v>610</v>
      </c>
      <c r="B1124" s="1">
        <f>DATE(2012,1,1) + TIME(0,0,0)</f>
        <v>40909</v>
      </c>
      <c r="C1124">
        <v>80</v>
      </c>
      <c r="D1124">
        <v>73.347221375000004</v>
      </c>
      <c r="E1124">
        <v>50</v>
      </c>
      <c r="F1124">
        <v>49.979576111</v>
      </c>
      <c r="G1124">
        <v>1275.2115478999999</v>
      </c>
      <c r="H1124">
        <v>1250.2336425999999</v>
      </c>
      <c r="I1124">
        <v>1443.7799072</v>
      </c>
      <c r="J1124">
        <v>1407.5733643000001</v>
      </c>
      <c r="K1124">
        <v>0</v>
      </c>
      <c r="L1124">
        <v>2400</v>
      </c>
      <c r="M1124">
        <v>2400</v>
      </c>
      <c r="N1124">
        <v>0</v>
      </c>
    </row>
    <row r="1125" spans="1:14" x14ac:dyDescent="0.25">
      <c r="A1125">
        <v>611.81855900000005</v>
      </c>
      <c r="B1125" s="1">
        <f>DATE(2012,1,2) + TIME(19,38,43)</f>
        <v>40910.818553240744</v>
      </c>
      <c r="C1125">
        <v>80</v>
      </c>
      <c r="D1125">
        <v>73.249969481999997</v>
      </c>
      <c r="E1125">
        <v>50</v>
      </c>
      <c r="F1125">
        <v>49.979625702</v>
      </c>
      <c r="G1125">
        <v>1275.1337891000001</v>
      </c>
      <c r="H1125">
        <v>1250.1102295000001</v>
      </c>
      <c r="I1125">
        <v>1443.7479248</v>
      </c>
      <c r="J1125">
        <v>1407.5411377</v>
      </c>
      <c r="K1125">
        <v>0</v>
      </c>
      <c r="L1125">
        <v>2400</v>
      </c>
      <c r="M1125">
        <v>2400</v>
      </c>
      <c r="N1125">
        <v>0</v>
      </c>
    </row>
    <row r="1126" spans="1:14" x14ac:dyDescent="0.25">
      <c r="A1126">
        <v>613.68150900000001</v>
      </c>
      <c r="B1126" s="1">
        <f>DATE(2012,1,4) + TIME(16,21,22)</f>
        <v>40912.681504629632</v>
      </c>
      <c r="C1126">
        <v>80</v>
      </c>
      <c r="D1126">
        <v>73.116569518999995</v>
      </c>
      <c r="E1126">
        <v>50</v>
      </c>
      <c r="F1126">
        <v>49.979671478</v>
      </c>
      <c r="G1126">
        <v>1274.9129639</v>
      </c>
      <c r="H1126">
        <v>1249.8184814000001</v>
      </c>
      <c r="I1126">
        <v>1443.6488036999999</v>
      </c>
      <c r="J1126">
        <v>1407.440918</v>
      </c>
      <c r="K1126">
        <v>0</v>
      </c>
      <c r="L1126">
        <v>2400</v>
      </c>
      <c r="M1126">
        <v>2400</v>
      </c>
      <c r="N1126">
        <v>0</v>
      </c>
    </row>
    <row r="1127" spans="1:14" x14ac:dyDescent="0.25">
      <c r="A1127">
        <v>615.59625500000004</v>
      </c>
      <c r="B1127" s="1">
        <f>DATE(2012,1,6) + TIME(14,18,36)</f>
        <v>40914.596250000002</v>
      </c>
      <c r="C1127">
        <v>80</v>
      </c>
      <c r="D1127">
        <v>72.973159789999997</v>
      </c>
      <c r="E1127">
        <v>50</v>
      </c>
      <c r="F1127">
        <v>49.979717254999997</v>
      </c>
      <c r="G1127">
        <v>1274.6783447</v>
      </c>
      <c r="H1127">
        <v>1249.5040283000001</v>
      </c>
      <c r="I1127">
        <v>1443.550293</v>
      </c>
      <c r="J1127">
        <v>1407.3414307</v>
      </c>
      <c r="K1127">
        <v>0</v>
      </c>
      <c r="L1127">
        <v>2400</v>
      </c>
      <c r="M1127">
        <v>2400</v>
      </c>
      <c r="N1127">
        <v>0</v>
      </c>
    </row>
    <row r="1128" spans="1:14" x14ac:dyDescent="0.25">
      <c r="A1128">
        <v>617.54644900000005</v>
      </c>
      <c r="B1128" s="1">
        <f>DATE(2012,1,8) + TIME(13,6,53)</f>
        <v>40916.546446759261</v>
      </c>
      <c r="C1128">
        <v>80</v>
      </c>
      <c r="D1128">
        <v>72.824615479000002</v>
      </c>
      <c r="E1128">
        <v>50</v>
      </c>
      <c r="F1128">
        <v>49.979766845999997</v>
      </c>
      <c r="G1128">
        <v>1274.4305420000001</v>
      </c>
      <c r="H1128">
        <v>1249.1701660000001</v>
      </c>
      <c r="I1128">
        <v>1443.4522704999999</v>
      </c>
      <c r="J1128">
        <v>1407.2425536999999</v>
      </c>
      <c r="K1128">
        <v>0</v>
      </c>
      <c r="L1128">
        <v>2400</v>
      </c>
      <c r="M1128">
        <v>2400</v>
      </c>
      <c r="N1128">
        <v>0</v>
      </c>
    </row>
    <row r="1129" spans="1:14" x14ac:dyDescent="0.25">
      <c r="A1129">
        <v>619.52261899999996</v>
      </c>
      <c r="B1129" s="1">
        <f>DATE(2012,1,10) + TIME(12,32,34)</f>
        <v>40918.522615740738</v>
      </c>
      <c r="C1129">
        <v>80</v>
      </c>
      <c r="D1129">
        <v>72.672538756999998</v>
      </c>
      <c r="E1129">
        <v>50</v>
      </c>
      <c r="F1129">
        <v>49.979812621999997</v>
      </c>
      <c r="G1129">
        <v>1274.1715088000001</v>
      </c>
      <c r="H1129">
        <v>1248.8197021000001</v>
      </c>
      <c r="I1129">
        <v>1443.3555908000001</v>
      </c>
      <c r="J1129">
        <v>1407.1451416</v>
      </c>
      <c r="K1129">
        <v>0</v>
      </c>
      <c r="L1129">
        <v>2400</v>
      </c>
      <c r="M1129">
        <v>2400</v>
      </c>
      <c r="N1129">
        <v>0</v>
      </c>
    </row>
    <row r="1130" spans="1:14" x14ac:dyDescent="0.25">
      <c r="A1130">
        <v>621.54287999999997</v>
      </c>
      <c r="B1130" s="1">
        <f>DATE(2012,1,12) + TIME(13,1,44)</f>
        <v>40920.542870370373</v>
      </c>
      <c r="C1130">
        <v>80</v>
      </c>
      <c r="D1130">
        <v>72.517112732000001</v>
      </c>
      <c r="E1130">
        <v>50</v>
      </c>
      <c r="F1130">
        <v>49.979862212999997</v>
      </c>
      <c r="G1130">
        <v>1273.9018555</v>
      </c>
      <c r="H1130">
        <v>1248.4536132999999</v>
      </c>
      <c r="I1130">
        <v>1443.2607422000001</v>
      </c>
      <c r="J1130">
        <v>1407.0496826000001</v>
      </c>
      <c r="K1130">
        <v>0</v>
      </c>
      <c r="L1130">
        <v>2400</v>
      </c>
      <c r="M1130">
        <v>2400</v>
      </c>
      <c r="N1130">
        <v>0</v>
      </c>
    </row>
    <row r="1131" spans="1:14" x14ac:dyDescent="0.25">
      <c r="A1131">
        <v>623.59817899999996</v>
      </c>
      <c r="B1131" s="1">
        <f>DATE(2012,1,14) + TIME(14,21,22)</f>
        <v>40922.598171296297</v>
      </c>
      <c r="C1131">
        <v>80</v>
      </c>
      <c r="D1131">
        <v>72.357231139999996</v>
      </c>
      <c r="E1131">
        <v>50</v>
      </c>
      <c r="F1131">
        <v>49.979911803999997</v>
      </c>
      <c r="G1131">
        <v>1273.6192627</v>
      </c>
      <c r="H1131">
        <v>1248.0684814000001</v>
      </c>
      <c r="I1131">
        <v>1443.1667480000001</v>
      </c>
      <c r="J1131">
        <v>1406.9550781</v>
      </c>
      <c r="K1131">
        <v>0</v>
      </c>
      <c r="L1131">
        <v>2400</v>
      </c>
      <c r="M1131">
        <v>2400</v>
      </c>
      <c r="N1131">
        <v>0</v>
      </c>
    </row>
    <row r="1132" spans="1:14" x14ac:dyDescent="0.25">
      <c r="A1132">
        <v>625.69122700000003</v>
      </c>
      <c r="B1132" s="1">
        <f>DATE(2012,1,16) + TIME(16,35,21)</f>
        <v>40924.69121527778</v>
      </c>
      <c r="C1132">
        <v>80</v>
      </c>
      <c r="D1132">
        <v>72.192695618000002</v>
      </c>
      <c r="E1132">
        <v>50</v>
      </c>
      <c r="F1132">
        <v>49.979961394999997</v>
      </c>
      <c r="G1132">
        <v>1273.3242187999999</v>
      </c>
      <c r="H1132">
        <v>1247.6650391000001</v>
      </c>
      <c r="I1132">
        <v>1443.0740966999999</v>
      </c>
      <c r="J1132">
        <v>1406.8619385</v>
      </c>
      <c r="K1132">
        <v>0</v>
      </c>
      <c r="L1132">
        <v>2400</v>
      </c>
      <c r="M1132">
        <v>2400</v>
      </c>
      <c r="N1132">
        <v>0</v>
      </c>
    </row>
    <row r="1133" spans="1:14" x14ac:dyDescent="0.25">
      <c r="A1133">
        <v>627.83454300000005</v>
      </c>
      <c r="B1133" s="1">
        <f>DATE(2012,1,18) + TIME(20,1,44)</f>
        <v>40926.834537037037</v>
      </c>
      <c r="C1133">
        <v>80</v>
      </c>
      <c r="D1133">
        <v>72.022682189999998</v>
      </c>
      <c r="E1133">
        <v>50</v>
      </c>
      <c r="F1133">
        <v>49.980010986000003</v>
      </c>
      <c r="G1133">
        <v>1273.0158690999999</v>
      </c>
      <c r="H1133">
        <v>1247.2418213000001</v>
      </c>
      <c r="I1133">
        <v>1442.9826660000001</v>
      </c>
      <c r="J1133">
        <v>1406.7700195</v>
      </c>
      <c r="K1133">
        <v>0</v>
      </c>
      <c r="L1133">
        <v>2400</v>
      </c>
      <c r="M1133">
        <v>2400</v>
      </c>
      <c r="N1133">
        <v>0</v>
      </c>
    </row>
    <row r="1134" spans="1:14" x14ac:dyDescent="0.25">
      <c r="A1134">
        <v>630.00588400000004</v>
      </c>
      <c r="B1134" s="1">
        <f>DATE(2012,1,21) + TIME(0,8,28)</f>
        <v>40929.005879629629</v>
      </c>
      <c r="C1134">
        <v>80</v>
      </c>
      <c r="D1134">
        <v>71.846183776999993</v>
      </c>
      <c r="E1134">
        <v>50</v>
      </c>
      <c r="F1134">
        <v>49.980060577000003</v>
      </c>
      <c r="G1134">
        <v>1272.6922606999999</v>
      </c>
      <c r="H1134">
        <v>1246.7961425999999</v>
      </c>
      <c r="I1134">
        <v>1442.8918457</v>
      </c>
      <c r="J1134">
        <v>1406.6788329999999</v>
      </c>
      <c r="K1134">
        <v>0</v>
      </c>
      <c r="L1134">
        <v>2400</v>
      </c>
      <c r="M1134">
        <v>2400</v>
      </c>
      <c r="N1134">
        <v>0</v>
      </c>
    </row>
    <row r="1135" spans="1:14" x14ac:dyDescent="0.25">
      <c r="A1135">
        <v>632.20745999999997</v>
      </c>
      <c r="B1135" s="1">
        <f>DATE(2012,1,23) + TIME(4,58,44)</f>
        <v>40931.207453703704</v>
      </c>
      <c r="C1135">
        <v>80</v>
      </c>
      <c r="D1135">
        <v>71.663612365999995</v>
      </c>
      <c r="E1135">
        <v>50</v>
      </c>
      <c r="F1135">
        <v>49.980113983000003</v>
      </c>
      <c r="G1135">
        <v>1272.3558350000001</v>
      </c>
      <c r="H1135">
        <v>1246.3310547000001</v>
      </c>
      <c r="I1135">
        <v>1442.8024902</v>
      </c>
      <c r="J1135">
        <v>1406.5892334</v>
      </c>
      <c r="K1135">
        <v>0</v>
      </c>
      <c r="L1135">
        <v>2400</v>
      </c>
      <c r="M1135">
        <v>2400</v>
      </c>
      <c r="N1135">
        <v>0</v>
      </c>
    </row>
    <row r="1136" spans="1:14" x14ac:dyDescent="0.25">
      <c r="A1136">
        <v>634.45851300000004</v>
      </c>
      <c r="B1136" s="1">
        <f>DATE(2012,1,25) + TIME(11,0,15)</f>
        <v>40933.458506944444</v>
      </c>
      <c r="C1136">
        <v>80</v>
      </c>
      <c r="D1136">
        <v>71.474105835000003</v>
      </c>
      <c r="E1136">
        <v>50</v>
      </c>
      <c r="F1136">
        <v>49.980163574000002</v>
      </c>
      <c r="G1136">
        <v>1272.0059814000001</v>
      </c>
      <c r="H1136">
        <v>1245.8457031</v>
      </c>
      <c r="I1136">
        <v>1442.7147216999999</v>
      </c>
      <c r="J1136">
        <v>1406.5012207</v>
      </c>
      <c r="K1136">
        <v>0</v>
      </c>
      <c r="L1136">
        <v>2400</v>
      </c>
      <c r="M1136">
        <v>2400</v>
      </c>
      <c r="N1136">
        <v>0</v>
      </c>
    </row>
    <row r="1137" spans="1:14" x14ac:dyDescent="0.25">
      <c r="A1137">
        <v>636.75059499999998</v>
      </c>
      <c r="B1137" s="1">
        <f>DATE(2012,1,27) + TIME(18,0,51)</f>
        <v>40935.750590277778</v>
      </c>
      <c r="C1137">
        <v>80</v>
      </c>
      <c r="D1137">
        <v>71.275863646999994</v>
      </c>
      <c r="E1137">
        <v>50</v>
      </c>
      <c r="F1137">
        <v>49.980216980000002</v>
      </c>
      <c r="G1137">
        <v>1271.6395264</v>
      </c>
      <c r="H1137">
        <v>1245.3355713000001</v>
      </c>
      <c r="I1137">
        <v>1442.6274414</v>
      </c>
      <c r="J1137">
        <v>1406.4138184000001</v>
      </c>
      <c r="K1137">
        <v>0</v>
      </c>
      <c r="L1137">
        <v>2400</v>
      </c>
      <c r="M1137">
        <v>2400</v>
      </c>
      <c r="N1137">
        <v>0</v>
      </c>
    </row>
    <row r="1138" spans="1:14" x14ac:dyDescent="0.25">
      <c r="A1138">
        <v>639.081278</v>
      </c>
      <c r="B1138" s="1">
        <f>DATE(2012,1,30) + TIME(1,57,2)</f>
        <v>40938.081273148149</v>
      </c>
      <c r="C1138">
        <v>80</v>
      </c>
      <c r="D1138">
        <v>71.068405150999993</v>
      </c>
      <c r="E1138">
        <v>50</v>
      </c>
      <c r="F1138">
        <v>49.980270386000001</v>
      </c>
      <c r="G1138">
        <v>1271.2570800999999</v>
      </c>
      <c r="H1138">
        <v>1244.8013916</v>
      </c>
      <c r="I1138">
        <v>1442.5412598</v>
      </c>
      <c r="J1138">
        <v>1406.3275146000001</v>
      </c>
      <c r="K1138">
        <v>0</v>
      </c>
      <c r="L1138">
        <v>2400</v>
      </c>
      <c r="M1138">
        <v>2400</v>
      </c>
      <c r="N1138">
        <v>0</v>
      </c>
    </row>
    <row r="1139" spans="1:14" x14ac:dyDescent="0.25">
      <c r="A1139">
        <v>641</v>
      </c>
      <c r="B1139" s="1">
        <f>DATE(2012,2,1) + TIME(0,0,0)</f>
        <v>40940</v>
      </c>
      <c r="C1139">
        <v>80</v>
      </c>
      <c r="D1139">
        <v>70.858734131000006</v>
      </c>
      <c r="E1139">
        <v>50</v>
      </c>
      <c r="F1139">
        <v>49.980312347000002</v>
      </c>
      <c r="G1139">
        <v>1270.8599853999999</v>
      </c>
      <c r="H1139">
        <v>1244.2482910000001</v>
      </c>
      <c r="I1139">
        <v>1442.4559326000001</v>
      </c>
      <c r="J1139">
        <v>1406.2421875</v>
      </c>
      <c r="K1139">
        <v>0</v>
      </c>
      <c r="L1139">
        <v>2400</v>
      </c>
      <c r="M1139">
        <v>2400</v>
      </c>
      <c r="N1139">
        <v>0</v>
      </c>
    </row>
    <row r="1140" spans="1:14" x14ac:dyDescent="0.25">
      <c r="A1140">
        <v>643.37379599999997</v>
      </c>
      <c r="B1140" s="1">
        <f>DATE(2012,2,3) + TIME(8,58,15)</f>
        <v>40942.373784722222</v>
      </c>
      <c r="C1140">
        <v>80</v>
      </c>
      <c r="D1140">
        <v>70.661315918</v>
      </c>
      <c r="E1140">
        <v>50</v>
      </c>
      <c r="F1140">
        <v>49.980365753000001</v>
      </c>
      <c r="G1140">
        <v>1270.5198975000001</v>
      </c>
      <c r="H1140">
        <v>1243.7631836</v>
      </c>
      <c r="I1140">
        <v>1442.3878173999999</v>
      </c>
      <c r="J1140">
        <v>1406.1739502</v>
      </c>
      <c r="K1140">
        <v>0</v>
      </c>
      <c r="L1140">
        <v>2400</v>
      </c>
      <c r="M1140">
        <v>2400</v>
      </c>
      <c r="N1140">
        <v>0</v>
      </c>
    </row>
    <row r="1141" spans="1:14" x14ac:dyDescent="0.25">
      <c r="A1141">
        <v>645.80296699999997</v>
      </c>
      <c r="B1141" s="1">
        <f>DATE(2012,2,5) + TIME(19,16,16)</f>
        <v>40944.80296296296</v>
      </c>
      <c r="C1141">
        <v>80</v>
      </c>
      <c r="D1141">
        <v>70.430320739999999</v>
      </c>
      <c r="E1141">
        <v>50</v>
      </c>
      <c r="F1141">
        <v>49.980419159</v>
      </c>
      <c r="G1141">
        <v>1270.0987548999999</v>
      </c>
      <c r="H1141">
        <v>1243.1713867000001</v>
      </c>
      <c r="I1141">
        <v>1442.3054199000001</v>
      </c>
      <c r="J1141">
        <v>1406.0916748</v>
      </c>
      <c r="K1141">
        <v>0</v>
      </c>
      <c r="L1141">
        <v>2400</v>
      </c>
      <c r="M1141">
        <v>2400</v>
      </c>
      <c r="N1141">
        <v>0</v>
      </c>
    </row>
    <row r="1142" spans="1:14" x14ac:dyDescent="0.25">
      <c r="A1142">
        <v>648.29011300000002</v>
      </c>
      <c r="B1142" s="1">
        <f>DATE(2012,2,8) + TIME(6,57,45)</f>
        <v>40947.29010416667</v>
      </c>
      <c r="C1142">
        <v>80</v>
      </c>
      <c r="D1142">
        <v>70.181831360000004</v>
      </c>
      <c r="E1142">
        <v>50</v>
      </c>
      <c r="F1142">
        <v>49.980472564999999</v>
      </c>
      <c r="G1142">
        <v>1269.6555175999999</v>
      </c>
      <c r="H1142">
        <v>1242.5443115</v>
      </c>
      <c r="I1142">
        <v>1442.2233887</v>
      </c>
      <c r="J1142">
        <v>1406.0097656</v>
      </c>
      <c r="K1142">
        <v>0</v>
      </c>
      <c r="L1142">
        <v>2400</v>
      </c>
      <c r="M1142">
        <v>2400</v>
      </c>
      <c r="N1142">
        <v>0</v>
      </c>
    </row>
    <row r="1143" spans="1:14" x14ac:dyDescent="0.25">
      <c r="A1143">
        <v>650.81665299999997</v>
      </c>
      <c r="B1143" s="1">
        <f>DATE(2012,2,10) + TIME(19,35,58)</f>
        <v>40949.816643518519</v>
      </c>
      <c r="C1143">
        <v>80</v>
      </c>
      <c r="D1143">
        <v>69.91796875</v>
      </c>
      <c r="E1143">
        <v>50</v>
      </c>
      <c r="F1143">
        <v>49.980529785000002</v>
      </c>
      <c r="G1143">
        <v>1269.1911620999999</v>
      </c>
      <c r="H1143">
        <v>1241.8847656</v>
      </c>
      <c r="I1143">
        <v>1442.1417236</v>
      </c>
      <c r="J1143">
        <v>1405.9282227000001</v>
      </c>
      <c r="K1143">
        <v>0</v>
      </c>
      <c r="L1143">
        <v>2400</v>
      </c>
      <c r="M1143">
        <v>2400</v>
      </c>
      <c r="N1143">
        <v>0</v>
      </c>
    </row>
    <row r="1144" spans="1:14" x14ac:dyDescent="0.25">
      <c r="A1144">
        <v>653.38640799999996</v>
      </c>
      <c r="B1144" s="1">
        <f>DATE(2012,2,13) + TIME(9,16,25)</f>
        <v>40952.386400462965</v>
      </c>
      <c r="C1144">
        <v>80</v>
      </c>
      <c r="D1144">
        <v>69.638954162999994</v>
      </c>
      <c r="E1144">
        <v>50</v>
      </c>
      <c r="F1144">
        <v>49.980583191000001</v>
      </c>
      <c r="G1144">
        <v>1268.708374</v>
      </c>
      <c r="H1144">
        <v>1241.1966553</v>
      </c>
      <c r="I1144">
        <v>1442.0609131000001</v>
      </c>
      <c r="J1144">
        <v>1405.8475341999999</v>
      </c>
      <c r="K1144">
        <v>0</v>
      </c>
      <c r="L1144">
        <v>2400</v>
      </c>
      <c r="M1144">
        <v>2400</v>
      </c>
      <c r="N1144">
        <v>0</v>
      </c>
    </row>
    <row r="1145" spans="1:14" x14ac:dyDescent="0.25">
      <c r="A1145">
        <v>655.98982899999999</v>
      </c>
      <c r="B1145" s="1">
        <f>DATE(2012,2,15) + TIME(23,45,21)</f>
        <v>40954.98982638889</v>
      </c>
      <c r="C1145">
        <v>80</v>
      </c>
      <c r="D1145">
        <v>69.343292235999996</v>
      </c>
      <c r="E1145">
        <v>50</v>
      </c>
      <c r="F1145">
        <v>49.980640411000003</v>
      </c>
      <c r="G1145">
        <v>1268.2064209</v>
      </c>
      <c r="H1145">
        <v>1240.4787598</v>
      </c>
      <c r="I1145">
        <v>1441.980957</v>
      </c>
      <c r="J1145">
        <v>1405.7678223</v>
      </c>
      <c r="K1145">
        <v>0</v>
      </c>
      <c r="L1145">
        <v>2400</v>
      </c>
      <c r="M1145">
        <v>2400</v>
      </c>
      <c r="N1145">
        <v>0</v>
      </c>
    </row>
    <row r="1146" spans="1:14" x14ac:dyDescent="0.25">
      <c r="A1146">
        <v>658.62204299999996</v>
      </c>
      <c r="B1146" s="1">
        <f>DATE(2012,2,18) + TIME(14,55,44)</f>
        <v>40957.622037037036</v>
      </c>
      <c r="C1146">
        <v>80</v>
      </c>
      <c r="D1146">
        <v>69.031471252000003</v>
      </c>
      <c r="E1146">
        <v>50</v>
      </c>
      <c r="F1146">
        <v>49.980697632000002</v>
      </c>
      <c r="G1146">
        <v>1267.6865233999999</v>
      </c>
      <c r="H1146">
        <v>1239.7326660000001</v>
      </c>
      <c r="I1146">
        <v>1441.9020995999999</v>
      </c>
      <c r="J1146">
        <v>1405.6892089999999</v>
      </c>
      <c r="K1146">
        <v>0</v>
      </c>
      <c r="L1146">
        <v>2400</v>
      </c>
      <c r="M1146">
        <v>2400</v>
      </c>
      <c r="N1146">
        <v>0</v>
      </c>
    </row>
    <row r="1147" spans="1:14" x14ac:dyDescent="0.25">
      <c r="A1147">
        <v>661.304349</v>
      </c>
      <c r="B1147" s="1">
        <f>DATE(2012,2,21) + TIME(7,18,15)</f>
        <v>40960.304340277777</v>
      </c>
      <c r="C1147">
        <v>80</v>
      </c>
      <c r="D1147">
        <v>68.702087402000004</v>
      </c>
      <c r="E1147">
        <v>50</v>
      </c>
      <c r="F1147">
        <v>49.980751038000001</v>
      </c>
      <c r="G1147">
        <v>1267.1496582</v>
      </c>
      <c r="H1147">
        <v>1238.9593506000001</v>
      </c>
      <c r="I1147">
        <v>1441.8243408000001</v>
      </c>
      <c r="J1147">
        <v>1405.6116943</v>
      </c>
      <c r="K1147">
        <v>0</v>
      </c>
      <c r="L1147">
        <v>2400</v>
      </c>
      <c r="M1147">
        <v>2400</v>
      </c>
      <c r="N1147">
        <v>0</v>
      </c>
    </row>
    <row r="1148" spans="1:14" x14ac:dyDescent="0.25">
      <c r="A1148">
        <v>664.05203700000004</v>
      </c>
      <c r="B1148" s="1">
        <f>DATE(2012,2,24) + TIME(1,14,55)</f>
        <v>40963.052025462966</v>
      </c>
      <c r="C1148">
        <v>80</v>
      </c>
      <c r="D1148">
        <v>68.352592467999997</v>
      </c>
      <c r="E1148">
        <v>50</v>
      </c>
      <c r="F1148">
        <v>49.980808258000003</v>
      </c>
      <c r="G1148">
        <v>1266.5913086</v>
      </c>
      <c r="H1148">
        <v>1238.1522216999999</v>
      </c>
      <c r="I1148">
        <v>1441.7470702999999</v>
      </c>
      <c r="J1148">
        <v>1405.5347899999999</v>
      </c>
      <c r="K1148">
        <v>0</v>
      </c>
      <c r="L1148">
        <v>2400</v>
      </c>
      <c r="M1148">
        <v>2400</v>
      </c>
      <c r="N1148">
        <v>0</v>
      </c>
    </row>
    <row r="1149" spans="1:14" x14ac:dyDescent="0.25">
      <c r="A1149">
        <v>666.83475599999997</v>
      </c>
      <c r="B1149" s="1">
        <f>DATE(2012,2,26) + TIME(20,2,2)</f>
        <v>40965.834745370368</v>
      </c>
      <c r="C1149">
        <v>80</v>
      </c>
      <c r="D1149">
        <v>67.979766846000004</v>
      </c>
      <c r="E1149">
        <v>50</v>
      </c>
      <c r="F1149">
        <v>49.980869292999998</v>
      </c>
      <c r="G1149">
        <v>1266.0079346</v>
      </c>
      <c r="H1149">
        <v>1237.3067627</v>
      </c>
      <c r="I1149">
        <v>1441.6699219</v>
      </c>
      <c r="J1149">
        <v>1405.4580077999999</v>
      </c>
      <c r="K1149">
        <v>0</v>
      </c>
      <c r="L1149">
        <v>2400</v>
      </c>
      <c r="M1149">
        <v>2400</v>
      </c>
      <c r="N1149">
        <v>0</v>
      </c>
    </row>
    <row r="1150" spans="1:14" x14ac:dyDescent="0.25">
      <c r="A1150">
        <v>669.66400799999997</v>
      </c>
      <c r="B1150" s="1">
        <f>DATE(2012,2,29) + TIME(15,56,10)</f>
        <v>40968.664004629631</v>
      </c>
      <c r="C1150">
        <v>80</v>
      </c>
      <c r="D1150">
        <v>67.585823059000006</v>
      </c>
      <c r="E1150">
        <v>50</v>
      </c>
      <c r="F1150">
        <v>49.980926513999997</v>
      </c>
      <c r="G1150">
        <v>1265.4050293</v>
      </c>
      <c r="H1150">
        <v>1236.4293213000001</v>
      </c>
      <c r="I1150">
        <v>1441.5936279</v>
      </c>
      <c r="J1150">
        <v>1405.3822021000001</v>
      </c>
      <c r="K1150">
        <v>0</v>
      </c>
      <c r="L1150">
        <v>2400</v>
      </c>
      <c r="M1150">
        <v>2400</v>
      </c>
      <c r="N1150">
        <v>0</v>
      </c>
    </row>
    <row r="1151" spans="1:14" x14ac:dyDescent="0.25">
      <c r="A1151">
        <v>670</v>
      </c>
      <c r="B1151" s="1">
        <f>DATE(2012,3,1) + TIME(0,0,0)</f>
        <v>40969</v>
      </c>
      <c r="C1151">
        <v>80</v>
      </c>
      <c r="D1151">
        <v>67.372726439999994</v>
      </c>
      <c r="E1151">
        <v>50</v>
      </c>
      <c r="F1151">
        <v>49.980926513999997</v>
      </c>
      <c r="G1151">
        <v>1264.8148193</v>
      </c>
      <c r="H1151">
        <v>1235.6662598</v>
      </c>
      <c r="I1151">
        <v>1441.5189209</v>
      </c>
      <c r="J1151">
        <v>1405.3078613</v>
      </c>
      <c r="K1151">
        <v>0</v>
      </c>
      <c r="L1151">
        <v>2400</v>
      </c>
      <c r="M1151">
        <v>2400</v>
      </c>
      <c r="N1151">
        <v>0</v>
      </c>
    </row>
    <row r="1152" spans="1:14" x14ac:dyDescent="0.25">
      <c r="A1152">
        <v>672.84515499999998</v>
      </c>
      <c r="B1152" s="1">
        <f>DATE(2012,3,3) + TIME(20,17,1)</f>
        <v>40971.845150462963</v>
      </c>
      <c r="C1152">
        <v>80</v>
      </c>
      <c r="D1152">
        <v>67.095817565999994</v>
      </c>
      <c r="E1152">
        <v>50</v>
      </c>
      <c r="F1152">
        <v>49.980991363999998</v>
      </c>
      <c r="G1152">
        <v>1264.6936035000001</v>
      </c>
      <c r="H1152">
        <v>1235.3774414</v>
      </c>
      <c r="I1152">
        <v>1441.5089111</v>
      </c>
      <c r="J1152">
        <v>1405.2979736</v>
      </c>
      <c r="K1152">
        <v>0</v>
      </c>
      <c r="L1152">
        <v>2400</v>
      </c>
      <c r="M1152">
        <v>2400</v>
      </c>
      <c r="N1152">
        <v>0</v>
      </c>
    </row>
    <row r="1153" spans="1:14" x14ac:dyDescent="0.25">
      <c r="A1153">
        <v>675.72795900000006</v>
      </c>
      <c r="B1153" s="1">
        <f>DATE(2012,3,6) + TIME(17,28,15)</f>
        <v>40974.727951388886</v>
      </c>
      <c r="C1153">
        <v>80</v>
      </c>
      <c r="D1153">
        <v>66.674926757999998</v>
      </c>
      <c r="E1153">
        <v>50</v>
      </c>
      <c r="F1153">
        <v>49.981048584</v>
      </c>
      <c r="G1153">
        <v>1264.0620117000001</v>
      </c>
      <c r="H1153">
        <v>1234.4630127</v>
      </c>
      <c r="I1153">
        <v>1441.4350586</v>
      </c>
      <c r="J1153">
        <v>1405.2246094</v>
      </c>
      <c r="K1153">
        <v>0</v>
      </c>
      <c r="L1153">
        <v>2400</v>
      </c>
      <c r="M1153">
        <v>2400</v>
      </c>
      <c r="N1153">
        <v>0</v>
      </c>
    </row>
    <row r="1154" spans="1:14" x14ac:dyDescent="0.25">
      <c r="A1154">
        <v>678.62360799999999</v>
      </c>
      <c r="B1154" s="1">
        <f>DATE(2012,3,9) + TIME(14,57,59)</f>
        <v>40977.623599537037</v>
      </c>
      <c r="C1154">
        <v>80</v>
      </c>
      <c r="D1154">
        <v>66.213981627999999</v>
      </c>
      <c r="E1154">
        <v>50</v>
      </c>
      <c r="F1154">
        <v>49.981105804000002</v>
      </c>
      <c r="G1154">
        <v>1263.4018555</v>
      </c>
      <c r="H1154">
        <v>1233.4942627</v>
      </c>
      <c r="I1154">
        <v>1441.3616943</v>
      </c>
      <c r="J1154">
        <v>1405.1517334</v>
      </c>
      <c r="K1154">
        <v>0</v>
      </c>
      <c r="L1154">
        <v>2400</v>
      </c>
      <c r="M1154">
        <v>2400</v>
      </c>
      <c r="N1154">
        <v>0</v>
      </c>
    </row>
    <row r="1155" spans="1:14" x14ac:dyDescent="0.25">
      <c r="A1155">
        <v>681.53720599999997</v>
      </c>
      <c r="B1155" s="1">
        <f>DATE(2012,3,12) + TIME(12,53,34)</f>
        <v>40980.537199074075</v>
      </c>
      <c r="C1155">
        <v>80</v>
      </c>
      <c r="D1155">
        <v>65.731651306000003</v>
      </c>
      <c r="E1155">
        <v>50</v>
      </c>
      <c r="F1155">
        <v>49.981163025000001</v>
      </c>
      <c r="G1155">
        <v>1262.7257079999999</v>
      </c>
      <c r="H1155">
        <v>1232.4968262</v>
      </c>
      <c r="I1155">
        <v>1441.2896728999999</v>
      </c>
      <c r="J1155">
        <v>1405.0802002</v>
      </c>
      <c r="K1155">
        <v>0</v>
      </c>
      <c r="L1155">
        <v>2400</v>
      </c>
      <c r="M1155">
        <v>2400</v>
      </c>
      <c r="N1155">
        <v>0</v>
      </c>
    </row>
    <row r="1156" spans="1:14" x14ac:dyDescent="0.25">
      <c r="A1156">
        <v>684.46984199999997</v>
      </c>
      <c r="B1156" s="1">
        <f>DATE(2012,3,15) + TIME(11,16,34)</f>
        <v>40983.469837962963</v>
      </c>
      <c r="C1156">
        <v>80</v>
      </c>
      <c r="D1156">
        <v>65.226234435999999</v>
      </c>
      <c r="E1156">
        <v>50</v>
      </c>
      <c r="F1156">
        <v>49.981220245000003</v>
      </c>
      <c r="G1156">
        <v>1262.0345459</v>
      </c>
      <c r="H1156">
        <v>1231.4738769999999</v>
      </c>
      <c r="I1156">
        <v>1441.21875</v>
      </c>
      <c r="J1156">
        <v>1405.0098877</v>
      </c>
      <c r="K1156">
        <v>0</v>
      </c>
      <c r="L1156">
        <v>2400</v>
      </c>
      <c r="M1156">
        <v>2400</v>
      </c>
      <c r="N1156">
        <v>0</v>
      </c>
    </row>
    <row r="1157" spans="1:14" x14ac:dyDescent="0.25">
      <c r="A1157">
        <v>687.42145300000004</v>
      </c>
      <c r="B1157" s="1">
        <f>DATE(2012,3,18) + TIME(10,6,53)</f>
        <v>40986.421446759261</v>
      </c>
      <c r="C1157">
        <v>80</v>
      </c>
      <c r="D1157">
        <v>64.701507567999997</v>
      </c>
      <c r="E1157">
        <v>50</v>
      </c>
      <c r="F1157">
        <v>49.981277466000002</v>
      </c>
      <c r="G1157">
        <v>1261.3272704999999</v>
      </c>
      <c r="H1157">
        <v>1230.4234618999999</v>
      </c>
      <c r="I1157">
        <v>1441.1488036999999</v>
      </c>
      <c r="J1157">
        <v>1404.9405518000001</v>
      </c>
      <c r="K1157">
        <v>0</v>
      </c>
      <c r="L1157">
        <v>2400</v>
      </c>
      <c r="M1157">
        <v>2400</v>
      </c>
      <c r="N1157">
        <v>0</v>
      </c>
    </row>
    <row r="1158" spans="1:14" x14ac:dyDescent="0.25">
      <c r="A1158">
        <v>690.389813</v>
      </c>
      <c r="B1158" s="1">
        <f>DATE(2012,3,21) + TIME(9,21,19)</f>
        <v>40989.389803240738</v>
      </c>
      <c r="C1158">
        <v>80</v>
      </c>
      <c r="D1158">
        <v>64.152038574000002</v>
      </c>
      <c r="E1158">
        <v>50</v>
      </c>
      <c r="F1158">
        <v>49.981334685999997</v>
      </c>
      <c r="G1158">
        <v>1260.605957</v>
      </c>
      <c r="H1158">
        <v>1229.3491211</v>
      </c>
      <c r="I1158">
        <v>1441.0799560999999</v>
      </c>
      <c r="J1158">
        <v>1404.8721923999999</v>
      </c>
      <c r="K1158">
        <v>0</v>
      </c>
      <c r="L1158">
        <v>2400</v>
      </c>
      <c r="M1158">
        <v>2400</v>
      </c>
      <c r="N1158">
        <v>0</v>
      </c>
    </row>
    <row r="1159" spans="1:14" x14ac:dyDescent="0.25">
      <c r="A1159">
        <v>693.37780699999996</v>
      </c>
      <c r="B1159" s="1">
        <f>DATE(2012,3,24) + TIME(9,4,2)</f>
        <v>40992.377800925926</v>
      </c>
      <c r="C1159">
        <v>80</v>
      </c>
      <c r="D1159">
        <v>63.587646483999997</v>
      </c>
      <c r="E1159">
        <v>50</v>
      </c>
      <c r="F1159">
        <v>49.981391907000003</v>
      </c>
      <c r="G1159">
        <v>1259.8686522999999</v>
      </c>
      <c r="H1159">
        <v>1228.2467041</v>
      </c>
      <c r="I1159">
        <v>1441.0119629000001</v>
      </c>
      <c r="J1159">
        <v>1404.8048096</v>
      </c>
      <c r="K1159">
        <v>0</v>
      </c>
      <c r="L1159">
        <v>2400</v>
      </c>
      <c r="M1159">
        <v>2400</v>
      </c>
      <c r="N1159">
        <v>0</v>
      </c>
    </row>
    <row r="1160" spans="1:14" x14ac:dyDescent="0.25">
      <c r="A1160">
        <v>696.38859100000002</v>
      </c>
      <c r="B1160" s="1">
        <f>DATE(2012,3,27) + TIME(9,19,34)</f>
        <v>40995.38858796296</v>
      </c>
      <c r="C1160">
        <v>80</v>
      </c>
      <c r="D1160">
        <v>62.993328093999999</v>
      </c>
      <c r="E1160">
        <v>50</v>
      </c>
      <c r="F1160">
        <v>49.981449126999998</v>
      </c>
      <c r="G1160">
        <v>1259.1191406</v>
      </c>
      <c r="H1160">
        <v>1227.1235352000001</v>
      </c>
      <c r="I1160">
        <v>1440.9449463000001</v>
      </c>
      <c r="J1160">
        <v>1404.7384033000001</v>
      </c>
      <c r="K1160">
        <v>0</v>
      </c>
      <c r="L1160">
        <v>2400</v>
      </c>
      <c r="M1160">
        <v>2400</v>
      </c>
      <c r="N1160">
        <v>0</v>
      </c>
    </row>
    <row r="1161" spans="1:14" x14ac:dyDescent="0.25">
      <c r="A1161">
        <v>699.42320600000005</v>
      </c>
      <c r="B1161" s="1">
        <f>DATE(2012,3,30) + TIME(10,9,24)</f>
        <v>40998.423194444447</v>
      </c>
      <c r="C1161">
        <v>80</v>
      </c>
      <c r="D1161">
        <v>62.392127991000002</v>
      </c>
      <c r="E1161">
        <v>50</v>
      </c>
      <c r="F1161">
        <v>49.981506348000003</v>
      </c>
      <c r="G1161">
        <v>1258.3503418</v>
      </c>
      <c r="H1161">
        <v>1225.9663086</v>
      </c>
      <c r="I1161">
        <v>1440.8786620999999</v>
      </c>
      <c r="J1161">
        <v>1404.6727295000001</v>
      </c>
      <c r="K1161">
        <v>0</v>
      </c>
      <c r="L1161">
        <v>2400</v>
      </c>
      <c r="M1161">
        <v>2400</v>
      </c>
      <c r="N1161">
        <v>0</v>
      </c>
    </row>
    <row r="1162" spans="1:14" x14ac:dyDescent="0.25">
      <c r="A1162">
        <v>701</v>
      </c>
      <c r="B1162" s="1">
        <f>DATE(2012,4,1) + TIME(0,0,0)</f>
        <v>41000</v>
      </c>
      <c r="C1162">
        <v>80</v>
      </c>
      <c r="D1162">
        <v>61.811382293999998</v>
      </c>
      <c r="E1162">
        <v>50</v>
      </c>
      <c r="F1162">
        <v>49.981536865000002</v>
      </c>
      <c r="G1162">
        <v>1257.5783690999999</v>
      </c>
      <c r="H1162">
        <v>1224.8369141000001</v>
      </c>
      <c r="I1162">
        <v>1440.8127440999999</v>
      </c>
      <c r="J1162">
        <v>1404.6074219</v>
      </c>
      <c r="K1162">
        <v>0</v>
      </c>
      <c r="L1162">
        <v>2400</v>
      </c>
      <c r="M1162">
        <v>2400</v>
      </c>
      <c r="N1162">
        <v>0</v>
      </c>
    </row>
    <row r="1163" spans="1:14" x14ac:dyDescent="0.25">
      <c r="A1163">
        <v>704.05956600000002</v>
      </c>
      <c r="B1163" s="1">
        <f>DATE(2012,4,4) + TIME(1,25,46)</f>
        <v>41003.059560185182</v>
      </c>
      <c r="C1163">
        <v>80</v>
      </c>
      <c r="D1163">
        <v>61.394672393999997</v>
      </c>
      <c r="E1163">
        <v>50</v>
      </c>
      <c r="F1163">
        <v>49.981594086000001</v>
      </c>
      <c r="G1163">
        <v>1257.1496582</v>
      </c>
      <c r="H1163">
        <v>1224.1347656</v>
      </c>
      <c r="I1163">
        <v>1440.7792969</v>
      </c>
      <c r="J1163">
        <v>1404.5743408000001</v>
      </c>
      <c r="K1163">
        <v>0</v>
      </c>
      <c r="L1163">
        <v>2400</v>
      </c>
      <c r="M1163">
        <v>2400</v>
      </c>
      <c r="N1163">
        <v>0</v>
      </c>
    </row>
    <row r="1164" spans="1:14" x14ac:dyDescent="0.25">
      <c r="A1164">
        <v>705.60887500000001</v>
      </c>
      <c r="B1164" s="1">
        <f>DATE(2012,4,5) + TIME(14,36,46)</f>
        <v>41004.608865740738</v>
      </c>
      <c r="C1164">
        <v>80</v>
      </c>
      <c r="D1164">
        <v>60.818748474000003</v>
      </c>
      <c r="E1164">
        <v>50</v>
      </c>
      <c r="F1164">
        <v>49.981620788999997</v>
      </c>
      <c r="G1164">
        <v>1256.3620605000001</v>
      </c>
      <c r="H1164">
        <v>1222.9890137</v>
      </c>
      <c r="I1164">
        <v>1440.7147216999999</v>
      </c>
      <c r="J1164">
        <v>1404.510376</v>
      </c>
      <c r="K1164">
        <v>0</v>
      </c>
      <c r="L1164">
        <v>2400</v>
      </c>
      <c r="M1164">
        <v>2400</v>
      </c>
      <c r="N1164">
        <v>0</v>
      </c>
    </row>
    <row r="1165" spans="1:14" x14ac:dyDescent="0.25">
      <c r="A1165">
        <v>706.56767300000001</v>
      </c>
      <c r="B1165" s="1">
        <f>DATE(2012,4,6) + TIME(13,37,26)</f>
        <v>41005.567662037036</v>
      </c>
      <c r="C1165">
        <v>80</v>
      </c>
      <c r="D1165">
        <v>60.479267120000003</v>
      </c>
      <c r="E1165">
        <v>50</v>
      </c>
      <c r="F1165">
        <v>49.981639862000002</v>
      </c>
      <c r="G1165">
        <v>1255.9481201000001</v>
      </c>
      <c r="H1165">
        <v>1222.3580322</v>
      </c>
      <c r="I1165">
        <v>1440.682251</v>
      </c>
      <c r="J1165">
        <v>1404.4782714999999</v>
      </c>
      <c r="K1165">
        <v>0</v>
      </c>
      <c r="L1165">
        <v>2400</v>
      </c>
      <c r="M1165">
        <v>2400</v>
      </c>
      <c r="N1165">
        <v>0</v>
      </c>
    </row>
    <row r="1166" spans="1:14" x14ac:dyDescent="0.25">
      <c r="A1166">
        <v>707.52647200000001</v>
      </c>
      <c r="B1166" s="1">
        <f>DATE(2012,4,7) + TIME(12,38,7)</f>
        <v>41006.526469907411</v>
      </c>
      <c r="C1166">
        <v>80</v>
      </c>
      <c r="D1166">
        <v>60.227306366000001</v>
      </c>
      <c r="E1166">
        <v>50</v>
      </c>
      <c r="F1166">
        <v>49.981658936000002</v>
      </c>
      <c r="G1166">
        <v>1255.6870117000001</v>
      </c>
      <c r="H1166">
        <v>1221.9390868999999</v>
      </c>
      <c r="I1166">
        <v>1440.6623535000001</v>
      </c>
      <c r="J1166">
        <v>1404.4584961</v>
      </c>
      <c r="K1166">
        <v>0</v>
      </c>
      <c r="L1166">
        <v>2400</v>
      </c>
      <c r="M1166">
        <v>2400</v>
      </c>
      <c r="N1166">
        <v>0</v>
      </c>
    </row>
    <row r="1167" spans="1:14" x14ac:dyDescent="0.25">
      <c r="A1167">
        <v>708.48527100000001</v>
      </c>
      <c r="B1167" s="1">
        <f>DATE(2012,4,8) + TIME(11,38,47)</f>
        <v>41007.485266203701</v>
      </c>
      <c r="C1167">
        <v>80</v>
      </c>
      <c r="D1167">
        <v>60.001522064</v>
      </c>
      <c r="E1167">
        <v>50</v>
      </c>
      <c r="F1167">
        <v>49.981674194</v>
      </c>
      <c r="G1167">
        <v>1255.4309082</v>
      </c>
      <c r="H1167">
        <v>1221.5421143000001</v>
      </c>
      <c r="I1167">
        <v>1440.6425781</v>
      </c>
      <c r="J1167">
        <v>1404.4390868999999</v>
      </c>
      <c r="K1167">
        <v>0</v>
      </c>
      <c r="L1167">
        <v>2400</v>
      </c>
      <c r="M1167">
        <v>2400</v>
      </c>
      <c r="N1167">
        <v>0</v>
      </c>
    </row>
    <row r="1168" spans="1:14" x14ac:dyDescent="0.25">
      <c r="A1168">
        <v>709.44407000000001</v>
      </c>
      <c r="B1168" s="1">
        <f>DATE(2012,4,9) + TIME(10,39,27)</f>
        <v>41008.444062499999</v>
      </c>
      <c r="C1168">
        <v>80</v>
      </c>
      <c r="D1168">
        <v>59.782615661999998</v>
      </c>
      <c r="E1168">
        <v>50</v>
      </c>
      <c r="F1168">
        <v>49.981693268000001</v>
      </c>
      <c r="G1168">
        <v>1255.1756591999999</v>
      </c>
      <c r="H1168">
        <v>1221.1508789</v>
      </c>
      <c r="I1168">
        <v>1440.6230469</v>
      </c>
      <c r="J1168">
        <v>1404.4196777</v>
      </c>
      <c r="K1168">
        <v>0</v>
      </c>
      <c r="L1168">
        <v>2400</v>
      </c>
      <c r="M1168">
        <v>2400</v>
      </c>
      <c r="N1168">
        <v>0</v>
      </c>
    </row>
    <row r="1169" spans="1:14" x14ac:dyDescent="0.25">
      <c r="A1169">
        <v>710.40286900000001</v>
      </c>
      <c r="B1169" s="1">
        <f>DATE(2012,4,10) + TIME(9,40,7)</f>
        <v>41009.402858796297</v>
      </c>
      <c r="C1169">
        <v>80</v>
      </c>
      <c r="D1169">
        <v>59.565032959</v>
      </c>
      <c r="E1169">
        <v>50</v>
      </c>
      <c r="F1169">
        <v>49.981708527000002</v>
      </c>
      <c r="G1169">
        <v>1254.9202881000001</v>
      </c>
      <c r="H1169">
        <v>1220.7604980000001</v>
      </c>
      <c r="I1169">
        <v>1440.6035156</v>
      </c>
      <c r="J1169">
        <v>1404.4003906</v>
      </c>
      <c r="K1169">
        <v>0</v>
      </c>
      <c r="L1169">
        <v>2400</v>
      </c>
      <c r="M1169">
        <v>2400</v>
      </c>
      <c r="N1169">
        <v>0</v>
      </c>
    </row>
    <row r="1170" spans="1:14" x14ac:dyDescent="0.25">
      <c r="A1170">
        <v>711.36166800000001</v>
      </c>
      <c r="B1170" s="1">
        <f>DATE(2012,4,11) + TIME(8,40,48)</f>
        <v>41010.361666666664</v>
      </c>
      <c r="C1170">
        <v>80</v>
      </c>
      <c r="D1170">
        <v>59.347072601000001</v>
      </c>
      <c r="E1170">
        <v>50</v>
      </c>
      <c r="F1170">
        <v>49.981727599999999</v>
      </c>
      <c r="G1170">
        <v>1254.6645507999999</v>
      </c>
      <c r="H1170">
        <v>1220.3695068</v>
      </c>
      <c r="I1170">
        <v>1440.5841064000001</v>
      </c>
      <c r="J1170">
        <v>1404.3812256000001</v>
      </c>
      <c r="K1170">
        <v>0</v>
      </c>
      <c r="L1170">
        <v>2400</v>
      </c>
      <c r="M1170">
        <v>2400</v>
      </c>
      <c r="N1170">
        <v>0</v>
      </c>
    </row>
    <row r="1171" spans="1:14" x14ac:dyDescent="0.25">
      <c r="A1171">
        <v>712.32046600000001</v>
      </c>
      <c r="B1171" s="1">
        <f>DATE(2012,4,12) + TIME(7,41,28)</f>
        <v>41011.320462962962</v>
      </c>
      <c r="C1171">
        <v>80</v>
      </c>
      <c r="D1171">
        <v>59.12828064</v>
      </c>
      <c r="E1171">
        <v>50</v>
      </c>
      <c r="F1171">
        <v>49.981746674</v>
      </c>
      <c r="G1171">
        <v>1254.4082031</v>
      </c>
      <c r="H1171">
        <v>1219.9775391000001</v>
      </c>
      <c r="I1171">
        <v>1440.5648193</v>
      </c>
      <c r="J1171">
        <v>1404.3620605000001</v>
      </c>
      <c r="K1171">
        <v>0</v>
      </c>
      <c r="L1171">
        <v>2400</v>
      </c>
      <c r="M1171">
        <v>2400</v>
      </c>
      <c r="N1171">
        <v>0</v>
      </c>
    </row>
    <row r="1172" spans="1:14" x14ac:dyDescent="0.25">
      <c r="A1172">
        <v>713.27926500000001</v>
      </c>
      <c r="B1172" s="1">
        <f>DATE(2012,4,13) + TIME(6,42,8)</f>
        <v>41012.27925925926</v>
      </c>
      <c r="C1172">
        <v>80</v>
      </c>
      <c r="D1172">
        <v>58.908546448000003</v>
      </c>
      <c r="E1172">
        <v>50</v>
      </c>
      <c r="F1172">
        <v>49.981761931999998</v>
      </c>
      <c r="G1172">
        <v>1254.1513672000001</v>
      </c>
      <c r="H1172">
        <v>1219.5843506000001</v>
      </c>
      <c r="I1172">
        <v>1440.5455322</v>
      </c>
      <c r="J1172">
        <v>1404.3430175999999</v>
      </c>
      <c r="K1172">
        <v>0</v>
      </c>
      <c r="L1172">
        <v>2400</v>
      </c>
      <c r="M1172">
        <v>2400</v>
      </c>
      <c r="N1172">
        <v>0</v>
      </c>
    </row>
    <row r="1173" spans="1:14" x14ac:dyDescent="0.25">
      <c r="A1173">
        <v>714.23806400000001</v>
      </c>
      <c r="B1173" s="1">
        <f>DATE(2012,4,14) + TIME(5,42,48)</f>
        <v>41013.238055555557</v>
      </c>
      <c r="C1173">
        <v>80</v>
      </c>
      <c r="D1173">
        <v>58.687866210999999</v>
      </c>
      <c r="E1173">
        <v>50</v>
      </c>
      <c r="F1173">
        <v>49.981781005999999</v>
      </c>
      <c r="G1173">
        <v>1253.8939209</v>
      </c>
      <c r="H1173">
        <v>1219.1899414</v>
      </c>
      <c r="I1173">
        <v>1440.5264893000001</v>
      </c>
      <c r="J1173">
        <v>1404.3240966999999</v>
      </c>
      <c r="K1173">
        <v>0</v>
      </c>
      <c r="L1173">
        <v>2400</v>
      </c>
      <c r="M1173">
        <v>2400</v>
      </c>
      <c r="N1173">
        <v>0</v>
      </c>
    </row>
    <row r="1174" spans="1:14" x14ac:dyDescent="0.25">
      <c r="A1174">
        <v>715.19686300000001</v>
      </c>
      <c r="B1174" s="1">
        <f>DATE(2012,4,15) + TIME(4,43,28)</f>
        <v>41014.196851851855</v>
      </c>
      <c r="C1174">
        <v>80</v>
      </c>
      <c r="D1174">
        <v>58.466266632</v>
      </c>
      <c r="E1174">
        <v>50</v>
      </c>
      <c r="F1174">
        <v>49.981796265</v>
      </c>
      <c r="G1174">
        <v>1253.6359863</v>
      </c>
      <c r="H1174">
        <v>1218.7944336</v>
      </c>
      <c r="I1174">
        <v>1440.5074463000001</v>
      </c>
      <c r="J1174">
        <v>1404.3052978999999</v>
      </c>
      <c r="K1174">
        <v>0</v>
      </c>
      <c r="L1174">
        <v>2400</v>
      </c>
      <c r="M1174">
        <v>2400</v>
      </c>
      <c r="N1174">
        <v>0</v>
      </c>
    </row>
    <row r="1175" spans="1:14" x14ac:dyDescent="0.25">
      <c r="A1175">
        <v>716.15566200000001</v>
      </c>
      <c r="B1175" s="1">
        <f>DATE(2012,4,16) + TIME(3,44,9)</f>
        <v>41015.155659722222</v>
      </c>
      <c r="C1175">
        <v>80</v>
      </c>
      <c r="D1175">
        <v>58.243785858000003</v>
      </c>
      <c r="E1175">
        <v>50</v>
      </c>
      <c r="F1175">
        <v>49.981815337999997</v>
      </c>
      <c r="G1175">
        <v>1253.3774414</v>
      </c>
      <c r="H1175">
        <v>1218.3978271000001</v>
      </c>
      <c r="I1175">
        <v>1440.4884033000001</v>
      </c>
      <c r="J1175">
        <v>1404.286499</v>
      </c>
      <c r="K1175">
        <v>0</v>
      </c>
      <c r="L1175">
        <v>2400</v>
      </c>
      <c r="M1175">
        <v>2400</v>
      </c>
      <c r="N1175">
        <v>0</v>
      </c>
    </row>
    <row r="1176" spans="1:14" x14ac:dyDescent="0.25">
      <c r="A1176">
        <v>717.11446000000001</v>
      </c>
      <c r="B1176" s="1">
        <f>DATE(2012,4,17) + TIME(2,44,49)</f>
        <v>41016.11445601852</v>
      </c>
      <c r="C1176">
        <v>80</v>
      </c>
      <c r="D1176">
        <v>58.02047348</v>
      </c>
      <c r="E1176">
        <v>50</v>
      </c>
      <c r="F1176">
        <v>49.981830596999998</v>
      </c>
      <c r="G1176">
        <v>1253.1185303</v>
      </c>
      <c r="H1176">
        <v>1218</v>
      </c>
      <c r="I1176">
        <v>1440.4696045000001</v>
      </c>
      <c r="J1176">
        <v>1404.2678223</v>
      </c>
      <c r="K1176">
        <v>0</v>
      </c>
      <c r="L1176">
        <v>2400</v>
      </c>
      <c r="M1176">
        <v>2400</v>
      </c>
      <c r="N1176">
        <v>0</v>
      </c>
    </row>
    <row r="1177" spans="1:14" x14ac:dyDescent="0.25">
      <c r="A1177">
        <v>718.07325900000001</v>
      </c>
      <c r="B1177" s="1">
        <f>DATE(2012,4,18) + TIME(1,45,29)</f>
        <v>41017.073252314818</v>
      </c>
      <c r="C1177">
        <v>80</v>
      </c>
      <c r="D1177">
        <v>57.796367644999997</v>
      </c>
      <c r="E1177">
        <v>50</v>
      </c>
      <c r="F1177">
        <v>49.981849670000003</v>
      </c>
      <c r="G1177">
        <v>1252.8591309000001</v>
      </c>
      <c r="H1177">
        <v>1217.6011963000001</v>
      </c>
      <c r="I1177">
        <v>1440.4508057</v>
      </c>
      <c r="J1177">
        <v>1404.2492675999999</v>
      </c>
      <c r="K1177">
        <v>0</v>
      </c>
      <c r="L1177">
        <v>2400</v>
      </c>
      <c r="M1177">
        <v>2400</v>
      </c>
      <c r="N1177">
        <v>0</v>
      </c>
    </row>
    <row r="1178" spans="1:14" x14ac:dyDescent="0.25">
      <c r="A1178">
        <v>719.03205800000001</v>
      </c>
      <c r="B1178" s="1">
        <f>DATE(2012,4,19) + TIME(0,46,9)</f>
        <v>41018.032048611109</v>
      </c>
      <c r="C1178">
        <v>80</v>
      </c>
      <c r="D1178">
        <v>57.571506499999998</v>
      </c>
      <c r="E1178">
        <v>50</v>
      </c>
      <c r="F1178">
        <v>49.981864928999997</v>
      </c>
      <c r="G1178">
        <v>1252.5991211</v>
      </c>
      <c r="H1178">
        <v>1217.2012939000001</v>
      </c>
      <c r="I1178">
        <v>1440.4321289</v>
      </c>
      <c r="J1178">
        <v>1404.2308350000001</v>
      </c>
      <c r="K1178">
        <v>0</v>
      </c>
      <c r="L1178">
        <v>2400</v>
      </c>
      <c r="M1178">
        <v>2400</v>
      </c>
      <c r="N1178">
        <v>0</v>
      </c>
    </row>
    <row r="1179" spans="1:14" x14ac:dyDescent="0.25">
      <c r="A1179">
        <v>719.99085700000001</v>
      </c>
      <c r="B1179" s="1">
        <f>DATE(2012,4,19) + TIME(23,46,50)</f>
        <v>41018.990856481483</v>
      </c>
      <c r="C1179">
        <v>80</v>
      </c>
      <c r="D1179">
        <v>57.345939635999997</v>
      </c>
      <c r="E1179">
        <v>50</v>
      </c>
      <c r="F1179">
        <v>49.981884002999998</v>
      </c>
      <c r="G1179">
        <v>1252.3388672000001</v>
      </c>
      <c r="H1179">
        <v>1216.800293</v>
      </c>
      <c r="I1179">
        <v>1440.4134521000001</v>
      </c>
      <c r="J1179">
        <v>1404.2124022999999</v>
      </c>
      <c r="K1179">
        <v>0</v>
      </c>
      <c r="L1179">
        <v>2400</v>
      </c>
      <c r="M1179">
        <v>2400</v>
      </c>
      <c r="N1179">
        <v>0</v>
      </c>
    </row>
    <row r="1180" spans="1:14" x14ac:dyDescent="0.25">
      <c r="A1180">
        <v>720.949656</v>
      </c>
      <c r="B1180" s="1">
        <f>DATE(2012,4,20) + TIME(22,47,30)</f>
        <v>41019.949652777781</v>
      </c>
      <c r="C1180">
        <v>80</v>
      </c>
      <c r="D1180">
        <v>57.119701384999999</v>
      </c>
      <c r="E1180">
        <v>50</v>
      </c>
      <c r="F1180">
        <v>49.981899261000002</v>
      </c>
      <c r="G1180">
        <v>1252.078125</v>
      </c>
      <c r="H1180">
        <v>1216.3984375</v>
      </c>
      <c r="I1180">
        <v>1440.3948975000001</v>
      </c>
      <c r="J1180">
        <v>1404.1940918</v>
      </c>
      <c r="K1180">
        <v>0</v>
      </c>
      <c r="L1180">
        <v>2400</v>
      </c>
      <c r="M1180">
        <v>2400</v>
      </c>
      <c r="N1180">
        <v>0</v>
      </c>
    </row>
    <row r="1181" spans="1:14" x14ac:dyDescent="0.25">
      <c r="A1181">
        <v>721.90845400000001</v>
      </c>
      <c r="B1181" s="1">
        <f>DATE(2012,4,21) + TIME(21,48,10)</f>
        <v>41020.908449074072</v>
      </c>
      <c r="C1181">
        <v>80</v>
      </c>
      <c r="D1181">
        <v>56.892845154</v>
      </c>
      <c r="E1181">
        <v>50</v>
      </c>
      <c r="F1181">
        <v>49.981918335000003</v>
      </c>
      <c r="G1181">
        <v>1251.8168945</v>
      </c>
      <c r="H1181">
        <v>1215.9954834</v>
      </c>
      <c r="I1181">
        <v>1440.3764647999999</v>
      </c>
      <c r="J1181">
        <v>1404.1757812000001</v>
      </c>
      <c r="K1181">
        <v>0</v>
      </c>
      <c r="L1181">
        <v>2400</v>
      </c>
      <c r="M1181">
        <v>2400</v>
      </c>
      <c r="N1181">
        <v>0</v>
      </c>
    </row>
    <row r="1182" spans="1:14" x14ac:dyDescent="0.25">
      <c r="A1182">
        <v>722.86725300000001</v>
      </c>
      <c r="B1182" s="1">
        <f>DATE(2012,4,22) + TIME(20,48,50)</f>
        <v>41021.867245370369</v>
      </c>
      <c r="C1182">
        <v>80</v>
      </c>
      <c r="D1182">
        <v>56.665401459000002</v>
      </c>
      <c r="E1182">
        <v>50</v>
      </c>
      <c r="F1182">
        <v>49.981933593999997</v>
      </c>
      <c r="G1182">
        <v>1251.5554199000001</v>
      </c>
      <c r="H1182">
        <v>1215.5916748</v>
      </c>
      <c r="I1182">
        <v>1440.3581543</v>
      </c>
      <c r="J1182">
        <v>1404.1575928</v>
      </c>
      <c r="K1182">
        <v>0</v>
      </c>
      <c r="L1182">
        <v>2400</v>
      </c>
      <c r="M1182">
        <v>2400</v>
      </c>
      <c r="N1182">
        <v>0</v>
      </c>
    </row>
    <row r="1183" spans="1:14" x14ac:dyDescent="0.25">
      <c r="A1183">
        <v>723.826052</v>
      </c>
      <c r="B1183" s="1">
        <f>DATE(2012,4,23) + TIME(19,49,30)</f>
        <v>41022.826041666667</v>
      </c>
      <c r="C1183">
        <v>80</v>
      </c>
      <c r="D1183">
        <v>56.437416077000002</v>
      </c>
      <c r="E1183">
        <v>50</v>
      </c>
      <c r="F1183">
        <v>49.981948852999999</v>
      </c>
      <c r="G1183">
        <v>1251.293457</v>
      </c>
      <c r="H1183">
        <v>1215.1870117000001</v>
      </c>
      <c r="I1183">
        <v>1440.3398437999999</v>
      </c>
      <c r="J1183">
        <v>1404.1395264</v>
      </c>
      <c r="K1183">
        <v>0</v>
      </c>
      <c r="L1183">
        <v>2400</v>
      </c>
      <c r="M1183">
        <v>2400</v>
      </c>
      <c r="N1183">
        <v>0</v>
      </c>
    </row>
    <row r="1184" spans="1:14" x14ac:dyDescent="0.25">
      <c r="A1184">
        <v>724.784851</v>
      </c>
      <c r="B1184" s="1">
        <f>DATE(2012,4,24) + TIME(18,50,11)</f>
        <v>41023.784849537034</v>
      </c>
      <c r="C1184">
        <v>80</v>
      </c>
      <c r="D1184">
        <v>56.208934784</v>
      </c>
      <c r="E1184">
        <v>50</v>
      </c>
      <c r="F1184">
        <v>49.981967926000003</v>
      </c>
      <c r="G1184">
        <v>1251.03125</v>
      </c>
      <c r="H1184">
        <v>1214.7813721</v>
      </c>
      <c r="I1184">
        <v>1440.3216553</v>
      </c>
      <c r="J1184">
        <v>1404.1214600000001</v>
      </c>
      <c r="K1184">
        <v>0</v>
      </c>
      <c r="L1184">
        <v>2400</v>
      </c>
      <c r="M1184">
        <v>2400</v>
      </c>
      <c r="N1184">
        <v>0</v>
      </c>
    </row>
    <row r="1185" spans="1:14" x14ac:dyDescent="0.25">
      <c r="A1185">
        <v>725.74365</v>
      </c>
      <c r="B1185" s="1">
        <f>DATE(2012,4,25) + TIME(17,50,51)</f>
        <v>41024.743645833332</v>
      </c>
      <c r="C1185">
        <v>80</v>
      </c>
      <c r="D1185">
        <v>55.979995727999999</v>
      </c>
      <c r="E1185">
        <v>50</v>
      </c>
      <c r="F1185">
        <v>49.981983184999997</v>
      </c>
      <c r="G1185">
        <v>1250.7686768000001</v>
      </c>
      <c r="H1185">
        <v>1214.375</v>
      </c>
      <c r="I1185">
        <v>1440.3034668</v>
      </c>
      <c r="J1185">
        <v>1404.1036377</v>
      </c>
      <c r="K1185">
        <v>0</v>
      </c>
      <c r="L1185">
        <v>2400</v>
      </c>
      <c r="M1185">
        <v>2400</v>
      </c>
      <c r="N1185">
        <v>0</v>
      </c>
    </row>
    <row r="1186" spans="1:14" x14ac:dyDescent="0.25">
      <c r="A1186">
        <v>726.702449</v>
      </c>
      <c r="B1186" s="1">
        <f>DATE(2012,4,26) + TIME(16,51,31)</f>
        <v>41025.70244212963</v>
      </c>
      <c r="C1186">
        <v>80</v>
      </c>
      <c r="D1186">
        <v>55.750637054000002</v>
      </c>
      <c r="E1186">
        <v>50</v>
      </c>
      <c r="F1186">
        <v>49.982002258000001</v>
      </c>
      <c r="G1186">
        <v>1250.5058594</v>
      </c>
      <c r="H1186">
        <v>1213.9677733999999</v>
      </c>
      <c r="I1186">
        <v>1440.2854004000001</v>
      </c>
      <c r="J1186">
        <v>1404.0856934000001</v>
      </c>
      <c r="K1186">
        <v>0</v>
      </c>
      <c r="L1186">
        <v>2400</v>
      </c>
      <c r="M1186">
        <v>2400</v>
      </c>
      <c r="N1186">
        <v>0</v>
      </c>
    </row>
    <row r="1187" spans="1:14" x14ac:dyDescent="0.25">
      <c r="A1187">
        <v>727.661247</v>
      </c>
      <c r="B1187" s="1">
        <f>DATE(2012,4,27) + TIME(15,52,11)</f>
        <v>41026.661238425928</v>
      </c>
      <c r="C1187">
        <v>80</v>
      </c>
      <c r="D1187">
        <v>55.520904541</v>
      </c>
      <c r="E1187">
        <v>50</v>
      </c>
      <c r="F1187">
        <v>49.982017517000003</v>
      </c>
      <c r="G1187">
        <v>1250.2426757999999</v>
      </c>
      <c r="H1187">
        <v>1213.5596923999999</v>
      </c>
      <c r="I1187">
        <v>1440.2674560999999</v>
      </c>
      <c r="J1187">
        <v>1404.0679932</v>
      </c>
      <c r="K1187">
        <v>0</v>
      </c>
      <c r="L1187">
        <v>2400</v>
      </c>
      <c r="M1187">
        <v>2400</v>
      </c>
      <c r="N1187">
        <v>0</v>
      </c>
    </row>
    <row r="1188" spans="1:14" x14ac:dyDescent="0.25">
      <c r="A1188">
        <v>728.620046</v>
      </c>
      <c r="B1188" s="1">
        <f>DATE(2012,4,28) + TIME(14,52,51)</f>
        <v>41027.620034722226</v>
      </c>
      <c r="C1188">
        <v>80</v>
      </c>
      <c r="D1188">
        <v>55.290836333999998</v>
      </c>
      <c r="E1188">
        <v>50</v>
      </c>
      <c r="F1188">
        <v>49.982032775999997</v>
      </c>
      <c r="G1188">
        <v>1249.9793701000001</v>
      </c>
      <c r="H1188">
        <v>1213.151001</v>
      </c>
      <c r="I1188">
        <v>1440.2495117000001</v>
      </c>
      <c r="J1188">
        <v>1404.0501709</v>
      </c>
      <c r="K1188">
        <v>0</v>
      </c>
      <c r="L1188">
        <v>2400</v>
      </c>
      <c r="M1188">
        <v>2400</v>
      </c>
      <c r="N1188">
        <v>0</v>
      </c>
    </row>
    <row r="1189" spans="1:14" x14ac:dyDescent="0.25">
      <c r="A1189">
        <v>729.578845</v>
      </c>
      <c r="B1189" s="1">
        <f>DATE(2012,4,29) + TIME(13,53,32)</f>
        <v>41028.578842592593</v>
      </c>
      <c r="C1189">
        <v>80</v>
      </c>
      <c r="D1189">
        <v>55.060470580999997</v>
      </c>
      <c r="E1189">
        <v>50</v>
      </c>
      <c r="F1189">
        <v>49.982051849000001</v>
      </c>
      <c r="G1189">
        <v>1249.7156981999999</v>
      </c>
      <c r="H1189">
        <v>1212.7414550999999</v>
      </c>
      <c r="I1189">
        <v>1440.2316894999999</v>
      </c>
      <c r="J1189">
        <v>1404.0325928</v>
      </c>
      <c r="K1189">
        <v>0</v>
      </c>
      <c r="L1189">
        <v>2400</v>
      </c>
      <c r="M1189">
        <v>2400</v>
      </c>
      <c r="N1189">
        <v>0</v>
      </c>
    </row>
    <row r="1190" spans="1:14" x14ac:dyDescent="0.25">
      <c r="A1190">
        <v>731</v>
      </c>
      <c r="B1190" s="1">
        <f>DATE(2012,5,1) + TIME(0,0,0)</f>
        <v>41030</v>
      </c>
      <c r="C1190">
        <v>80</v>
      </c>
      <c r="D1190">
        <v>54.805580139</v>
      </c>
      <c r="E1190">
        <v>50</v>
      </c>
      <c r="F1190">
        <v>49.982074738000001</v>
      </c>
      <c r="G1190">
        <v>1249.4567870999999</v>
      </c>
      <c r="H1190">
        <v>1212.3309326000001</v>
      </c>
      <c r="I1190">
        <v>1440.2138672000001</v>
      </c>
      <c r="J1190">
        <v>1404.0150146000001</v>
      </c>
      <c r="K1190">
        <v>0</v>
      </c>
      <c r="L1190">
        <v>2400</v>
      </c>
      <c r="M1190">
        <v>2400</v>
      </c>
      <c r="N1190">
        <v>0</v>
      </c>
    </row>
    <row r="1191" spans="1:14" x14ac:dyDescent="0.25">
      <c r="A1191">
        <v>731.000001</v>
      </c>
      <c r="B1191" s="1">
        <f>DATE(2012,5,1) + TIME(0,0,0)</f>
        <v>41030</v>
      </c>
      <c r="C1191">
        <v>80</v>
      </c>
      <c r="D1191">
        <v>54.805900573999999</v>
      </c>
      <c r="E1191">
        <v>50</v>
      </c>
      <c r="F1191">
        <v>49.981853485000002</v>
      </c>
      <c r="G1191">
        <v>1292.9233397999999</v>
      </c>
      <c r="H1191">
        <v>1251.3936768000001</v>
      </c>
      <c r="I1191">
        <v>1402.2659911999999</v>
      </c>
      <c r="J1191">
        <v>1361.7834473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731.00000399999999</v>
      </c>
      <c r="B1192" s="1">
        <f>DATE(2012,5,1) + TIME(0,0,0)</f>
        <v>41030</v>
      </c>
      <c r="C1192">
        <v>80</v>
      </c>
      <c r="D1192">
        <v>54.806762695000003</v>
      </c>
      <c r="E1192">
        <v>50</v>
      </c>
      <c r="F1192">
        <v>49.981266022</v>
      </c>
      <c r="G1192">
        <v>1297.6311035000001</v>
      </c>
      <c r="H1192">
        <v>1256.4921875</v>
      </c>
      <c r="I1192">
        <v>1397.6013184000001</v>
      </c>
      <c r="J1192">
        <v>1357.1291504000001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731.00001299999997</v>
      </c>
      <c r="B1193" s="1">
        <f>DATE(2012,5,1) + TIME(0,0,1)</f>
        <v>41030.000011574077</v>
      </c>
      <c r="C1193">
        <v>80</v>
      </c>
      <c r="D1193">
        <v>54.808818817000002</v>
      </c>
      <c r="E1193">
        <v>50</v>
      </c>
      <c r="F1193">
        <v>49.979949951000002</v>
      </c>
      <c r="G1193">
        <v>1308.1988524999999</v>
      </c>
      <c r="H1193">
        <v>1267.6450195</v>
      </c>
      <c r="I1193">
        <v>1387.1483154</v>
      </c>
      <c r="J1193">
        <v>1346.7406006000001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731.00004000000001</v>
      </c>
      <c r="B1194" s="1">
        <f>DATE(2012,5,1) + TIME(0,0,3)</f>
        <v>41030.000034722223</v>
      </c>
      <c r="C1194">
        <v>80</v>
      </c>
      <c r="D1194">
        <v>54.812992096000002</v>
      </c>
      <c r="E1194">
        <v>50</v>
      </c>
      <c r="F1194">
        <v>49.977752686000002</v>
      </c>
      <c r="G1194">
        <v>1325.8233643000001</v>
      </c>
      <c r="H1194">
        <v>1285.6948242000001</v>
      </c>
      <c r="I1194">
        <v>1369.755249</v>
      </c>
      <c r="J1194">
        <v>1329.5743408000001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731.00012100000004</v>
      </c>
      <c r="B1195" s="1">
        <f>DATE(2012,5,1) + TIME(0,0,10)</f>
        <v>41030.000115740739</v>
      </c>
      <c r="C1195">
        <v>80</v>
      </c>
      <c r="D1195">
        <v>54.821269989000001</v>
      </c>
      <c r="E1195">
        <v>50</v>
      </c>
      <c r="F1195">
        <v>49.975105286000002</v>
      </c>
      <c r="G1195">
        <v>1347.0676269999999</v>
      </c>
      <c r="H1195">
        <v>1307.1970214999999</v>
      </c>
      <c r="I1195">
        <v>1348.8005370999999</v>
      </c>
      <c r="J1195">
        <v>1309.1313477000001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731.00036399999999</v>
      </c>
      <c r="B1196" s="1">
        <f>DATE(2012,5,1) + TIME(0,0,31)</f>
        <v>41030.000358796293</v>
      </c>
      <c r="C1196">
        <v>80</v>
      </c>
      <c r="D1196">
        <v>54.840373993</v>
      </c>
      <c r="E1196">
        <v>50</v>
      </c>
      <c r="F1196">
        <v>49.972438812</v>
      </c>
      <c r="G1196">
        <v>1368.1990966999999</v>
      </c>
      <c r="H1196">
        <v>1328.8326416</v>
      </c>
      <c r="I1196">
        <v>1327.9111327999999</v>
      </c>
      <c r="J1196">
        <v>1289.1333007999999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731.00109299999997</v>
      </c>
      <c r="B1197" s="1">
        <f>DATE(2012,5,1) + TIME(0,1,34)</f>
        <v>41030.001087962963</v>
      </c>
      <c r="C1197">
        <v>80</v>
      </c>
      <c r="D1197">
        <v>54.890907288000001</v>
      </c>
      <c r="E1197">
        <v>50</v>
      </c>
      <c r="F1197">
        <v>49.969886780000003</v>
      </c>
      <c r="G1197">
        <v>1388.0291748</v>
      </c>
      <c r="H1197">
        <v>1349.4815673999999</v>
      </c>
      <c r="I1197">
        <v>1308.4912108999999</v>
      </c>
      <c r="J1197">
        <v>1270.9050293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731.00328000000002</v>
      </c>
      <c r="B1198" s="1">
        <f>DATE(2012,5,1) + TIME(0,4,43)</f>
        <v>41030.003275462965</v>
      </c>
      <c r="C1198">
        <v>80</v>
      </c>
      <c r="D1198">
        <v>55.033340453999998</v>
      </c>
      <c r="E1198">
        <v>50</v>
      </c>
      <c r="F1198">
        <v>49.967433929000002</v>
      </c>
      <c r="G1198">
        <v>1406.2585449000001</v>
      </c>
      <c r="H1198">
        <v>1368.559082</v>
      </c>
      <c r="I1198">
        <v>1291.5197754000001</v>
      </c>
      <c r="J1198">
        <v>1254.958374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731.00984100000005</v>
      </c>
      <c r="B1199" s="1">
        <f>DATE(2012,5,1) + TIME(0,14,10)</f>
        <v>41030.009837962964</v>
      </c>
      <c r="C1199">
        <v>80</v>
      </c>
      <c r="D1199">
        <v>55.443794250000003</v>
      </c>
      <c r="E1199">
        <v>50</v>
      </c>
      <c r="F1199">
        <v>49.964660645000002</v>
      </c>
      <c r="G1199">
        <v>1422.7183838000001</v>
      </c>
      <c r="H1199">
        <v>1385.6960449000001</v>
      </c>
      <c r="I1199">
        <v>1276.9459228999999</v>
      </c>
      <c r="J1199">
        <v>1240.8535156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731.02075000000002</v>
      </c>
      <c r="B1200" s="1">
        <f>DATE(2012,5,1) + TIME(0,29,52)</f>
        <v>41030.020740740743</v>
      </c>
      <c r="C1200">
        <v>80</v>
      </c>
      <c r="D1200">
        <v>56.103324890000003</v>
      </c>
      <c r="E1200">
        <v>50</v>
      </c>
      <c r="F1200">
        <v>49.961940765000001</v>
      </c>
      <c r="G1200">
        <v>1432.9713135</v>
      </c>
      <c r="H1200">
        <v>1396.4700928</v>
      </c>
      <c r="I1200">
        <v>1267.7171631000001</v>
      </c>
      <c r="J1200">
        <v>1231.7048339999999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731.03186700000003</v>
      </c>
      <c r="B1201" s="1">
        <f>DATE(2012,5,1) + TIME(0,45,53)</f>
        <v>41030.031863425924</v>
      </c>
      <c r="C1201">
        <v>80</v>
      </c>
      <c r="D1201">
        <v>56.755538940000001</v>
      </c>
      <c r="E1201">
        <v>50</v>
      </c>
      <c r="F1201">
        <v>49.959766387999998</v>
      </c>
      <c r="G1201">
        <v>1437.9822998</v>
      </c>
      <c r="H1201">
        <v>1401.9075928</v>
      </c>
      <c r="I1201">
        <v>1263.0649414</v>
      </c>
      <c r="J1201">
        <v>1227.0528564000001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731.043229</v>
      </c>
      <c r="B1202" s="1">
        <f>DATE(2012,5,1) + TIME(1,2,14)</f>
        <v>41030.043217592596</v>
      </c>
      <c r="C1202">
        <v>80</v>
      </c>
      <c r="D1202">
        <v>57.402523041000002</v>
      </c>
      <c r="E1202">
        <v>50</v>
      </c>
      <c r="F1202">
        <v>49.957824707</v>
      </c>
      <c r="G1202">
        <v>1440.6170654</v>
      </c>
      <c r="H1202">
        <v>1404.9514160000001</v>
      </c>
      <c r="I1202">
        <v>1260.5213623</v>
      </c>
      <c r="J1202">
        <v>1224.5023193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731.05484999999999</v>
      </c>
      <c r="B1203" s="1">
        <f>DATE(2012,5,1) + TIME(1,18,59)</f>
        <v>41030.054849537039</v>
      </c>
      <c r="C1203">
        <v>80</v>
      </c>
      <c r="D1203">
        <v>58.044544219999999</v>
      </c>
      <c r="E1203">
        <v>50</v>
      </c>
      <c r="F1203">
        <v>49.956001282000003</v>
      </c>
      <c r="G1203">
        <v>1441.9680175999999</v>
      </c>
      <c r="H1203">
        <v>1406.7037353999999</v>
      </c>
      <c r="I1203">
        <v>1259.1098632999999</v>
      </c>
      <c r="J1203">
        <v>1223.0854492000001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731.06674199999998</v>
      </c>
      <c r="B1204" s="1">
        <f>DATE(2012,5,1) + TIME(1,36,6)</f>
        <v>41030.066736111112</v>
      </c>
      <c r="C1204">
        <v>80</v>
      </c>
      <c r="D1204">
        <v>58.681632995999998</v>
      </c>
      <c r="E1204">
        <v>50</v>
      </c>
      <c r="F1204">
        <v>49.954223632999998</v>
      </c>
      <c r="G1204">
        <v>1442.5689697</v>
      </c>
      <c r="H1204">
        <v>1407.6984863</v>
      </c>
      <c r="I1204">
        <v>1258.3374022999999</v>
      </c>
      <c r="J1204">
        <v>1222.3095702999999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731.07892100000004</v>
      </c>
      <c r="B1205" s="1">
        <f>DATE(2012,5,1) + TIME(1,53,38)</f>
        <v>41030.078912037039</v>
      </c>
      <c r="C1205">
        <v>80</v>
      </c>
      <c r="D1205">
        <v>59.313858031999999</v>
      </c>
      <c r="E1205">
        <v>50</v>
      </c>
      <c r="F1205">
        <v>49.952468871999997</v>
      </c>
      <c r="G1205">
        <v>1442.7167969</v>
      </c>
      <c r="H1205">
        <v>1408.2321777</v>
      </c>
      <c r="I1205">
        <v>1257.9291992000001</v>
      </c>
      <c r="J1205">
        <v>1221.8994141000001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731.09140400000001</v>
      </c>
      <c r="B1206" s="1">
        <f>DATE(2012,5,1) + TIME(2,11,37)</f>
        <v>41030.091400462959</v>
      </c>
      <c r="C1206">
        <v>80</v>
      </c>
      <c r="D1206">
        <v>59.941314697000003</v>
      </c>
      <c r="E1206">
        <v>50</v>
      </c>
      <c r="F1206">
        <v>49.950706482000001</v>
      </c>
      <c r="G1206">
        <v>1442.5876464999999</v>
      </c>
      <c r="H1206">
        <v>1408.4803466999999</v>
      </c>
      <c r="I1206">
        <v>1257.7265625</v>
      </c>
      <c r="J1206">
        <v>1221.6954346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731.10420799999997</v>
      </c>
      <c r="B1207" s="1">
        <f>DATE(2012,5,1) + TIME(2,30,3)</f>
        <v>41030.104201388887</v>
      </c>
      <c r="C1207">
        <v>80</v>
      </c>
      <c r="D1207">
        <v>60.563732147000003</v>
      </c>
      <c r="E1207">
        <v>50</v>
      </c>
      <c r="F1207">
        <v>49.948925017999997</v>
      </c>
      <c r="G1207">
        <v>1442.2890625</v>
      </c>
      <c r="H1207">
        <v>1408.550293</v>
      </c>
      <c r="I1207">
        <v>1257.6370850000001</v>
      </c>
      <c r="J1207">
        <v>1221.6052245999999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731.11735499999998</v>
      </c>
      <c r="B1208" s="1">
        <f>DATE(2012,5,1) + TIME(2,48,59)</f>
        <v>41030.117349537039</v>
      </c>
      <c r="C1208">
        <v>80</v>
      </c>
      <c r="D1208">
        <v>61.181617737000003</v>
      </c>
      <c r="E1208">
        <v>50</v>
      </c>
      <c r="F1208">
        <v>49.947120667</v>
      </c>
      <c r="G1208">
        <v>1441.8874512</v>
      </c>
      <c r="H1208">
        <v>1408.5084228999999</v>
      </c>
      <c r="I1208">
        <v>1257.6075439000001</v>
      </c>
      <c r="J1208">
        <v>1221.5749512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731.13086899999996</v>
      </c>
      <c r="B1209" s="1">
        <f>DATE(2012,5,1) + TIME(3,8,27)</f>
        <v>41030.130868055552</v>
      </c>
      <c r="C1209">
        <v>80</v>
      </c>
      <c r="D1209">
        <v>61.795204163000001</v>
      </c>
      <c r="E1209">
        <v>50</v>
      </c>
      <c r="F1209">
        <v>49.945281981999997</v>
      </c>
      <c r="G1209">
        <v>1441.4241943</v>
      </c>
      <c r="H1209">
        <v>1408.3964844</v>
      </c>
      <c r="I1209">
        <v>1257.6074219</v>
      </c>
      <c r="J1209">
        <v>1221.5744629000001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731.14478099999997</v>
      </c>
      <c r="B1210" s="1">
        <f>DATE(2012,5,1) + TIME(3,28,29)</f>
        <v>41030.144780092596</v>
      </c>
      <c r="C1210">
        <v>80</v>
      </c>
      <c r="D1210">
        <v>62.404865264999998</v>
      </c>
      <c r="E1210">
        <v>50</v>
      </c>
      <c r="F1210">
        <v>49.943405151</v>
      </c>
      <c r="G1210">
        <v>1440.9248047000001</v>
      </c>
      <c r="H1210">
        <v>1408.2403564000001</v>
      </c>
      <c r="I1210">
        <v>1257.6202393000001</v>
      </c>
      <c r="J1210">
        <v>1221.5869141000001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731.15911300000005</v>
      </c>
      <c r="B1211" s="1">
        <f>DATE(2012,5,1) + TIME(3,49,7)</f>
        <v>41030.159108796295</v>
      </c>
      <c r="C1211">
        <v>80</v>
      </c>
      <c r="D1211">
        <v>63.010532378999997</v>
      </c>
      <c r="E1211">
        <v>50</v>
      </c>
      <c r="F1211">
        <v>49.941486359000002</v>
      </c>
      <c r="G1211">
        <v>1440.4058838000001</v>
      </c>
      <c r="H1211">
        <v>1408.0566406</v>
      </c>
      <c r="I1211">
        <v>1257.6369629000001</v>
      </c>
      <c r="J1211">
        <v>1221.6033935999999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731.17389700000001</v>
      </c>
      <c r="B1212" s="1">
        <f>DATE(2012,5,1) + TIME(4,10,24)</f>
        <v>41030.173888888887</v>
      </c>
      <c r="C1212">
        <v>80</v>
      </c>
      <c r="D1212">
        <v>63.612373351999999</v>
      </c>
      <c r="E1212">
        <v>50</v>
      </c>
      <c r="F1212">
        <v>49.939525604000004</v>
      </c>
      <c r="G1212">
        <v>1439.8773193</v>
      </c>
      <c r="H1212">
        <v>1407.8555908000001</v>
      </c>
      <c r="I1212">
        <v>1257.6534423999999</v>
      </c>
      <c r="J1212">
        <v>1221.6195068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731.189167</v>
      </c>
      <c r="B1213" s="1">
        <f>DATE(2012,5,1) + TIME(4,32,24)</f>
        <v>41030.189166666663</v>
      </c>
      <c r="C1213">
        <v>80</v>
      </c>
      <c r="D1213">
        <v>64.210556030000006</v>
      </c>
      <c r="E1213">
        <v>50</v>
      </c>
      <c r="F1213">
        <v>49.937515259000001</v>
      </c>
      <c r="G1213">
        <v>1439.3457031</v>
      </c>
      <c r="H1213">
        <v>1407.6439209</v>
      </c>
      <c r="I1213">
        <v>1257.6677245999999</v>
      </c>
      <c r="J1213">
        <v>1221.6335449000001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731.20496300000002</v>
      </c>
      <c r="B1214" s="1">
        <f>DATE(2012,5,1) + TIME(4,55,8)</f>
        <v>41030.204953703702</v>
      </c>
      <c r="C1214">
        <v>80</v>
      </c>
      <c r="D1214">
        <v>64.805236816000004</v>
      </c>
      <c r="E1214">
        <v>50</v>
      </c>
      <c r="F1214">
        <v>49.935451508</v>
      </c>
      <c r="G1214">
        <v>1438.8149414</v>
      </c>
      <c r="H1214">
        <v>1407.4260254000001</v>
      </c>
      <c r="I1214">
        <v>1257.6793213000001</v>
      </c>
      <c r="J1214">
        <v>1221.6447754000001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731.22132699999997</v>
      </c>
      <c r="B1215" s="1">
        <f>DATE(2012,5,1) + TIME(5,18,42)</f>
        <v>41030.221319444441</v>
      </c>
      <c r="C1215">
        <v>80</v>
      </c>
      <c r="D1215">
        <v>65.396675110000004</v>
      </c>
      <c r="E1215">
        <v>50</v>
      </c>
      <c r="F1215">
        <v>49.933334350999999</v>
      </c>
      <c r="G1215">
        <v>1438.2875977000001</v>
      </c>
      <c r="H1215">
        <v>1407.2047118999999</v>
      </c>
      <c r="I1215">
        <v>1257.6882324000001</v>
      </c>
      <c r="J1215">
        <v>1221.6533202999999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731.23830699999996</v>
      </c>
      <c r="B1216" s="1">
        <f>DATE(2012,5,1) + TIME(5,43,9)</f>
        <v>41030.238298611112</v>
      </c>
      <c r="C1216">
        <v>80</v>
      </c>
      <c r="D1216">
        <v>65.984992981000005</v>
      </c>
      <c r="E1216">
        <v>50</v>
      </c>
      <c r="F1216">
        <v>49.931152343999997</v>
      </c>
      <c r="G1216">
        <v>1437.7651367000001</v>
      </c>
      <c r="H1216">
        <v>1406.9816894999999</v>
      </c>
      <c r="I1216">
        <v>1257.6948242000001</v>
      </c>
      <c r="J1216">
        <v>1221.659668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731.25595799999996</v>
      </c>
      <c r="B1217" s="1">
        <f>DATE(2012,5,1) + TIME(6,8,34)</f>
        <v>41030.255949074075</v>
      </c>
      <c r="C1217">
        <v>80</v>
      </c>
      <c r="D1217">
        <v>66.570289611999996</v>
      </c>
      <c r="E1217">
        <v>50</v>
      </c>
      <c r="F1217">
        <v>49.928905487000002</v>
      </c>
      <c r="G1217">
        <v>1437.2485352000001</v>
      </c>
      <c r="H1217">
        <v>1406.7579346</v>
      </c>
      <c r="I1217">
        <v>1257.6995850000001</v>
      </c>
      <c r="J1217">
        <v>1221.6640625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731.27434200000005</v>
      </c>
      <c r="B1218" s="1">
        <f>DATE(2012,5,1) + TIME(6,35,3)</f>
        <v>41030.274340277778</v>
      </c>
      <c r="C1218">
        <v>80</v>
      </c>
      <c r="D1218">
        <v>67.152732849000003</v>
      </c>
      <c r="E1218">
        <v>50</v>
      </c>
      <c r="F1218">
        <v>49.926582336000003</v>
      </c>
      <c r="G1218">
        <v>1436.7380370999999</v>
      </c>
      <c r="H1218">
        <v>1406.5344238</v>
      </c>
      <c r="I1218">
        <v>1257.7027588000001</v>
      </c>
      <c r="J1218">
        <v>1221.6668701000001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731.29352800000004</v>
      </c>
      <c r="B1219" s="1">
        <f>DATE(2012,5,1) + TIME(7,2,40)</f>
        <v>41030.29351851852</v>
      </c>
      <c r="C1219">
        <v>80</v>
      </c>
      <c r="D1219">
        <v>67.732460021999998</v>
      </c>
      <c r="E1219">
        <v>50</v>
      </c>
      <c r="F1219">
        <v>49.924182891999997</v>
      </c>
      <c r="G1219">
        <v>1436.2341309000001</v>
      </c>
      <c r="H1219">
        <v>1406.3114014</v>
      </c>
      <c r="I1219">
        <v>1257.7048339999999</v>
      </c>
      <c r="J1219">
        <v>1221.6685791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731.31360800000004</v>
      </c>
      <c r="B1220" s="1">
        <f>DATE(2012,5,1) + TIME(7,31,35)</f>
        <v>41030.313599537039</v>
      </c>
      <c r="C1220">
        <v>80</v>
      </c>
      <c r="D1220">
        <v>68.309944153000004</v>
      </c>
      <c r="E1220">
        <v>50</v>
      </c>
      <c r="F1220">
        <v>49.921695708999998</v>
      </c>
      <c r="G1220">
        <v>1435.7363281</v>
      </c>
      <c r="H1220">
        <v>1406.0891113</v>
      </c>
      <c r="I1220">
        <v>1257.7061768000001</v>
      </c>
      <c r="J1220">
        <v>1221.6695557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731.33466699999997</v>
      </c>
      <c r="B1221" s="1">
        <f>DATE(2012,5,1) + TIME(8,1,55)</f>
        <v>41030.334664351853</v>
      </c>
      <c r="C1221">
        <v>80</v>
      </c>
      <c r="D1221">
        <v>68.885101317999997</v>
      </c>
      <c r="E1221">
        <v>50</v>
      </c>
      <c r="F1221">
        <v>49.919109343999999</v>
      </c>
      <c r="G1221">
        <v>1435.2446289</v>
      </c>
      <c r="H1221">
        <v>1405.8675536999999</v>
      </c>
      <c r="I1221">
        <v>1257.7067870999999</v>
      </c>
      <c r="J1221">
        <v>1221.6697998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731.35681</v>
      </c>
      <c r="B1222" s="1">
        <f>DATE(2012,5,1) + TIME(8,33,48)</f>
        <v>41030.356805555559</v>
      </c>
      <c r="C1222">
        <v>80</v>
      </c>
      <c r="D1222">
        <v>69.457992554</v>
      </c>
      <c r="E1222">
        <v>50</v>
      </c>
      <c r="F1222">
        <v>49.916416167999998</v>
      </c>
      <c r="G1222">
        <v>1434.7587891000001</v>
      </c>
      <c r="H1222">
        <v>1405.6466064000001</v>
      </c>
      <c r="I1222">
        <v>1257.7070312000001</v>
      </c>
      <c r="J1222">
        <v>1221.6695557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731.38016000000005</v>
      </c>
      <c r="B1223" s="1">
        <f>DATE(2012,5,1) + TIME(9,7,25)</f>
        <v>41030.380150462966</v>
      </c>
      <c r="C1223">
        <v>80</v>
      </c>
      <c r="D1223">
        <v>70.028717040999993</v>
      </c>
      <c r="E1223">
        <v>50</v>
      </c>
      <c r="F1223">
        <v>49.913608551000003</v>
      </c>
      <c r="G1223">
        <v>1434.2785644999999</v>
      </c>
      <c r="H1223">
        <v>1405.4262695</v>
      </c>
      <c r="I1223">
        <v>1257.7067870999999</v>
      </c>
      <c r="J1223">
        <v>1221.6689452999999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731.40486499999997</v>
      </c>
      <c r="B1224" s="1">
        <f>DATE(2012,5,1) + TIME(9,43,0)</f>
        <v>41030.404861111114</v>
      </c>
      <c r="C1224">
        <v>80</v>
      </c>
      <c r="D1224">
        <v>70.59703064</v>
      </c>
      <c r="E1224">
        <v>50</v>
      </c>
      <c r="F1224">
        <v>49.910663605000003</v>
      </c>
      <c r="G1224">
        <v>1433.8034668</v>
      </c>
      <c r="H1224">
        <v>1405.2061768000001</v>
      </c>
      <c r="I1224">
        <v>1257.7064209</v>
      </c>
      <c r="J1224">
        <v>1221.6680908000001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731.43109400000003</v>
      </c>
      <c r="B1225" s="1">
        <f>DATE(2012,5,1) + TIME(10,20,46)</f>
        <v>41030.431087962963</v>
      </c>
      <c r="C1225">
        <v>80</v>
      </c>
      <c r="D1225">
        <v>71.163330078000001</v>
      </c>
      <c r="E1225">
        <v>50</v>
      </c>
      <c r="F1225">
        <v>49.9075737</v>
      </c>
      <c r="G1225">
        <v>1433.3330077999999</v>
      </c>
      <c r="H1225">
        <v>1404.9860839999999</v>
      </c>
      <c r="I1225">
        <v>1257.7058105000001</v>
      </c>
      <c r="J1225">
        <v>1221.6671143000001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731.45905600000003</v>
      </c>
      <c r="B1226" s="1">
        <f>DATE(2012,5,1) + TIME(11,1,2)</f>
        <v>41030.459050925929</v>
      </c>
      <c r="C1226">
        <v>80</v>
      </c>
      <c r="D1226">
        <v>71.727714539000004</v>
      </c>
      <c r="E1226">
        <v>50</v>
      </c>
      <c r="F1226">
        <v>49.904315947999997</v>
      </c>
      <c r="G1226">
        <v>1432.8666992000001</v>
      </c>
      <c r="H1226">
        <v>1404.765625</v>
      </c>
      <c r="I1226">
        <v>1257.7050781</v>
      </c>
      <c r="J1226">
        <v>1221.6658935999999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731.48900400000002</v>
      </c>
      <c r="B1227" s="1">
        <f>DATE(2012,5,1) + TIME(11,44,9)</f>
        <v>41030.488993055558</v>
      </c>
      <c r="C1227">
        <v>80</v>
      </c>
      <c r="D1227">
        <v>72.290313721000004</v>
      </c>
      <c r="E1227">
        <v>50</v>
      </c>
      <c r="F1227">
        <v>49.900867462000001</v>
      </c>
      <c r="G1227">
        <v>1432.4039307</v>
      </c>
      <c r="H1227">
        <v>1404.5444336</v>
      </c>
      <c r="I1227">
        <v>1257.7042236</v>
      </c>
      <c r="J1227">
        <v>1221.6644286999999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731.52124600000002</v>
      </c>
      <c r="B1228" s="1">
        <f>DATE(2012,5,1) + TIME(12,30,35)</f>
        <v>41030.521238425928</v>
      </c>
      <c r="C1228">
        <v>80</v>
      </c>
      <c r="D1228">
        <v>72.851158142000003</v>
      </c>
      <c r="E1228">
        <v>50</v>
      </c>
      <c r="F1228">
        <v>49.897201537999997</v>
      </c>
      <c r="G1228">
        <v>1431.9438477000001</v>
      </c>
      <c r="H1228">
        <v>1404.3220214999999</v>
      </c>
      <c r="I1228">
        <v>1257.7033690999999</v>
      </c>
      <c r="J1228">
        <v>1221.6629639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731.55616599999996</v>
      </c>
      <c r="B1229" s="1">
        <f>DATE(2012,5,1) + TIME(13,20,52)</f>
        <v>41030.556157407409</v>
      </c>
      <c r="C1229">
        <v>80</v>
      </c>
      <c r="D1229">
        <v>73.410240173000005</v>
      </c>
      <c r="E1229">
        <v>50</v>
      </c>
      <c r="F1229">
        <v>49.893283844000003</v>
      </c>
      <c r="G1229">
        <v>1431.4859618999999</v>
      </c>
      <c r="H1229">
        <v>1404.0976562000001</v>
      </c>
      <c r="I1229">
        <v>1257.7022704999999</v>
      </c>
      <c r="J1229">
        <v>1221.6612548999999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731.59424899999999</v>
      </c>
      <c r="B1230" s="1">
        <f>DATE(2012,5,1) + TIME(14,15,43)</f>
        <v>41030.594247685185</v>
      </c>
      <c r="C1230">
        <v>80</v>
      </c>
      <c r="D1230">
        <v>73.967552185000002</v>
      </c>
      <c r="E1230">
        <v>50</v>
      </c>
      <c r="F1230">
        <v>49.889064789000003</v>
      </c>
      <c r="G1230">
        <v>1431.0291748</v>
      </c>
      <c r="H1230">
        <v>1403.8706055</v>
      </c>
      <c r="I1230">
        <v>1257.7010498</v>
      </c>
      <c r="J1230">
        <v>1221.6594238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731.63614099999995</v>
      </c>
      <c r="B1231" s="1">
        <f>DATE(2012,5,1) + TIME(15,16,2)</f>
        <v>41030.636134259257</v>
      </c>
      <c r="C1231">
        <v>80</v>
      </c>
      <c r="D1231">
        <v>74.523223877000007</v>
      </c>
      <c r="E1231">
        <v>50</v>
      </c>
      <c r="F1231">
        <v>49.884498596</v>
      </c>
      <c r="G1231">
        <v>1430.5725098</v>
      </c>
      <c r="H1231">
        <v>1403.6401367000001</v>
      </c>
      <c r="I1231">
        <v>1257.699707</v>
      </c>
      <c r="J1231">
        <v>1221.6574707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731.68263899999999</v>
      </c>
      <c r="B1232" s="1">
        <f>DATE(2012,5,1) + TIME(16,22,59)</f>
        <v>41030.682627314818</v>
      </c>
      <c r="C1232">
        <v>80</v>
      </c>
      <c r="D1232">
        <v>75.076599121000001</v>
      </c>
      <c r="E1232">
        <v>50</v>
      </c>
      <c r="F1232">
        <v>49.879508971999996</v>
      </c>
      <c r="G1232">
        <v>1430.1147461</v>
      </c>
      <c r="H1232">
        <v>1403.4049072</v>
      </c>
      <c r="I1232">
        <v>1257.6982422000001</v>
      </c>
      <c r="J1232">
        <v>1221.6552733999999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731.73180600000001</v>
      </c>
      <c r="B1233" s="1">
        <f>DATE(2012,5,1) + TIME(17,33,48)</f>
        <v>41030.731805555559</v>
      </c>
      <c r="C1233">
        <v>80</v>
      </c>
      <c r="D1233">
        <v>75.598365783999995</v>
      </c>
      <c r="E1233">
        <v>50</v>
      </c>
      <c r="F1233">
        <v>49.874294280999997</v>
      </c>
      <c r="G1233">
        <v>1429.6749268000001</v>
      </c>
      <c r="H1233">
        <v>1403.1723632999999</v>
      </c>
      <c r="I1233">
        <v>1257.6966553</v>
      </c>
      <c r="J1233">
        <v>1221.652832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731.78111100000001</v>
      </c>
      <c r="B1234" s="1">
        <f>DATE(2012,5,1) + TIME(18,44,48)</f>
        <v>41030.781111111108</v>
      </c>
      <c r="C1234">
        <v>80</v>
      </c>
      <c r="D1234">
        <v>76.065155028999996</v>
      </c>
      <c r="E1234">
        <v>50</v>
      </c>
      <c r="F1234">
        <v>49.869094849</v>
      </c>
      <c r="G1234">
        <v>1429.2711182</v>
      </c>
      <c r="H1234">
        <v>1402.9522704999999</v>
      </c>
      <c r="I1234">
        <v>1257.6948242000001</v>
      </c>
      <c r="J1234">
        <v>1221.6503906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731.83086100000003</v>
      </c>
      <c r="B1235" s="1">
        <f>DATE(2012,5,1) + TIME(19,56,26)</f>
        <v>41030.83085648148</v>
      </c>
      <c r="C1235">
        <v>80</v>
      </c>
      <c r="D1235">
        <v>76.485015868999994</v>
      </c>
      <c r="E1235">
        <v>50</v>
      </c>
      <c r="F1235">
        <v>49.863883971999996</v>
      </c>
      <c r="G1235">
        <v>1428.9011230000001</v>
      </c>
      <c r="H1235">
        <v>1402.7463379000001</v>
      </c>
      <c r="I1235">
        <v>1257.6928711</v>
      </c>
      <c r="J1235">
        <v>1221.6478271000001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731.88123299999995</v>
      </c>
      <c r="B1236" s="1">
        <f>DATE(2012,5,1) + TIME(21,8,58)</f>
        <v>41030.881226851852</v>
      </c>
      <c r="C1236">
        <v>80</v>
      </c>
      <c r="D1236">
        <v>76.863502502000003</v>
      </c>
      <c r="E1236">
        <v>50</v>
      </c>
      <c r="F1236">
        <v>49.858642578000001</v>
      </c>
      <c r="G1236">
        <v>1428.5598144999999</v>
      </c>
      <c r="H1236">
        <v>1402.5523682</v>
      </c>
      <c r="I1236">
        <v>1257.6910399999999</v>
      </c>
      <c r="J1236">
        <v>1221.6452637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731.93240500000002</v>
      </c>
      <c r="B1237" s="1">
        <f>DATE(2012,5,1) + TIME(22,22,39)</f>
        <v>41030.932395833333</v>
      </c>
      <c r="C1237">
        <v>80</v>
      </c>
      <c r="D1237">
        <v>77.205307007000002</v>
      </c>
      <c r="E1237">
        <v>50</v>
      </c>
      <c r="F1237">
        <v>49.853351592999999</v>
      </c>
      <c r="G1237">
        <v>1428.2434082</v>
      </c>
      <c r="H1237">
        <v>1402.3686522999999</v>
      </c>
      <c r="I1237">
        <v>1257.6892089999999</v>
      </c>
      <c r="J1237">
        <v>1221.6427002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731.98455200000001</v>
      </c>
      <c r="B1238" s="1">
        <f>DATE(2012,5,1) + TIME(23,37,45)</f>
        <v>41030.984548611108</v>
      </c>
      <c r="C1238">
        <v>80</v>
      </c>
      <c r="D1238">
        <v>77.514320373999993</v>
      </c>
      <c r="E1238">
        <v>50</v>
      </c>
      <c r="F1238">
        <v>49.847995758000003</v>
      </c>
      <c r="G1238">
        <v>1427.9486084</v>
      </c>
      <c r="H1238">
        <v>1402.1936035000001</v>
      </c>
      <c r="I1238">
        <v>1257.6872559000001</v>
      </c>
      <c r="J1238">
        <v>1221.6401367000001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732.03785300000004</v>
      </c>
      <c r="B1239" s="1">
        <f>DATE(2012,5,2) + TIME(0,54,30)</f>
        <v>41031.037847222222</v>
      </c>
      <c r="C1239">
        <v>80</v>
      </c>
      <c r="D1239">
        <v>77.793869018999999</v>
      </c>
      <c r="E1239">
        <v>50</v>
      </c>
      <c r="F1239">
        <v>49.842559813999998</v>
      </c>
      <c r="G1239">
        <v>1427.6727295000001</v>
      </c>
      <c r="H1239">
        <v>1402.0261230000001</v>
      </c>
      <c r="I1239">
        <v>1257.6853027</v>
      </c>
      <c r="J1239">
        <v>1221.6374512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732.092488</v>
      </c>
      <c r="B1240" s="1">
        <f>DATE(2012,5,2) + TIME(2,13,10)</f>
        <v>41031.092476851853</v>
      </c>
      <c r="C1240">
        <v>80</v>
      </c>
      <c r="D1240">
        <v>78.046806334999999</v>
      </c>
      <c r="E1240">
        <v>50</v>
      </c>
      <c r="F1240">
        <v>49.837024689000003</v>
      </c>
      <c r="G1240">
        <v>1427.4133300999999</v>
      </c>
      <c r="H1240">
        <v>1401.8651123</v>
      </c>
      <c r="I1240">
        <v>1257.6833495999999</v>
      </c>
      <c r="J1240">
        <v>1221.6347656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732.14865099999997</v>
      </c>
      <c r="B1241" s="1">
        <f>DATE(2012,5,2) + TIME(3,34,3)</f>
        <v>41031.148645833331</v>
      </c>
      <c r="C1241">
        <v>80</v>
      </c>
      <c r="D1241">
        <v>78.275581360000004</v>
      </c>
      <c r="E1241">
        <v>50</v>
      </c>
      <c r="F1241">
        <v>49.831371306999998</v>
      </c>
      <c r="G1241">
        <v>1427.1683350000001</v>
      </c>
      <c r="H1241">
        <v>1401.7095947</v>
      </c>
      <c r="I1241">
        <v>1257.6812743999999</v>
      </c>
      <c r="J1241">
        <v>1221.6319579999999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732.206547</v>
      </c>
      <c r="B1242" s="1">
        <f>DATE(2012,5,2) + TIME(4,57,25)</f>
        <v>41031.20653935185</v>
      </c>
      <c r="C1242">
        <v>80</v>
      </c>
      <c r="D1242">
        <v>78.482360839999998</v>
      </c>
      <c r="E1242">
        <v>50</v>
      </c>
      <c r="F1242">
        <v>49.825588226000001</v>
      </c>
      <c r="G1242">
        <v>1426.9362793</v>
      </c>
      <c r="H1242">
        <v>1401.5588379000001</v>
      </c>
      <c r="I1242">
        <v>1257.6791992000001</v>
      </c>
      <c r="J1242">
        <v>1221.6291504000001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732.26639899999998</v>
      </c>
      <c r="B1243" s="1">
        <f>DATE(2012,5,2) + TIME(6,23,36)</f>
        <v>41031.266388888886</v>
      </c>
      <c r="C1243">
        <v>80</v>
      </c>
      <c r="D1243">
        <v>78.669029236</v>
      </c>
      <c r="E1243">
        <v>50</v>
      </c>
      <c r="F1243">
        <v>49.819648743000002</v>
      </c>
      <c r="G1243">
        <v>1426.715332</v>
      </c>
      <c r="H1243">
        <v>1401.4121094</v>
      </c>
      <c r="I1243">
        <v>1257.6770019999999</v>
      </c>
      <c r="J1243">
        <v>1221.6260986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732.32847800000002</v>
      </c>
      <c r="B1244" s="1">
        <f>DATE(2012,5,2) + TIME(7,53,0)</f>
        <v>41031.328472222223</v>
      </c>
      <c r="C1244">
        <v>80</v>
      </c>
      <c r="D1244">
        <v>78.837341308999996</v>
      </c>
      <c r="E1244">
        <v>50</v>
      </c>
      <c r="F1244">
        <v>49.813533782999997</v>
      </c>
      <c r="G1244">
        <v>1426.5042725000001</v>
      </c>
      <c r="H1244">
        <v>1401.2685547000001</v>
      </c>
      <c r="I1244">
        <v>1257.6748047000001</v>
      </c>
      <c r="J1244">
        <v>1221.6230469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732.39305400000001</v>
      </c>
      <c r="B1245" s="1">
        <f>DATE(2012,5,2) + TIME(9,25,59)</f>
        <v>41031.393043981479</v>
      </c>
      <c r="C1245">
        <v>80</v>
      </c>
      <c r="D1245">
        <v>78.988769531000003</v>
      </c>
      <c r="E1245">
        <v>50</v>
      </c>
      <c r="F1245">
        <v>49.807220459</v>
      </c>
      <c r="G1245">
        <v>1426.3017577999999</v>
      </c>
      <c r="H1245">
        <v>1401.1276855000001</v>
      </c>
      <c r="I1245">
        <v>1257.6724853999999</v>
      </c>
      <c r="J1245">
        <v>1221.6198730000001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732.460421</v>
      </c>
      <c r="B1246" s="1">
        <f>DATE(2012,5,2) + TIME(11,3,0)</f>
        <v>41031.460416666669</v>
      </c>
      <c r="C1246">
        <v>80</v>
      </c>
      <c r="D1246">
        <v>79.124618530000006</v>
      </c>
      <c r="E1246">
        <v>50</v>
      </c>
      <c r="F1246">
        <v>49.800682068</v>
      </c>
      <c r="G1246">
        <v>1426.1065673999999</v>
      </c>
      <c r="H1246">
        <v>1400.9888916</v>
      </c>
      <c r="I1246">
        <v>1257.6700439000001</v>
      </c>
      <c r="J1246">
        <v>1221.6165771000001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732.530933</v>
      </c>
      <c r="B1247" s="1">
        <f>DATE(2012,5,2) + TIME(12,44,32)</f>
        <v>41031.530925925923</v>
      </c>
      <c r="C1247">
        <v>80</v>
      </c>
      <c r="D1247">
        <v>79.246131896999998</v>
      </c>
      <c r="E1247">
        <v>50</v>
      </c>
      <c r="F1247">
        <v>49.793888092000003</v>
      </c>
      <c r="G1247">
        <v>1425.9177245999999</v>
      </c>
      <c r="H1247">
        <v>1400.8514404</v>
      </c>
      <c r="I1247">
        <v>1257.6674805</v>
      </c>
      <c r="J1247">
        <v>1221.6131591999999</v>
      </c>
      <c r="K1247">
        <v>2400</v>
      </c>
      <c r="L1247">
        <v>0</v>
      </c>
      <c r="M1247">
        <v>0</v>
      </c>
      <c r="N1247">
        <v>2400</v>
      </c>
    </row>
    <row r="1248" spans="1:14" x14ac:dyDescent="0.25">
      <c r="A1248">
        <v>732.60499700000003</v>
      </c>
      <c r="B1248" s="1">
        <f>DATE(2012,5,2) + TIME(14,31,11)</f>
        <v>41031.604988425926</v>
      </c>
      <c r="C1248">
        <v>80</v>
      </c>
      <c r="D1248">
        <v>79.354438782000003</v>
      </c>
      <c r="E1248">
        <v>50</v>
      </c>
      <c r="F1248">
        <v>49.786811829000001</v>
      </c>
      <c r="G1248">
        <v>1425.7342529</v>
      </c>
      <c r="H1248">
        <v>1400.7149658000001</v>
      </c>
      <c r="I1248">
        <v>1257.6647949000001</v>
      </c>
      <c r="J1248">
        <v>1221.6094971</v>
      </c>
      <c r="K1248">
        <v>2400</v>
      </c>
      <c r="L1248">
        <v>0</v>
      </c>
      <c r="M1248">
        <v>0</v>
      </c>
      <c r="N1248">
        <v>2400</v>
      </c>
    </row>
    <row r="1249" spans="1:14" x14ac:dyDescent="0.25">
      <c r="A1249">
        <v>732.68308100000002</v>
      </c>
      <c r="B1249" s="1">
        <f>DATE(2012,5,2) + TIME(16,23,38)</f>
        <v>41031.683078703703</v>
      </c>
      <c r="C1249">
        <v>80</v>
      </c>
      <c r="D1249">
        <v>79.450553893999995</v>
      </c>
      <c r="E1249">
        <v>50</v>
      </c>
      <c r="F1249">
        <v>49.779411316000001</v>
      </c>
      <c r="G1249">
        <v>1425.5550536999999</v>
      </c>
      <c r="H1249">
        <v>1400.5788574000001</v>
      </c>
      <c r="I1249">
        <v>1257.6619873</v>
      </c>
      <c r="J1249">
        <v>1221.6057129000001</v>
      </c>
      <c r="K1249">
        <v>2400</v>
      </c>
      <c r="L1249">
        <v>0</v>
      </c>
      <c r="M1249">
        <v>0</v>
      </c>
      <c r="N1249">
        <v>2400</v>
      </c>
    </row>
    <row r="1250" spans="1:14" x14ac:dyDescent="0.25">
      <c r="A1250">
        <v>732.76573800000006</v>
      </c>
      <c r="B1250" s="1">
        <f>DATE(2012,5,2) + TIME(18,22,39)</f>
        <v>41031.765729166669</v>
      </c>
      <c r="C1250">
        <v>80</v>
      </c>
      <c r="D1250">
        <v>79.535430907999995</v>
      </c>
      <c r="E1250">
        <v>50</v>
      </c>
      <c r="F1250">
        <v>49.771640777999998</v>
      </c>
      <c r="G1250">
        <v>1425.3791504000001</v>
      </c>
      <c r="H1250">
        <v>1400.4425048999999</v>
      </c>
      <c r="I1250">
        <v>1257.6589355000001</v>
      </c>
      <c r="J1250">
        <v>1221.6016846</v>
      </c>
      <c r="K1250">
        <v>2400</v>
      </c>
      <c r="L1250">
        <v>0</v>
      </c>
      <c r="M1250">
        <v>0</v>
      </c>
      <c r="N1250">
        <v>2400</v>
      </c>
    </row>
    <row r="1251" spans="1:14" x14ac:dyDescent="0.25">
      <c r="A1251">
        <v>732.85341500000004</v>
      </c>
      <c r="B1251" s="1">
        <f>DATE(2012,5,2) + TIME(20,28,55)</f>
        <v>41031.853414351855</v>
      </c>
      <c r="C1251">
        <v>80</v>
      </c>
      <c r="D1251">
        <v>79.609817504999995</v>
      </c>
      <c r="E1251">
        <v>50</v>
      </c>
      <c r="F1251">
        <v>49.763469696000001</v>
      </c>
      <c r="G1251">
        <v>1425.2058105000001</v>
      </c>
      <c r="H1251">
        <v>1400.3051757999999</v>
      </c>
      <c r="I1251">
        <v>1257.6557617000001</v>
      </c>
      <c r="J1251">
        <v>1221.5974120999999</v>
      </c>
      <c r="K1251">
        <v>2400</v>
      </c>
      <c r="L1251">
        <v>0</v>
      </c>
      <c r="M1251">
        <v>0</v>
      </c>
      <c r="N1251">
        <v>2400</v>
      </c>
    </row>
    <row r="1252" spans="1:14" x14ac:dyDescent="0.25">
      <c r="A1252">
        <v>732.94613500000003</v>
      </c>
      <c r="B1252" s="1">
        <f>DATE(2012,5,2) + TIME(22,42,26)</f>
        <v>41031.946134259262</v>
      </c>
      <c r="C1252">
        <v>80</v>
      </c>
      <c r="D1252">
        <v>79.674186707000004</v>
      </c>
      <c r="E1252">
        <v>50</v>
      </c>
      <c r="F1252">
        <v>49.754898071</v>
      </c>
      <c r="G1252">
        <v>1425.0344238</v>
      </c>
      <c r="H1252">
        <v>1400.1668701000001</v>
      </c>
      <c r="I1252">
        <v>1257.6523437999999</v>
      </c>
      <c r="J1252">
        <v>1221.5930175999999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733.04467099999999</v>
      </c>
      <c r="B1253" s="1">
        <f>DATE(2012,5,3) + TIME(1,4,19)</f>
        <v>41032.044664351852</v>
      </c>
      <c r="C1253">
        <v>80</v>
      </c>
      <c r="D1253">
        <v>79.729553222999996</v>
      </c>
      <c r="E1253">
        <v>50</v>
      </c>
      <c r="F1253">
        <v>49.745857239000003</v>
      </c>
      <c r="G1253">
        <v>1424.8649902</v>
      </c>
      <c r="H1253">
        <v>1400.0275879000001</v>
      </c>
      <c r="I1253">
        <v>1257.6488036999999</v>
      </c>
      <c r="J1253">
        <v>1221.5881348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733.14988500000004</v>
      </c>
      <c r="B1254" s="1">
        <f>DATE(2012,5,3) + TIME(3,35,50)</f>
        <v>41032.149884259263</v>
      </c>
      <c r="C1254">
        <v>80</v>
      </c>
      <c r="D1254">
        <v>79.776817321999999</v>
      </c>
      <c r="E1254">
        <v>50</v>
      </c>
      <c r="F1254">
        <v>49.736289978000002</v>
      </c>
      <c r="G1254">
        <v>1424.6964111</v>
      </c>
      <c r="H1254">
        <v>1399.8867187999999</v>
      </c>
      <c r="I1254">
        <v>1257.6450195</v>
      </c>
      <c r="J1254">
        <v>1221.5831298999999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733.26283000000001</v>
      </c>
      <c r="B1255" s="1">
        <f>DATE(2012,5,3) + TIME(6,18,28)</f>
        <v>41032.262824074074</v>
      </c>
      <c r="C1255">
        <v>80</v>
      </c>
      <c r="D1255">
        <v>79.816810607999997</v>
      </c>
      <c r="E1255">
        <v>50</v>
      </c>
      <c r="F1255">
        <v>49.726119994999998</v>
      </c>
      <c r="G1255">
        <v>1424.5275879000001</v>
      </c>
      <c r="H1255">
        <v>1399.7435303</v>
      </c>
      <c r="I1255">
        <v>1257.6408690999999</v>
      </c>
      <c r="J1255">
        <v>1221.5776367000001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733.37632199999996</v>
      </c>
      <c r="B1256" s="1">
        <f>DATE(2012,5,3) + TIME(9,1,54)</f>
        <v>41032.376319444447</v>
      </c>
      <c r="C1256">
        <v>80</v>
      </c>
      <c r="D1256">
        <v>79.848472595000004</v>
      </c>
      <c r="E1256">
        <v>50</v>
      </c>
      <c r="F1256">
        <v>49.715847015000001</v>
      </c>
      <c r="G1256">
        <v>1424.3586425999999</v>
      </c>
      <c r="H1256">
        <v>1399.5977783000001</v>
      </c>
      <c r="I1256">
        <v>1257.6363524999999</v>
      </c>
      <c r="J1256">
        <v>1221.5718993999999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733.49024699999995</v>
      </c>
      <c r="B1257" s="1">
        <f>DATE(2012,5,3) + TIME(11,45,57)</f>
        <v>41032.490243055552</v>
      </c>
      <c r="C1257">
        <v>80</v>
      </c>
      <c r="D1257">
        <v>79.873519896999994</v>
      </c>
      <c r="E1257">
        <v>50</v>
      </c>
      <c r="F1257">
        <v>49.705501556000002</v>
      </c>
      <c r="G1257">
        <v>1424.1986084</v>
      </c>
      <c r="H1257">
        <v>1399.4580077999999</v>
      </c>
      <c r="I1257">
        <v>1257.6318358999999</v>
      </c>
      <c r="J1257">
        <v>1221.5661620999999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733.60505799999999</v>
      </c>
      <c r="B1258" s="1">
        <f>DATE(2012,5,3) + TIME(14,31,17)</f>
        <v>41032.605057870373</v>
      </c>
      <c r="C1258">
        <v>80</v>
      </c>
      <c r="D1258">
        <v>79.893386840999995</v>
      </c>
      <c r="E1258">
        <v>50</v>
      </c>
      <c r="F1258">
        <v>49.695072174000003</v>
      </c>
      <c r="G1258">
        <v>1424.0463867000001</v>
      </c>
      <c r="H1258">
        <v>1399.3239745999999</v>
      </c>
      <c r="I1258">
        <v>1257.6273193</v>
      </c>
      <c r="J1258">
        <v>1221.5603027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733.72117600000001</v>
      </c>
      <c r="B1259" s="1">
        <f>DATE(2012,5,3) + TIME(17,18,29)</f>
        <v>41032.721168981479</v>
      </c>
      <c r="C1259">
        <v>80</v>
      </c>
      <c r="D1259">
        <v>79.909179687999995</v>
      </c>
      <c r="E1259">
        <v>50</v>
      </c>
      <c r="F1259">
        <v>49.684532165999997</v>
      </c>
      <c r="G1259">
        <v>1423.9007568</v>
      </c>
      <c r="H1259">
        <v>1399.1947021000001</v>
      </c>
      <c r="I1259">
        <v>1257.6226807</v>
      </c>
      <c r="J1259">
        <v>1221.5544434000001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733.83900600000004</v>
      </c>
      <c r="B1260" s="1">
        <f>DATE(2012,5,3) + TIME(20,8,10)</f>
        <v>41032.839004629626</v>
      </c>
      <c r="C1260">
        <v>80</v>
      </c>
      <c r="D1260">
        <v>79.921752929999997</v>
      </c>
      <c r="E1260">
        <v>50</v>
      </c>
      <c r="F1260">
        <v>49.673858643000003</v>
      </c>
      <c r="G1260">
        <v>1423.7604980000001</v>
      </c>
      <c r="H1260">
        <v>1399.0693358999999</v>
      </c>
      <c r="I1260">
        <v>1257.6180420000001</v>
      </c>
      <c r="J1260">
        <v>1221.5484618999999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733.95895199999995</v>
      </c>
      <c r="B1261" s="1">
        <f>DATE(2012,5,3) + TIME(23,0,53)</f>
        <v>41032.95894675926</v>
      </c>
      <c r="C1261">
        <v>80</v>
      </c>
      <c r="D1261">
        <v>79.931770325000002</v>
      </c>
      <c r="E1261">
        <v>50</v>
      </c>
      <c r="F1261">
        <v>49.663036345999998</v>
      </c>
      <c r="G1261">
        <v>1423.6246338000001</v>
      </c>
      <c r="H1261">
        <v>1398.9471435999999</v>
      </c>
      <c r="I1261">
        <v>1257.6134033000001</v>
      </c>
      <c r="J1261">
        <v>1221.5423584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734.08142299999997</v>
      </c>
      <c r="B1262" s="1">
        <f>DATE(2012,5,4) + TIME(1,57,14)</f>
        <v>41033.081412037034</v>
      </c>
      <c r="C1262">
        <v>80</v>
      </c>
      <c r="D1262">
        <v>79.939743042000003</v>
      </c>
      <c r="E1262">
        <v>50</v>
      </c>
      <c r="F1262">
        <v>49.652030945</v>
      </c>
      <c r="G1262">
        <v>1423.4924315999999</v>
      </c>
      <c r="H1262">
        <v>1398.8277588000001</v>
      </c>
      <c r="I1262">
        <v>1257.6086425999999</v>
      </c>
      <c r="J1262">
        <v>1221.5361327999999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734.20684800000004</v>
      </c>
      <c r="B1263" s="1">
        <f>DATE(2012,5,4) + TIME(4,57,51)</f>
        <v>41033.20684027778</v>
      </c>
      <c r="C1263">
        <v>80</v>
      </c>
      <c r="D1263">
        <v>79.946083068999997</v>
      </c>
      <c r="E1263">
        <v>50</v>
      </c>
      <c r="F1263">
        <v>49.640815734999997</v>
      </c>
      <c r="G1263">
        <v>1423.3631591999999</v>
      </c>
      <c r="H1263">
        <v>1398.7104492000001</v>
      </c>
      <c r="I1263">
        <v>1257.6037598</v>
      </c>
      <c r="J1263">
        <v>1221.5297852000001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734.335691</v>
      </c>
      <c r="B1264" s="1">
        <f>DATE(2012,5,4) + TIME(8,3,23)</f>
        <v>41033.335682870369</v>
      </c>
      <c r="C1264">
        <v>80</v>
      </c>
      <c r="D1264">
        <v>79.951133728000002</v>
      </c>
      <c r="E1264">
        <v>50</v>
      </c>
      <c r="F1264">
        <v>49.629356383999998</v>
      </c>
      <c r="G1264">
        <v>1423.2362060999999</v>
      </c>
      <c r="H1264">
        <v>1398.5947266000001</v>
      </c>
      <c r="I1264">
        <v>1257.5987548999999</v>
      </c>
      <c r="J1264">
        <v>1221.5233154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734.468525</v>
      </c>
      <c r="B1265" s="1">
        <f>DATE(2012,5,4) + TIME(11,14,40)</f>
        <v>41033.468518518515</v>
      </c>
      <c r="C1265">
        <v>80</v>
      </c>
      <c r="D1265">
        <v>79.955139160000002</v>
      </c>
      <c r="E1265">
        <v>50</v>
      </c>
      <c r="F1265">
        <v>49.617618561</v>
      </c>
      <c r="G1265">
        <v>1423.1110839999999</v>
      </c>
      <c r="H1265">
        <v>1398.4803466999999</v>
      </c>
      <c r="I1265">
        <v>1257.5936279</v>
      </c>
      <c r="J1265">
        <v>1221.5167236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734.60582599999998</v>
      </c>
      <c r="B1266" s="1">
        <f>DATE(2012,5,4) + TIME(14,32,23)</f>
        <v>41033.605821759258</v>
      </c>
      <c r="C1266">
        <v>80</v>
      </c>
      <c r="D1266">
        <v>79.958312988000003</v>
      </c>
      <c r="E1266">
        <v>50</v>
      </c>
      <c r="F1266">
        <v>49.605560302999997</v>
      </c>
      <c r="G1266">
        <v>1422.9871826000001</v>
      </c>
      <c r="H1266">
        <v>1398.3666992000001</v>
      </c>
      <c r="I1266">
        <v>1257.5882568</v>
      </c>
      <c r="J1266">
        <v>1221.5098877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734.74820999999997</v>
      </c>
      <c r="B1267" s="1">
        <f>DATE(2012,5,4) + TIME(17,57,25)</f>
        <v>41033.748206018521</v>
      </c>
      <c r="C1267">
        <v>80</v>
      </c>
      <c r="D1267">
        <v>79.960823059000006</v>
      </c>
      <c r="E1267">
        <v>50</v>
      </c>
      <c r="F1267">
        <v>49.593139647999998</v>
      </c>
      <c r="G1267">
        <v>1422.8641356999999</v>
      </c>
      <c r="H1267">
        <v>1398.2535399999999</v>
      </c>
      <c r="I1267">
        <v>1257.5827637</v>
      </c>
      <c r="J1267">
        <v>1221.5026855000001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734.89637900000002</v>
      </c>
      <c r="B1268" s="1">
        <f>DATE(2012,5,4) + TIME(21,30,47)</f>
        <v>41033.896377314813</v>
      </c>
      <c r="C1268">
        <v>80</v>
      </c>
      <c r="D1268">
        <v>79.962806701999995</v>
      </c>
      <c r="E1268">
        <v>50</v>
      </c>
      <c r="F1268">
        <v>49.580307007000002</v>
      </c>
      <c r="G1268">
        <v>1422.7413329999999</v>
      </c>
      <c r="H1268">
        <v>1398.1403809000001</v>
      </c>
      <c r="I1268">
        <v>1257.5771483999999</v>
      </c>
      <c r="J1268">
        <v>1221.4953613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735.05113700000004</v>
      </c>
      <c r="B1269" s="1">
        <f>DATE(2012,5,5) + TIME(1,13,38)</f>
        <v>41034.051134259258</v>
      </c>
      <c r="C1269">
        <v>80</v>
      </c>
      <c r="D1269">
        <v>79.964370728000006</v>
      </c>
      <c r="E1269">
        <v>50</v>
      </c>
      <c r="F1269">
        <v>49.567005156999997</v>
      </c>
      <c r="G1269">
        <v>1422.6185303</v>
      </c>
      <c r="H1269">
        <v>1398.0269774999999</v>
      </c>
      <c r="I1269">
        <v>1257.5711670000001</v>
      </c>
      <c r="J1269">
        <v>1221.4876709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735.21298300000001</v>
      </c>
      <c r="B1270" s="1">
        <f>DATE(2012,5,5) + TIME(5,6,41)</f>
        <v>41034.21297453704</v>
      </c>
      <c r="C1270">
        <v>80</v>
      </c>
      <c r="D1270">
        <v>79.965591431000007</v>
      </c>
      <c r="E1270">
        <v>50</v>
      </c>
      <c r="F1270">
        <v>49.553195952999999</v>
      </c>
      <c r="G1270">
        <v>1422.4952393000001</v>
      </c>
      <c r="H1270">
        <v>1397.9129639</v>
      </c>
      <c r="I1270">
        <v>1257.5649414</v>
      </c>
      <c r="J1270">
        <v>1221.4797363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735.38281500000005</v>
      </c>
      <c r="B1271" s="1">
        <f>DATE(2012,5,5) + TIME(9,11,15)</f>
        <v>41034.3828125</v>
      </c>
      <c r="C1271">
        <v>80</v>
      </c>
      <c r="D1271">
        <v>79.966552734000004</v>
      </c>
      <c r="E1271">
        <v>50</v>
      </c>
      <c r="F1271">
        <v>49.538814545000001</v>
      </c>
      <c r="G1271">
        <v>1422.3712158000001</v>
      </c>
      <c r="H1271">
        <v>1397.7979736</v>
      </c>
      <c r="I1271">
        <v>1257.5584716999999</v>
      </c>
      <c r="J1271">
        <v>1221.4713135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735.56185200000004</v>
      </c>
      <c r="B1272" s="1">
        <f>DATE(2012,5,5) + TIME(13,29,4)</f>
        <v>41034.561851851853</v>
      </c>
      <c r="C1272">
        <v>80</v>
      </c>
      <c r="D1272">
        <v>79.967308044000006</v>
      </c>
      <c r="E1272">
        <v>50</v>
      </c>
      <c r="F1272">
        <v>49.523780823000003</v>
      </c>
      <c r="G1272">
        <v>1422.2460937999999</v>
      </c>
      <c r="H1272">
        <v>1397.6818848</v>
      </c>
      <c r="I1272">
        <v>1257.5516356999999</v>
      </c>
      <c r="J1272">
        <v>1221.4625243999999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735.75103000000001</v>
      </c>
      <c r="B1273" s="1">
        <f>DATE(2012,5,5) + TIME(18,1,29)</f>
        <v>41034.751030092593</v>
      </c>
      <c r="C1273">
        <v>80</v>
      </c>
      <c r="D1273">
        <v>79.967895507999998</v>
      </c>
      <c r="E1273">
        <v>50</v>
      </c>
      <c r="F1273">
        <v>49.508022308000001</v>
      </c>
      <c r="G1273">
        <v>1422.1193848</v>
      </c>
      <c r="H1273">
        <v>1397.5639647999999</v>
      </c>
      <c r="I1273">
        <v>1257.5444336</v>
      </c>
      <c r="J1273">
        <v>1221.4532471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735.949567</v>
      </c>
      <c r="B1274" s="1">
        <f>DATE(2012,5,5) + TIME(22,47,22)</f>
        <v>41034.949560185189</v>
      </c>
      <c r="C1274">
        <v>80</v>
      </c>
      <c r="D1274">
        <v>79.968353270999998</v>
      </c>
      <c r="E1274">
        <v>50</v>
      </c>
      <c r="F1274">
        <v>49.491573334000002</v>
      </c>
      <c r="G1274">
        <v>1421.9907227000001</v>
      </c>
      <c r="H1274">
        <v>1397.4443358999999</v>
      </c>
      <c r="I1274">
        <v>1257.5367432</v>
      </c>
      <c r="J1274">
        <v>1221.4433594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736.14870199999996</v>
      </c>
      <c r="B1275" s="1">
        <f>DATE(2012,5,6) + TIME(3,34,7)</f>
        <v>41035.148692129631</v>
      </c>
      <c r="C1275">
        <v>80</v>
      </c>
      <c r="D1275">
        <v>79.968696593999994</v>
      </c>
      <c r="E1275">
        <v>50</v>
      </c>
      <c r="F1275">
        <v>49.474925995</v>
      </c>
      <c r="G1275">
        <v>1421.8612060999999</v>
      </c>
      <c r="H1275">
        <v>1397.3234863</v>
      </c>
      <c r="I1275">
        <v>1257.5285644999999</v>
      </c>
      <c r="J1275">
        <v>1221.4332274999999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736.34857099999999</v>
      </c>
      <c r="B1276" s="1">
        <f>DATE(2012,5,6) + TIME(8,21,56)</f>
        <v>41035.348564814813</v>
      </c>
      <c r="C1276">
        <v>80</v>
      </c>
      <c r="D1276">
        <v>79.968955993999998</v>
      </c>
      <c r="E1276">
        <v>50</v>
      </c>
      <c r="F1276">
        <v>49.458148956000002</v>
      </c>
      <c r="G1276">
        <v>1421.7365723</v>
      </c>
      <c r="H1276">
        <v>1397.2070312000001</v>
      </c>
      <c r="I1276">
        <v>1257.5203856999999</v>
      </c>
      <c r="J1276">
        <v>1221.4228516000001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736.54994299999998</v>
      </c>
      <c r="B1277" s="1">
        <f>DATE(2012,5,6) + TIME(13,11,55)</f>
        <v>41035.549942129626</v>
      </c>
      <c r="C1277">
        <v>80</v>
      </c>
      <c r="D1277">
        <v>79.969161987000007</v>
      </c>
      <c r="E1277">
        <v>50</v>
      </c>
      <c r="F1277">
        <v>49.441234588999997</v>
      </c>
      <c r="G1277">
        <v>1421.6162108999999</v>
      </c>
      <c r="H1277">
        <v>1397.0944824000001</v>
      </c>
      <c r="I1277">
        <v>1257.512207</v>
      </c>
      <c r="J1277">
        <v>1221.4124756000001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736.75355300000001</v>
      </c>
      <c r="B1278" s="1">
        <f>DATE(2012,5,6) + TIME(18,5,7)</f>
        <v>41035.753553240742</v>
      </c>
      <c r="C1278">
        <v>80</v>
      </c>
      <c r="D1278">
        <v>79.969314574999999</v>
      </c>
      <c r="E1278">
        <v>50</v>
      </c>
      <c r="F1278">
        <v>49.424171448000003</v>
      </c>
      <c r="G1278">
        <v>1421.4995117000001</v>
      </c>
      <c r="H1278">
        <v>1396.9853516000001</v>
      </c>
      <c r="I1278">
        <v>1257.5039062000001</v>
      </c>
      <c r="J1278">
        <v>1221.4019774999999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736.96012599999995</v>
      </c>
      <c r="B1279" s="1">
        <f>DATE(2012,5,6) + TIME(23,2,34)</f>
        <v>41035.960115740738</v>
      </c>
      <c r="C1279">
        <v>80</v>
      </c>
      <c r="D1279">
        <v>79.969444275000001</v>
      </c>
      <c r="E1279">
        <v>50</v>
      </c>
      <c r="F1279">
        <v>49.406932830999999</v>
      </c>
      <c r="G1279">
        <v>1421.3858643000001</v>
      </c>
      <c r="H1279">
        <v>1396.8787841999999</v>
      </c>
      <c r="I1279">
        <v>1257.4956055</v>
      </c>
      <c r="J1279">
        <v>1221.3913574000001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737.17039</v>
      </c>
      <c r="B1280" s="1">
        <f>DATE(2012,5,7) + TIME(4,5,21)</f>
        <v>41036.170381944445</v>
      </c>
      <c r="C1280">
        <v>80</v>
      </c>
      <c r="D1280">
        <v>79.969543457</v>
      </c>
      <c r="E1280">
        <v>50</v>
      </c>
      <c r="F1280">
        <v>49.389476776000002</v>
      </c>
      <c r="G1280">
        <v>1421.2745361</v>
      </c>
      <c r="H1280">
        <v>1396.7744141000001</v>
      </c>
      <c r="I1280">
        <v>1257.4871826000001</v>
      </c>
      <c r="J1280">
        <v>1221.3806152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737.38510299999996</v>
      </c>
      <c r="B1281" s="1">
        <f>DATE(2012,5,7) + TIME(9,14,32)</f>
        <v>41036.385092592594</v>
      </c>
      <c r="C1281">
        <v>80</v>
      </c>
      <c r="D1281">
        <v>79.969619750999996</v>
      </c>
      <c r="E1281">
        <v>50</v>
      </c>
      <c r="F1281">
        <v>49.371761321999998</v>
      </c>
      <c r="G1281">
        <v>1421.1652832</v>
      </c>
      <c r="H1281">
        <v>1396.6717529</v>
      </c>
      <c r="I1281">
        <v>1257.4785156</v>
      </c>
      <c r="J1281">
        <v>1221.3696289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737.60514799999999</v>
      </c>
      <c r="B1282" s="1">
        <f>DATE(2012,5,7) + TIME(14,31,24)</f>
        <v>41036.605138888888</v>
      </c>
      <c r="C1282">
        <v>80</v>
      </c>
      <c r="D1282">
        <v>79.969688415999997</v>
      </c>
      <c r="E1282">
        <v>50</v>
      </c>
      <c r="F1282">
        <v>49.353729248</v>
      </c>
      <c r="G1282">
        <v>1421.0576172000001</v>
      </c>
      <c r="H1282">
        <v>1396.5705565999999</v>
      </c>
      <c r="I1282">
        <v>1257.4697266000001</v>
      </c>
      <c r="J1282">
        <v>1221.3583983999999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737.83139400000005</v>
      </c>
      <c r="B1283" s="1">
        <f>DATE(2012,5,7) + TIME(19,57,12)</f>
        <v>41036.831388888888</v>
      </c>
      <c r="C1283">
        <v>80</v>
      </c>
      <c r="D1283">
        <v>79.969741821</v>
      </c>
      <c r="E1283">
        <v>50</v>
      </c>
      <c r="F1283">
        <v>49.335323334000002</v>
      </c>
      <c r="G1283">
        <v>1420.9509277</v>
      </c>
      <c r="H1283">
        <v>1396.4700928</v>
      </c>
      <c r="I1283">
        <v>1257.4606934000001</v>
      </c>
      <c r="J1283">
        <v>1221.3468018000001</v>
      </c>
      <c r="K1283">
        <v>2400</v>
      </c>
      <c r="L1283">
        <v>0</v>
      </c>
      <c r="M1283">
        <v>0</v>
      </c>
      <c r="N1283">
        <v>2400</v>
      </c>
    </row>
    <row r="1284" spans="1:14" x14ac:dyDescent="0.25">
      <c r="A1284">
        <v>738.06472900000006</v>
      </c>
      <c r="B1284" s="1">
        <f>DATE(2012,5,8) + TIME(1,33,12)</f>
        <v>41037.064722222225</v>
      </c>
      <c r="C1284">
        <v>80</v>
      </c>
      <c r="D1284">
        <v>79.969779967999997</v>
      </c>
      <c r="E1284">
        <v>50</v>
      </c>
      <c r="F1284">
        <v>49.316482544000003</v>
      </c>
      <c r="G1284">
        <v>1420.8448486</v>
      </c>
      <c r="H1284">
        <v>1396.3702393000001</v>
      </c>
      <c r="I1284">
        <v>1257.4512939000001</v>
      </c>
      <c r="J1284">
        <v>1221.3349608999999</v>
      </c>
      <c r="K1284">
        <v>2400</v>
      </c>
      <c r="L1284">
        <v>0</v>
      </c>
      <c r="M1284">
        <v>0</v>
      </c>
      <c r="N1284">
        <v>2400</v>
      </c>
    </row>
    <row r="1285" spans="1:14" x14ac:dyDescent="0.25">
      <c r="A1285">
        <v>738.30564200000003</v>
      </c>
      <c r="B1285" s="1">
        <f>DATE(2012,5,8) + TIME(7,20,7)</f>
        <v>41037.305636574078</v>
      </c>
      <c r="C1285">
        <v>80</v>
      </c>
      <c r="D1285">
        <v>79.969818114999995</v>
      </c>
      <c r="E1285">
        <v>50</v>
      </c>
      <c r="F1285">
        <v>49.297168732000003</v>
      </c>
      <c r="G1285">
        <v>1420.7392577999999</v>
      </c>
      <c r="H1285">
        <v>1396.2706298999999</v>
      </c>
      <c r="I1285">
        <v>1257.4416504000001</v>
      </c>
      <c r="J1285">
        <v>1221.3227539</v>
      </c>
      <c r="K1285">
        <v>2400</v>
      </c>
      <c r="L1285">
        <v>0</v>
      </c>
      <c r="M1285">
        <v>0</v>
      </c>
      <c r="N1285">
        <v>2400</v>
      </c>
    </row>
    <row r="1286" spans="1:14" x14ac:dyDescent="0.25">
      <c r="A1286">
        <v>738.55446099999995</v>
      </c>
      <c r="B1286" s="1">
        <f>DATE(2012,5,8) + TIME(13,18,25)</f>
        <v>41037.554456018515</v>
      </c>
      <c r="C1286">
        <v>80</v>
      </c>
      <c r="D1286">
        <v>79.969848632999998</v>
      </c>
      <c r="E1286">
        <v>50</v>
      </c>
      <c r="F1286">
        <v>49.27734375</v>
      </c>
      <c r="G1286">
        <v>1420.6336670000001</v>
      </c>
      <c r="H1286">
        <v>1396.1711425999999</v>
      </c>
      <c r="I1286">
        <v>1257.4316406</v>
      </c>
      <c r="J1286">
        <v>1221.3100586</v>
      </c>
      <c r="K1286">
        <v>2400</v>
      </c>
      <c r="L1286">
        <v>0</v>
      </c>
      <c r="M1286">
        <v>0</v>
      </c>
      <c r="N1286">
        <v>2400</v>
      </c>
    </row>
    <row r="1287" spans="1:14" x14ac:dyDescent="0.25">
      <c r="A1287">
        <v>738.81236699999999</v>
      </c>
      <c r="B1287" s="1">
        <f>DATE(2012,5,8) + TIME(19,29,48)</f>
        <v>41037.812361111108</v>
      </c>
      <c r="C1287">
        <v>80</v>
      </c>
      <c r="D1287">
        <v>79.969879149999997</v>
      </c>
      <c r="E1287">
        <v>50</v>
      </c>
      <c r="F1287">
        <v>49.256946564000003</v>
      </c>
      <c r="G1287">
        <v>1420.5283202999999</v>
      </c>
      <c r="H1287">
        <v>1396.0716553</v>
      </c>
      <c r="I1287">
        <v>1257.4213867000001</v>
      </c>
      <c r="J1287">
        <v>1221.296875</v>
      </c>
      <c r="K1287">
        <v>2400</v>
      </c>
      <c r="L1287">
        <v>0</v>
      </c>
      <c r="M1287">
        <v>0</v>
      </c>
      <c r="N1287">
        <v>2400</v>
      </c>
    </row>
    <row r="1288" spans="1:14" x14ac:dyDescent="0.25">
      <c r="A1288">
        <v>739.08068100000003</v>
      </c>
      <c r="B1288" s="1">
        <f>DATE(2012,5,9) + TIME(1,56,10)</f>
        <v>41038.080671296295</v>
      </c>
      <c r="C1288">
        <v>80</v>
      </c>
      <c r="D1288">
        <v>79.969902039000004</v>
      </c>
      <c r="E1288">
        <v>50</v>
      </c>
      <c r="F1288">
        <v>49.235889434999997</v>
      </c>
      <c r="G1288">
        <v>1420.4228516000001</v>
      </c>
      <c r="H1288">
        <v>1395.9719238</v>
      </c>
      <c r="I1288">
        <v>1257.4106445</v>
      </c>
      <c r="J1288">
        <v>1221.2833252</v>
      </c>
      <c r="K1288">
        <v>2400</v>
      </c>
      <c r="L1288">
        <v>0</v>
      </c>
      <c r="M1288">
        <v>0</v>
      </c>
      <c r="N1288">
        <v>2400</v>
      </c>
    </row>
    <row r="1289" spans="1:14" x14ac:dyDescent="0.25">
      <c r="A1289">
        <v>739.36089300000003</v>
      </c>
      <c r="B1289" s="1">
        <f>DATE(2012,5,9) + TIME(8,39,41)</f>
        <v>41038.360891203702</v>
      </c>
      <c r="C1289">
        <v>80</v>
      </c>
      <c r="D1289">
        <v>79.969917296999995</v>
      </c>
      <c r="E1289">
        <v>50</v>
      </c>
      <c r="F1289">
        <v>49.214084624999998</v>
      </c>
      <c r="G1289">
        <v>1420.3166504000001</v>
      </c>
      <c r="H1289">
        <v>1395.8714600000001</v>
      </c>
      <c r="I1289">
        <v>1257.3994141000001</v>
      </c>
      <c r="J1289">
        <v>1221.269043</v>
      </c>
      <c r="K1289">
        <v>2400</v>
      </c>
      <c r="L1289">
        <v>0</v>
      </c>
      <c r="M1289">
        <v>0</v>
      </c>
      <c r="N1289">
        <v>2400</v>
      </c>
    </row>
    <row r="1290" spans="1:14" x14ac:dyDescent="0.25">
      <c r="A1290">
        <v>739.64615000000003</v>
      </c>
      <c r="B1290" s="1">
        <f>DATE(2012,5,9) + TIME(15,30,27)</f>
        <v>41038.646145833336</v>
      </c>
      <c r="C1290">
        <v>80</v>
      </c>
      <c r="D1290">
        <v>79.969932556000003</v>
      </c>
      <c r="E1290">
        <v>50</v>
      </c>
      <c r="F1290">
        <v>49.191822051999999</v>
      </c>
      <c r="G1290">
        <v>1420.2094727000001</v>
      </c>
      <c r="H1290">
        <v>1395.7700195</v>
      </c>
      <c r="I1290">
        <v>1257.3875731999999</v>
      </c>
      <c r="J1290">
        <v>1221.2542725000001</v>
      </c>
      <c r="K1290">
        <v>2400</v>
      </c>
      <c r="L1290">
        <v>0</v>
      </c>
      <c r="M1290">
        <v>0</v>
      </c>
      <c r="N1290">
        <v>2400</v>
      </c>
    </row>
    <row r="1291" spans="1:14" x14ac:dyDescent="0.25">
      <c r="A1291">
        <v>739.93451300000004</v>
      </c>
      <c r="B1291" s="1">
        <f>DATE(2012,5,9) + TIME(22,25,41)</f>
        <v>41038.934502314813</v>
      </c>
      <c r="C1291">
        <v>80</v>
      </c>
      <c r="D1291">
        <v>79.969947814999998</v>
      </c>
      <c r="E1291">
        <v>50</v>
      </c>
      <c r="F1291">
        <v>49.169265746999997</v>
      </c>
      <c r="G1291">
        <v>1420.104126</v>
      </c>
      <c r="H1291">
        <v>1395.6701660000001</v>
      </c>
      <c r="I1291">
        <v>1257.3756103999999</v>
      </c>
      <c r="J1291">
        <v>1221.2391356999999</v>
      </c>
      <c r="K1291">
        <v>2400</v>
      </c>
      <c r="L1291">
        <v>0</v>
      </c>
      <c r="M1291">
        <v>0</v>
      </c>
      <c r="N1291">
        <v>2400</v>
      </c>
    </row>
    <row r="1292" spans="1:14" x14ac:dyDescent="0.25">
      <c r="A1292">
        <v>740.227259</v>
      </c>
      <c r="B1292" s="1">
        <f>DATE(2012,5,10) + TIME(5,27,15)</f>
        <v>41039.227256944447</v>
      </c>
      <c r="C1292">
        <v>80</v>
      </c>
      <c r="D1292">
        <v>79.969955443999993</v>
      </c>
      <c r="E1292">
        <v>50</v>
      </c>
      <c r="F1292">
        <v>49.146415709999999</v>
      </c>
      <c r="G1292">
        <v>1420.0009766000001</v>
      </c>
      <c r="H1292">
        <v>1395.5723877</v>
      </c>
      <c r="I1292">
        <v>1257.3634033000001</v>
      </c>
      <c r="J1292">
        <v>1221.2238769999999</v>
      </c>
      <c r="K1292">
        <v>2400</v>
      </c>
      <c r="L1292">
        <v>0</v>
      </c>
      <c r="M1292">
        <v>0</v>
      </c>
      <c r="N1292">
        <v>2400</v>
      </c>
    </row>
    <row r="1293" spans="1:14" x14ac:dyDescent="0.25">
      <c r="A1293">
        <v>740.522918</v>
      </c>
      <c r="B1293" s="1">
        <f>DATE(2012,5,10) + TIME(12,33,0)</f>
        <v>41039.522916666669</v>
      </c>
      <c r="C1293">
        <v>80</v>
      </c>
      <c r="D1293">
        <v>79.969963074000006</v>
      </c>
      <c r="E1293">
        <v>50</v>
      </c>
      <c r="F1293">
        <v>49.123363495</v>
      </c>
      <c r="G1293">
        <v>1419.8997803</v>
      </c>
      <c r="H1293">
        <v>1395.4763184000001</v>
      </c>
      <c r="I1293">
        <v>1257.3509521000001</v>
      </c>
      <c r="J1293">
        <v>1221.2082519999999</v>
      </c>
      <c r="K1293">
        <v>2400</v>
      </c>
      <c r="L1293">
        <v>0</v>
      </c>
      <c r="M1293">
        <v>0</v>
      </c>
      <c r="N1293">
        <v>2400</v>
      </c>
    </row>
    <row r="1294" spans="1:14" x14ac:dyDescent="0.25">
      <c r="A1294">
        <v>740.82182699999998</v>
      </c>
      <c r="B1294" s="1">
        <f>DATE(2012,5,10) + TIME(19,43,25)</f>
        <v>41039.821817129632</v>
      </c>
      <c r="C1294">
        <v>80</v>
      </c>
      <c r="D1294">
        <v>79.969970703000001</v>
      </c>
      <c r="E1294">
        <v>50</v>
      </c>
      <c r="F1294">
        <v>49.100131988999998</v>
      </c>
      <c r="G1294">
        <v>1419.8006591999999</v>
      </c>
      <c r="H1294">
        <v>1395.3822021000001</v>
      </c>
      <c r="I1294">
        <v>1257.3383789</v>
      </c>
      <c r="J1294">
        <v>1221.1925048999999</v>
      </c>
      <c r="K1294">
        <v>2400</v>
      </c>
      <c r="L1294">
        <v>0</v>
      </c>
      <c r="M1294">
        <v>0</v>
      </c>
      <c r="N1294">
        <v>2400</v>
      </c>
    </row>
    <row r="1295" spans="1:14" x14ac:dyDescent="0.25">
      <c r="A1295">
        <v>741.12503100000004</v>
      </c>
      <c r="B1295" s="1">
        <f>DATE(2012,5,11) + TIME(3,0,2)</f>
        <v>41040.125023148146</v>
      </c>
      <c r="C1295">
        <v>80</v>
      </c>
      <c r="D1295">
        <v>79.969978333</v>
      </c>
      <c r="E1295">
        <v>50</v>
      </c>
      <c r="F1295">
        <v>49.076690673999998</v>
      </c>
      <c r="G1295">
        <v>1419.7037353999999</v>
      </c>
      <c r="H1295">
        <v>1395.2900391000001</v>
      </c>
      <c r="I1295">
        <v>1257.3256836</v>
      </c>
      <c r="J1295">
        <v>1221.1763916</v>
      </c>
      <c r="K1295">
        <v>2400</v>
      </c>
      <c r="L1295">
        <v>0</v>
      </c>
      <c r="M1295">
        <v>0</v>
      </c>
      <c r="N1295">
        <v>2400</v>
      </c>
    </row>
    <row r="1296" spans="1:14" x14ac:dyDescent="0.25">
      <c r="A1296">
        <v>741.43359799999996</v>
      </c>
      <c r="B1296" s="1">
        <f>DATE(2012,5,11) + TIME(10,24,22)</f>
        <v>41040.433587962965</v>
      </c>
      <c r="C1296">
        <v>80</v>
      </c>
      <c r="D1296">
        <v>79.969985961999996</v>
      </c>
      <c r="E1296">
        <v>50</v>
      </c>
      <c r="F1296">
        <v>49.052989959999998</v>
      </c>
      <c r="G1296">
        <v>1419.6082764</v>
      </c>
      <c r="H1296">
        <v>1395.1993408000001</v>
      </c>
      <c r="I1296">
        <v>1257.3127440999999</v>
      </c>
      <c r="J1296">
        <v>1221.1601562000001</v>
      </c>
      <c r="K1296">
        <v>2400</v>
      </c>
      <c r="L1296">
        <v>0</v>
      </c>
      <c r="M1296">
        <v>0</v>
      </c>
      <c r="N1296">
        <v>2400</v>
      </c>
    </row>
    <row r="1297" spans="1:14" x14ac:dyDescent="0.25">
      <c r="A1297">
        <v>741.74870599999997</v>
      </c>
      <c r="B1297" s="1">
        <f>DATE(2012,5,11) + TIME(17,58,8)</f>
        <v>41040.748703703706</v>
      </c>
      <c r="C1297">
        <v>80</v>
      </c>
      <c r="D1297">
        <v>79.969993591000005</v>
      </c>
      <c r="E1297">
        <v>50</v>
      </c>
      <c r="F1297">
        <v>49.028961182000003</v>
      </c>
      <c r="G1297">
        <v>1419.5141602000001</v>
      </c>
      <c r="H1297">
        <v>1395.1097411999999</v>
      </c>
      <c r="I1297">
        <v>1257.2995605000001</v>
      </c>
      <c r="J1297">
        <v>1221.1435547000001</v>
      </c>
      <c r="K1297">
        <v>2400</v>
      </c>
      <c r="L1297">
        <v>0</v>
      </c>
      <c r="M1297">
        <v>0</v>
      </c>
      <c r="N1297">
        <v>2400</v>
      </c>
    </row>
    <row r="1298" spans="1:14" x14ac:dyDescent="0.25">
      <c r="A1298">
        <v>742.07166800000005</v>
      </c>
      <c r="B1298" s="1">
        <f>DATE(2012,5,12) + TIME(1,43,12)</f>
        <v>41041.071666666663</v>
      </c>
      <c r="C1298">
        <v>80</v>
      </c>
      <c r="D1298">
        <v>79.970001221000004</v>
      </c>
      <c r="E1298">
        <v>50</v>
      </c>
      <c r="F1298">
        <v>49.004528045999997</v>
      </c>
      <c r="G1298">
        <v>1419.4207764</v>
      </c>
      <c r="H1298">
        <v>1395.020874</v>
      </c>
      <c r="I1298">
        <v>1257.2861327999999</v>
      </c>
      <c r="J1298">
        <v>1221.1264647999999</v>
      </c>
      <c r="K1298">
        <v>2400</v>
      </c>
      <c r="L1298">
        <v>0</v>
      </c>
      <c r="M1298">
        <v>0</v>
      </c>
      <c r="N1298">
        <v>2400</v>
      </c>
    </row>
    <row r="1299" spans="1:14" x14ac:dyDescent="0.25">
      <c r="A1299">
        <v>742.40364699999998</v>
      </c>
      <c r="B1299" s="1">
        <f>DATE(2012,5,12) + TIME(9,41,15)</f>
        <v>41041.403645833336</v>
      </c>
      <c r="C1299">
        <v>80</v>
      </c>
      <c r="D1299">
        <v>79.970001221000004</v>
      </c>
      <c r="E1299">
        <v>50</v>
      </c>
      <c r="F1299">
        <v>48.979618072999997</v>
      </c>
      <c r="G1299">
        <v>1419.3280029</v>
      </c>
      <c r="H1299">
        <v>1394.9324951000001</v>
      </c>
      <c r="I1299">
        <v>1257.2722168</v>
      </c>
      <c r="J1299">
        <v>1221.1090088000001</v>
      </c>
      <c r="K1299">
        <v>2400</v>
      </c>
      <c r="L1299">
        <v>0</v>
      </c>
      <c r="M1299">
        <v>0</v>
      </c>
      <c r="N1299">
        <v>2400</v>
      </c>
    </row>
    <row r="1300" spans="1:14" x14ac:dyDescent="0.25">
      <c r="A1300">
        <v>742.74609299999997</v>
      </c>
      <c r="B1300" s="1">
        <f>DATE(2012,5,12) + TIME(17,54,22)</f>
        <v>41041.746087962965</v>
      </c>
      <c r="C1300">
        <v>80</v>
      </c>
      <c r="D1300">
        <v>79.970008849999999</v>
      </c>
      <c r="E1300">
        <v>50</v>
      </c>
      <c r="F1300">
        <v>48.954135895</v>
      </c>
      <c r="G1300">
        <v>1419.2353516000001</v>
      </c>
      <c r="H1300">
        <v>1394.8442382999999</v>
      </c>
      <c r="I1300">
        <v>1257.2579346</v>
      </c>
      <c r="J1300">
        <v>1221.0909423999999</v>
      </c>
      <c r="K1300">
        <v>2400</v>
      </c>
      <c r="L1300">
        <v>0</v>
      </c>
      <c r="M1300">
        <v>0</v>
      </c>
      <c r="N1300">
        <v>2400</v>
      </c>
    </row>
    <row r="1301" spans="1:14" x14ac:dyDescent="0.25">
      <c r="A1301">
        <v>743.09902799999998</v>
      </c>
      <c r="B1301" s="1">
        <f>DATE(2012,5,13) + TIME(2,22,36)</f>
        <v>41042.099027777775</v>
      </c>
      <c r="C1301">
        <v>80</v>
      </c>
      <c r="D1301">
        <v>79.970016478999995</v>
      </c>
      <c r="E1301">
        <v>50</v>
      </c>
      <c r="F1301">
        <v>48.92804718</v>
      </c>
      <c r="G1301">
        <v>1419.1425781</v>
      </c>
      <c r="H1301">
        <v>1394.7557373</v>
      </c>
      <c r="I1301">
        <v>1257.2430420000001</v>
      </c>
      <c r="J1301">
        <v>1221.0722656</v>
      </c>
      <c r="K1301">
        <v>2400</v>
      </c>
      <c r="L1301">
        <v>0</v>
      </c>
      <c r="M1301">
        <v>0</v>
      </c>
      <c r="N1301">
        <v>2400</v>
      </c>
    </row>
    <row r="1302" spans="1:14" x14ac:dyDescent="0.25">
      <c r="A1302">
        <v>743.46305400000006</v>
      </c>
      <c r="B1302" s="1">
        <f>DATE(2012,5,13) + TIME(11,6,47)</f>
        <v>41042.463043981479</v>
      </c>
      <c r="C1302">
        <v>80</v>
      </c>
      <c r="D1302">
        <v>79.970024108999993</v>
      </c>
      <c r="E1302">
        <v>50</v>
      </c>
      <c r="F1302">
        <v>48.901317595999998</v>
      </c>
      <c r="G1302">
        <v>1419.0496826000001</v>
      </c>
      <c r="H1302">
        <v>1394.6671143000001</v>
      </c>
      <c r="I1302">
        <v>1257.2276611</v>
      </c>
      <c r="J1302">
        <v>1221.0529785000001</v>
      </c>
      <c r="K1302">
        <v>2400</v>
      </c>
      <c r="L1302">
        <v>0</v>
      </c>
      <c r="M1302">
        <v>0</v>
      </c>
      <c r="N1302">
        <v>2400</v>
      </c>
    </row>
    <row r="1303" spans="1:14" x14ac:dyDescent="0.25">
      <c r="A1303">
        <v>743.83990700000004</v>
      </c>
      <c r="B1303" s="1">
        <f>DATE(2012,5,13) + TIME(20,9,27)</f>
        <v>41042.839895833335</v>
      </c>
      <c r="C1303">
        <v>80</v>
      </c>
      <c r="D1303">
        <v>79.970024108999993</v>
      </c>
      <c r="E1303">
        <v>50</v>
      </c>
      <c r="F1303">
        <v>48.873855591000002</v>
      </c>
      <c r="G1303">
        <v>1418.9567870999999</v>
      </c>
      <c r="H1303">
        <v>1394.5784911999999</v>
      </c>
      <c r="I1303">
        <v>1257.2117920000001</v>
      </c>
      <c r="J1303">
        <v>1221.0329589999999</v>
      </c>
      <c r="K1303">
        <v>2400</v>
      </c>
      <c r="L1303">
        <v>0</v>
      </c>
      <c r="M1303">
        <v>0</v>
      </c>
      <c r="N1303">
        <v>2400</v>
      </c>
    </row>
    <row r="1304" spans="1:14" x14ac:dyDescent="0.25">
      <c r="A1304">
        <v>744.22868000000005</v>
      </c>
      <c r="B1304" s="1">
        <f>DATE(2012,5,14) + TIME(5,29,17)</f>
        <v>41043.228668981479</v>
      </c>
      <c r="C1304">
        <v>80</v>
      </c>
      <c r="D1304">
        <v>79.970031738000003</v>
      </c>
      <c r="E1304">
        <v>50</v>
      </c>
      <c r="F1304">
        <v>48.845672606999997</v>
      </c>
      <c r="G1304">
        <v>1418.8634033000001</v>
      </c>
      <c r="H1304">
        <v>1394.4892577999999</v>
      </c>
      <c r="I1304">
        <v>1257.1953125</v>
      </c>
      <c r="J1304">
        <v>1221.012207</v>
      </c>
      <c r="K1304">
        <v>2400</v>
      </c>
      <c r="L1304">
        <v>0</v>
      </c>
      <c r="M1304">
        <v>0</v>
      </c>
      <c r="N1304">
        <v>2400</v>
      </c>
    </row>
    <row r="1305" spans="1:14" x14ac:dyDescent="0.25">
      <c r="A1305">
        <v>744.62247000000002</v>
      </c>
      <c r="B1305" s="1">
        <f>DATE(2012,5,14) + TIME(14,56,21)</f>
        <v>41043.622465277775</v>
      </c>
      <c r="C1305">
        <v>80</v>
      </c>
      <c r="D1305">
        <v>79.970039368000002</v>
      </c>
      <c r="E1305">
        <v>50</v>
      </c>
      <c r="F1305">
        <v>48.817035675</v>
      </c>
      <c r="G1305">
        <v>1418.7698975000001</v>
      </c>
      <c r="H1305">
        <v>1394.3999022999999</v>
      </c>
      <c r="I1305">
        <v>1257.1781006000001</v>
      </c>
      <c r="J1305">
        <v>1220.9908447</v>
      </c>
      <c r="K1305">
        <v>2400</v>
      </c>
      <c r="L1305">
        <v>0</v>
      </c>
      <c r="M1305">
        <v>0</v>
      </c>
      <c r="N1305">
        <v>2400</v>
      </c>
    </row>
    <row r="1306" spans="1:14" x14ac:dyDescent="0.25">
      <c r="A1306">
        <v>745.02313200000003</v>
      </c>
      <c r="B1306" s="1">
        <f>DATE(2012,5,15) + TIME(0,33,18)</f>
        <v>41044.023125</v>
      </c>
      <c r="C1306">
        <v>80</v>
      </c>
      <c r="D1306">
        <v>79.970046996999997</v>
      </c>
      <c r="E1306">
        <v>50</v>
      </c>
      <c r="F1306">
        <v>48.787986754999999</v>
      </c>
      <c r="G1306">
        <v>1418.6778564000001</v>
      </c>
      <c r="H1306">
        <v>1394.3118896000001</v>
      </c>
      <c r="I1306">
        <v>1257.1606445</v>
      </c>
      <c r="J1306">
        <v>1220.9689940999999</v>
      </c>
      <c r="K1306">
        <v>2400</v>
      </c>
      <c r="L1306">
        <v>0</v>
      </c>
      <c r="M1306">
        <v>0</v>
      </c>
      <c r="N1306">
        <v>2400</v>
      </c>
    </row>
    <row r="1307" spans="1:14" x14ac:dyDescent="0.25">
      <c r="A1307">
        <v>745.429348</v>
      </c>
      <c r="B1307" s="1">
        <f>DATE(2012,5,15) + TIME(10,18,15)</f>
        <v>41044.429340277777</v>
      </c>
      <c r="C1307">
        <v>80</v>
      </c>
      <c r="D1307">
        <v>79.970054626000007</v>
      </c>
      <c r="E1307">
        <v>50</v>
      </c>
      <c r="F1307">
        <v>48.758609772</v>
      </c>
      <c r="G1307">
        <v>1418.5869141000001</v>
      </c>
      <c r="H1307">
        <v>1394.2249756000001</v>
      </c>
      <c r="I1307">
        <v>1257.1428223</v>
      </c>
      <c r="J1307">
        <v>1220.9466553</v>
      </c>
      <c r="K1307">
        <v>2400</v>
      </c>
      <c r="L1307">
        <v>0</v>
      </c>
      <c r="M1307">
        <v>0</v>
      </c>
      <c r="N1307">
        <v>2400</v>
      </c>
    </row>
    <row r="1308" spans="1:14" x14ac:dyDescent="0.25">
      <c r="A1308">
        <v>745.838975</v>
      </c>
      <c r="B1308" s="1">
        <f>DATE(2012,5,15) + TIME(20,8,7)</f>
        <v>41044.838969907411</v>
      </c>
      <c r="C1308">
        <v>80</v>
      </c>
      <c r="D1308">
        <v>79.970062256000006</v>
      </c>
      <c r="E1308">
        <v>50</v>
      </c>
      <c r="F1308">
        <v>48.729030608999999</v>
      </c>
      <c r="G1308">
        <v>1418.4974365</v>
      </c>
      <c r="H1308">
        <v>1394.1392822</v>
      </c>
      <c r="I1308">
        <v>1257.1246338000001</v>
      </c>
      <c r="J1308">
        <v>1220.9239502</v>
      </c>
      <c r="K1308">
        <v>2400</v>
      </c>
      <c r="L1308">
        <v>0</v>
      </c>
      <c r="M1308">
        <v>0</v>
      </c>
      <c r="N1308">
        <v>2400</v>
      </c>
    </row>
    <row r="1309" spans="1:14" x14ac:dyDescent="0.25">
      <c r="A1309">
        <v>746.25347499999998</v>
      </c>
      <c r="B1309" s="1">
        <f>DATE(2012,5,16) + TIME(6,5,0)</f>
        <v>41045.253472222219</v>
      </c>
      <c r="C1309">
        <v>80</v>
      </c>
      <c r="D1309">
        <v>79.970069885000001</v>
      </c>
      <c r="E1309">
        <v>50</v>
      </c>
      <c r="F1309">
        <v>48.699245453000003</v>
      </c>
      <c r="G1309">
        <v>1418.409668</v>
      </c>
      <c r="H1309">
        <v>1394.0552978999999</v>
      </c>
      <c r="I1309">
        <v>1257.1063231999999</v>
      </c>
      <c r="J1309">
        <v>1220.9008789</v>
      </c>
      <c r="K1309">
        <v>2400</v>
      </c>
      <c r="L1309">
        <v>0</v>
      </c>
      <c r="M1309">
        <v>0</v>
      </c>
      <c r="N1309">
        <v>2400</v>
      </c>
    </row>
    <row r="1310" spans="1:14" x14ac:dyDescent="0.25">
      <c r="A1310">
        <v>746.67431599999998</v>
      </c>
      <c r="B1310" s="1">
        <f>DATE(2012,5,16) + TIME(16,11,0)</f>
        <v>41045.674305555556</v>
      </c>
      <c r="C1310">
        <v>80</v>
      </c>
      <c r="D1310">
        <v>79.970077515</v>
      </c>
      <c r="E1310">
        <v>50</v>
      </c>
      <c r="F1310">
        <v>48.669212340999998</v>
      </c>
      <c r="G1310">
        <v>1418.3232422000001</v>
      </c>
      <c r="H1310">
        <v>1393.9725341999999</v>
      </c>
      <c r="I1310">
        <v>1257.0876464999999</v>
      </c>
      <c r="J1310">
        <v>1220.8774414</v>
      </c>
      <c r="K1310">
        <v>2400</v>
      </c>
      <c r="L1310">
        <v>0</v>
      </c>
      <c r="M1310">
        <v>0</v>
      </c>
      <c r="N1310">
        <v>2400</v>
      </c>
    </row>
    <row r="1311" spans="1:14" x14ac:dyDescent="0.25">
      <c r="A1311">
        <v>747.10304299999996</v>
      </c>
      <c r="B1311" s="1">
        <f>DATE(2012,5,17) + TIME(2,28,22)</f>
        <v>41046.103032407409</v>
      </c>
      <c r="C1311">
        <v>80</v>
      </c>
      <c r="D1311">
        <v>79.970085143999995</v>
      </c>
      <c r="E1311">
        <v>50</v>
      </c>
      <c r="F1311">
        <v>48.638858794999997</v>
      </c>
      <c r="G1311">
        <v>1418.2379149999999</v>
      </c>
      <c r="H1311">
        <v>1393.8908690999999</v>
      </c>
      <c r="I1311">
        <v>1257.0686035000001</v>
      </c>
      <c r="J1311">
        <v>1220.8535156</v>
      </c>
      <c r="K1311">
        <v>2400</v>
      </c>
      <c r="L1311">
        <v>0</v>
      </c>
      <c r="M1311">
        <v>0</v>
      </c>
      <c r="N1311">
        <v>2400</v>
      </c>
    </row>
    <row r="1312" spans="1:14" x14ac:dyDescent="0.25">
      <c r="A1312">
        <v>747.54152899999997</v>
      </c>
      <c r="B1312" s="1">
        <f>DATE(2012,5,17) + TIME(12,59,48)</f>
        <v>41046.541527777779</v>
      </c>
      <c r="C1312">
        <v>80</v>
      </c>
      <c r="D1312">
        <v>79.970092773000005</v>
      </c>
      <c r="E1312">
        <v>50</v>
      </c>
      <c r="F1312">
        <v>48.608085631999998</v>
      </c>
      <c r="G1312">
        <v>1418.1533202999999</v>
      </c>
      <c r="H1312">
        <v>1393.8098144999999</v>
      </c>
      <c r="I1312">
        <v>1257.0490723</v>
      </c>
      <c r="J1312">
        <v>1220.8291016000001</v>
      </c>
      <c r="K1312">
        <v>2400</v>
      </c>
      <c r="L1312">
        <v>0</v>
      </c>
      <c r="M1312">
        <v>0</v>
      </c>
      <c r="N1312">
        <v>2400</v>
      </c>
    </row>
    <row r="1313" spans="1:14" x14ac:dyDescent="0.25">
      <c r="A1313">
        <v>747.99127899999996</v>
      </c>
      <c r="B1313" s="1">
        <f>DATE(2012,5,17) + TIME(23,47,26)</f>
        <v>41046.991273148145</v>
      </c>
      <c r="C1313">
        <v>80</v>
      </c>
      <c r="D1313">
        <v>79.970108031999999</v>
      </c>
      <c r="E1313">
        <v>50</v>
      </c>
      <c r="F1313">
        <v>48.576793670999997</v>
      </c>
      <c r="G1313">
        <v>1418.0690918</v>
      </c>
      <c r="H1313">
        <v>1393.7290039</v>
      </c>
      <c r="I1313">
        <v>1257.0290527</v>
      </c>
      <c r="J1313">
        <v>1220.8039550999999</v>
      </c>
      <c r="K1313">
        <v>2400</v>
      </c>
      <c r="L1313">
        <v>0</v>
      </c>
      <c r="M1313">
        <v>0</v>
      </c>
      <c r="N1313">
        <v>2400</v>
      </c>
    </row>
    <row r="1314" spans="1:14" x14ac:dyDescent="0.25">
      <c r="A1314">
        <v>748.45422499999995</v>
      </c>
      <c r="B1314" s="1">
        <f>DATE(2012,5,18) + TIME(10,54,4)</f>
        <v>41047.454212962963</v>
      </c>
      <c r="C1314">
        <v>80</v>
      </c>
      <c r="D1314">
        <v>79.970115661999998</v>
      </c>
      <c r="E1314">
        <v>50</v>
      </c>
      <c r="F1314">
        <v>48.544868469000001</v>
      </c>
      <c r="G1314">
        <v>1417.9848632999999</v>
      </c>
      <c r="H1314">
        <v>1393.6483154</v>
      </c>
      <c r="I1314">
        <v>1257.0083007999999</v>
      </c>
      <c r="J1314">
        <v>1220.7779541</v>
      </c>
      <c r="K1314">
        <v>2400</v>
      </c>
      <c r="L1314">
        <v>0</v>
      </c>
      <c r="M1314">
        <v>0</v>
      </c>
      <c r="N1314">
        <v>2400</v>
      </c>
    </row>
    <row r="1315" spans="1:14" x14ac:dyDescent="0.25">
      <c r="A1315">
        <v>748.92823799999996</v>
      </c>
      <c r="B1315" s="1">
        <f>DATE(2012,5,18) + TIME(22,16,39)</f>
        <v>41047.928229166668</v>
      </c>
      <c r="C1315">
        <v>80</v>
      </c>
      <c r="D1315">
        <v>79.970123290999993</v>
      </c>
      <c r="E1315">
        <v>50</v>
      </c>
      <c r="F1315">
        <v>48.512336730999998</v>
      </c>
      <c r="G1315">
        <v>1417.9005127</v>
      </c>
      <c r="H1315">
        <v>1393.5675048999999</v>
      </c>
      <c r="I1315">
        <v>1256.9869385</v>
      </c>
      <c r="J1315">
        <v>1220.7512207</v>
      </c>
      <c r="K1315">
        <v>2400</v>
      </c>
      <c r="L1315">
        <v>0</v>
      </c>
      <c r="M1315">
        <v>0</v>
      </c>
      <c r="N1315">
        <v>2400</v>
      </c>
    </row>
    <row r="1316" spans="1:14" x14ac:dyDescent="0.25">
      <c r="A1316">
        <v>749.41446499999995</v>
      </c>
      <c r="B1316" s="1">
        <f>DATE(2012,5,19) + TIME(9,56,49)</f>
        <v>41048.414456018516</v>
      </c>
      <c r="C1316">
        <v>80</v>
      </c>
      <c r="D1316">
        <v>79.970130920000003</v>
      </c>
      <c r="E1316">
        <v>50</v>
      </c>
      <c r="F1316">
        <v>48.479171753000003</v>
      </c>
      <c r="G1316">
        <v>1417.8165283000001</v>
      </c>
      <c r="H1316">
        <v>1393.4868164</v>
      </c>
      <c r="I1316">
        <v>1256.9648437999999</v>
      </c>
      <c r="J1316">
        <v>1220.7235106999999</v>
      </c>
      <c r="K1316">
        <v>2400</v>
      </c>
      <c r="L1316">
        <v>0</v>
      </c>
      <c r="M1316">
        <v>0</v>
      </c>
      <c r="N1316">
        <v>2400</v>
      </c>
    </row>
    <row r="1317" spans="1:14" x14ac:dyDescent="0.25">
      <c r="A1317">
        <v>749.91488500000003</v>
      </c>
      <c r="B1317" s="1">
        <f>DATE(2012,5,19) + TIME(21,57,26)</f>
        <v>41048.914884259262</v>
      </c>
      <c r="C1317">
        <v>80</v>
      </c>
      <c r="D1317">
        <v>79.970146178999997</v>
      </c>
      <c r="E1317">
        <v>50</v>
      </c>
      <c r="F1317">
        <v>48.445304870999998</v>
      </c>
      <c r="G1317">
        <v>1417.7324219</v>
      </c>
      <c r="H1317">
        <v>1393.4061279</v>
      </c>
      <c r="I1317">
        <v>1256.9421387</v>
      </c>
      <c r="J1317">
        <v>1220.6949463000001</v>
      </c>
      <c r="K1317">
        <v>2400</v>
      </c>
      <c r="L1317">
        <v>0</v>
      </c>
      <c r="M1317">
        <v>0</v>
      </c>
      <c r="N1317">
        <v>2400</v>
      </c>
    </row>
    <row r="1318" spans="1:14" x14ac:dyDescent="0.25">
      <c r="A1318">
        <v>750.42360799999994</v>
      </c>
      <c r="B1318" s="1">
        <f>DATE(2012,5,20) + TIME(10,9,59)</f>
        <v>41049.42359953704</v>
      </c>
      <c r="C1318">
        <v>80</v>
      </c>
      <c r="D1318">
        <v>79.970153808999996</v>
      </c>
      <c r="E1318">
        <v>50</v>
      </c>
      <c r="F1318">
        <v>48.410884856999999</v>
      </c>
      <c r="G1318">
        <v>1417.6483154</v>
      </c>
      <c r="H1318">
        <v>1393.3253173999999</v>
      </c>
      <c r="I1318">
        <v>1256.918457</v>
      </c>
      <c r="J1318">
        <v>1220.6654053</v>
      </c>
      <c r="K1318">
        <v>2400</v>
      </c>
      <c r="L1318">
        <v>0</v>
      </c>
      <c r="M1318">
        <v>0</v>
      </c>
      <c r="N1318">
        <v>2400</v>
      </c>
    </row>
    <row r="1319" spans="1:14" x14ac:dyDescent="0.25">
      <c r="A1319">
        <v>750.94224399999996</v>
      </c>
      <c r="B1319" s="1">
        <f>DATE(2012,5,20) + TIME(22,36,49)</f>
        <v>41049.942233796297</v>
      </c>
      <c r="C1319">
        <v>80</v>
      </c>
      <c r="D1319">
        <v>79.970169067</v>
      </c>
      <c r="E1319">
        <v>50</v>
      </c>
      <c r="F1319">
        <v>48.375961304</v>
      </c>
      <c r="G1319">
        <v>1417.5649414</v>
      </c>
      <c r="H1319">
        <v>1393.2452393000001</v>
      </c>
      <c r="I1319">
        <v>1256.8942870999999</v>
      </c>
      <c r="J1319">
        <v>1220.6352539</v>
      </c>
      <c r="K1319">
        <v>2400</v>
      </c>
      <c r="L1319">
        <v>0</v>
      </c>
      <c r="M1319">
        <v>0</v>
      </c>
      <c r="N1319">
        <v>2400</v>
      </c>
    </row>
    <row r="1320" spans="1:14" x14ac:dyDescent="0.25">
      <c r="A1320">
        <v>751.467037</v>
      </c>
      <c r="B1320" s="1">
        <f>DATE(2012,5,21) + TIME(11,12,31)</f>
        <v>41050.46702546296</v>
      </c>
      <c r="C1320">
        <v>80</v>
      </c>
      <c r="D1320">
        <v>79.970176696999999</v>
      </c>
      <c r="E1320">
        <v>50</v>
      </c>
      <c r="F1320">
        <v>48.340671538999999</v>
      </c>
      <c r="G1320">
        <v>1417.4820557</v>
      </c>
      <c r="H1320">
        <v>1393.1657714999999</v>
      </c>
      <c r="I1320">
        <v>1256.8695068</v>
      </c>
      <c r="J1320">
        <v>1220.604126</v>
      </c>
      <c r="K1320">
        <v>2400</v>
      </c>
      <c r="L1320">
        <v>0</v>
      </c>
      <c r="M1320">
        <v>0</v>
      </c>
      <c r="N1320">
        <v>2400</v>
      </c>
    </row>
    <row r="1321" spans="1:14" x14ac:dyDescent="0.25">
      <c r="A1321">
        <v>751.99548900000002</v>
      </c>
      <c r="B1321" s="1">
        <f>DATE(2012,5,21) + TIME(23,53,30)</f>
        <v>41050.995486111111</v>
      </c>
      <c r="C1321">
        <v>80</v>
      </c>
      <c r="D1321">
        <v>79.970191955999994</v>
      </c>
      <c r="E1321">
        <v>50</v>
      </c>
      <c r="F1321">
        <v>48.305179596000002</v>
      </c>
      <c r="G1321">
        <v>1417.4003906</v>
      </c>
      <c r="H1321">
        <v>1393.0872803</v>
      </c>
      <c r="I1321">
        <v>1256.8442382999999</v>
      </c>
      <c r="J1321">
        <v>1220.5725098</v>
      </c>
      <c r="K1321">
        <v>2400</v>
      </c>
      <c r="L1321">
        <v>0</v>
      </c>
      <c r="M1321">
        <v>0</v>
      </c>
      <c r="N1321">
        <v>2400</v>
      </c>
    </row>
    <row r="1322" spans="1:14" x14ac:dyDescent="0.25">
      <c r="A1322">
        <v>752.52945899999997</v>
      </c>
      <c r="B1322" s="1">
        <f>DATE(2012,5,22) + TIME(12,42,25)</f>
        <v>41051.529456018521</v>
      </c>
      <c r="C1322">
        <v>80</v>
      </c>
      <c r="D1322">
        <v>79.970199585000003</v>
      </c>
      <c r="E1322">
        <v>50</v>
      </c>
      <c r="F1322">
        <v>48.269508362000003</v>
      </c>
      <c r="G1322">
        <v>1417.3203125</v>
      </c>
      <c r="H1322">
        <v>1393.0102539</v>
      </c>
      <c r="I1322">
        <v>1256.8186035000001</v>
      </c>
      <c r="J1322">
        <v>1220.5404053</v>
      </c>
      <c r="K1322">
        <v>2400</v>
      </c>
      <c r="L1322">
        <v>0</v>
      </c>
      <c r="M1322">
        <v>0</v>
      </c>
      <c r="N1322">
        <v>2400</v>
      </c>
    </row>
    <row r="1323" spans="1:14" x14ac:dyDescent="0.25">
      <c r="A1323">
        <v>753.07080399999995</v>
      </c>
      <c r="B1323" s="1">
        <f>DATE(2012,5,23) + TIME(1,41,57)</f>
        <v>41052.070798611108</v>
      </c>
      <c r="C1323">
        <v>80</v>
      </c>
      <c r="D1323">
        <v>79.970214843999997</v>
      </c>
      <c r="E1323">
        <v>50</v>
      </c>
      <c r="F1323">
        <v>48.233615874999998</v>
      </c>
      <c r="G1323">
        <v>1417.2412108999999</v>
      </c>
      <c r="H1323">
        <v>1392.9343262</v>
      </c>
      <c r="I1323">
        <v>1256.7924805</v>
      </c>
      <c r="J1323">
        <v>1220.5076904</v>
      </c>
      <c r="K1323">
        <v>2400</v>
      </c>
      <c r="L1323">
        <v>0</v>
      </c>
      <c r="M1323">
        <v>0</v>
      </c>
      <c r="N1323">
        <v>2400</v>
      </c>
    </row>
    <row r="1324" spans="1:14" x14ac:dyDescent="0.25">
      <c r="A1324">
        <v>753.62143600000002</v>
      </c>
      <c r="B1324" s="1">
        <f>DATE(2012,5,23) + TIME(14,54,52)</f>
        <v>41052.621435185189</v>
      </c>
      <c r="C1324">
        <v>80</v>
      </c>
      <c r="D1324">
        <v>79.970222473000007</v>
      </c>
      <c r="E1324">
        <v>50</v>
      </c>
      <c r="F1324">
        <v>48.197406768999997</v>
      </c>
      <c r="G1324">
        <v>1417.1630858999999</v>
      </c>
      <c r="H1324">
        <v>1392.8592529</v>
      </c>
      <c r="I1324">
        <v>1256.7658690999999</v>
      </c>
      <c r="J1324">
        <v>1220.4742432</v>
      </c>
      <c r="K1324">
        <v>2400</v>
      </c>
      <c r="L1324">
        <v>0</v>
      </c>
      <c r="M1324">
        <v>0</v>
      </c>
      <c r="N1324">
        <v>2400</v>
      </c>
    </row>
    <row r="1325" spans="1:14" x14ac:dyDescent="0.25">
      <c r="A1325">
        <v>754.18369499999994</v>
      </c>
      <c r="B1325" s="1">
        <f>DATE(2012,5,24) + TIME(4,24,31)</f>
        <v>41053.183692129627</v>
      </c>
      <c r="C1325">
        <v>80</v>
      </c>
      <c r="D1325">
        <v>79.970237732000001</v>
      </c>
      <c r="E1325">
        <v>50</v>
      </c>
      <c r="F1325">
        <v>48.160766602000002</v>
      </c>
      <c r="G1325">
        <v>1417.0855713000001</v>
      </c>
      <c r="H1325">
        <v>1392.784668</v>
      </c>
      <c r="I1325">
        <v>1256.7386475000001</v>
      </c>
      <c r="J1325">
        <v>1220.4399414</v>
      </c>
      <c r="K1325">
        <v>2400</v>
      </c>
      <c r="L1325">
        <v>0</v>
      </c>
      <c r="M1325">
        <v>0</v>
      </c>
      <c r="N1325">
        <v>2400</v>
      </c>
    </row>
    <row r="1326" spans="1:14" x14ac:dyDescent="0.25">
      <c r="A1326">
        <v>754.759547</v>
      </c>
      <c r="B1326" s="1">
        <f>DATE(2012,5,24) + TIME(18,13,44)</f>
        <v>41053.75953703704</v>
      </c>
      <c r="C1326">
        <v>80</v>
      </c>
      <c r="D1326">
        <v>79.970252990999995</v>
      </c>
      <c r="E1326">
        <v>50</v>
      </c>
      <c r="F1326">
        <v>48.123577118</v>
      </c>
      <c r="G1326">
        <v>1417.0081786999999</v>
      </c>
      <c r="H1326">
        <v>1392.7103271000001</v>
      </c>
      <c r="I1326">
        <v>1256.7104492000001</v>
      </c>
      <c r="J1326">
        <v>1220.4046631000001</v>
      </c>
      <c r="K1326">
        <v>2400</v>
      </c>
      <c r="L1326">
        <v>0</v>
      </c>
      <c r="M1326">
        <v>0</v>
      </c>
      <c r="N1326">
        <v>2400</v>
      </c>
    </row>
    <row r="1327" spans="1:14" x14ac:dyDescent="0.25">
      <c r="A1327">
        <v>755.35133399999995</v>
      </c>
      <c r="B1327" s="1">
        <f>DATE(2012,5,25) + TIME(8,25,55)</f>
        <v>41054.351331018515</v>
      </c>
      <c r="C1327">
        <v>80</v>
      </c>
      <c r="D1327">
        <v>79.970268250000004</v>
      </c>
      <c r="E1327">
        <v>50</v>
      </c>
      <c r="F1327">
        <v>48.085700989000003</v>
      </c>
      <c r="G1327">
        <v>1416.9309082</v>
      </c>
      <c r="H1327">
        <v>1392.6359863</v>
      </c>
      <c r="I1327">
        <v>1256.6815185999999</v>
      </c>
      <c r="J1327">
        <v>1220.3681641000001</v>
      </c>
      <c r="K1327">
        <v>2400</v>
      </c>
      <c r="L1327">
        <v>0</v>
      </c>
      <c r="M1327">
        <v>0</v>
      </c>
      <c r="N1327">
        <v>2400</v>
      </c>
    </row>
    <row r="1328" spans="1:14" x14ac:dyDescent="0.25">
      <c r="A1328">
        <v>755.95815500000003</v>
      </c>
      <c r="B1328" s="1">
        <f>DATE(2012,5,25) + TIME(22,59,44)</f>
        <v>41054.958148148151</v>
      </c>
      <c r="C1328">
        <v>80</v>
      </c>
      <c r="D1328">
        <v>79.970275878999999</v>
      </c>
      <c r="E1328">
        <v>50</v>
      </c>
      <c r="F1328">
        <v>48.047096252000003</v>
      </c>
      <c r="G1328">
        <v>1416.8532714999999</v>
      </c>
      <c r="H1328">
        <v>1392.5612793</v>
      </c>
      <c r="I1328">
        <v>1256.6513672000001</v>
      </c>
      <c r="J1328">
        <v>1220.3303223</v>
      </c>
      <c r="K1328">
        <v>2400</v>
      </c>
      <c r="L1328">
        <v>0</v>
      </c>
      <c r="M1328">
        <v>0</v>
      </c>
      <c r="N1328">
        <v>2400</v>
      </c>
    </row>
    <row r="1329" spans="1:14" x14ac:dyDescent="0.25">
      <c r="A1329">
        <v>756.57889799999998</v>
      </c>
      <c r="B1329" s="1">
        <f>DATE(2012,5,26) + TIME(13,53,36)</f>
        <v>41055.578888888886</v>
      </c>
      <c r="C1329">
        <v>80</v>
      </c>
      <c r="D1329">
        <v>79.970291137999993</v>
      </c>
      <c r="E1329">
        <v>50</v>
      </c>
      <c r="F1329">
        <v>48.007781981999997</v>
      </c>
      <c r="G1329">
        <v>1416.7756348</v>
      </c>
      <c r="H1329">
        <v>1392.4865723</v>
      </c>
      <c r="I1329">
        <v>1256.6202393000001</v>
      </c>
      <c r="J1329">
        <v>1220.2911377</v>
      </c>
      <c r="K1329">
        <v>2400</v>
      </c>
      <c r="L1329">
        <v>0</v>
      </c>
      <c r="M1329">
        <v>0</v>
      </c>
      <c r="N1329">
        <v>2400</v>
      </c>
    </row>
    <row r="1330" spans="1:14" x14ac:dyDescent="0.25">
      <c r="A1330">
        <v>757.21471299999996</v>
      </c>
      <c r="B1330" s="1">
        <f>DATE(2012,5,27) + TIME(5,9,11)</f>
        <v>41056.21471064815</v>
      </c>
      <c r="C1330">
        <v>80</v>
      </c>
      <c r="D1330">
        <v>79.970306395999998</v>
      </c>
      <c r="E1330">
        <v>50</v>
      </c>
      <c r="F1330">
        <v>47.967750549000002</v>
      </c>
      <c r="G1330">
        <v>1416.6979980000001</v>
      </c>
      <c r="H1330">
        <v>1392.4119873</v>
      </c>
      <c r="I1330">
        <v>1256.5880127</v>
      </c>
      <c r="J1330">
        <v>1220.2507324000001</v>
      </c>
      <c r="K1330">
        <v>2400</v>
      </c>
      <c r="L1330">
        <v>0</v>
      </c>
      <c r="M1330">
        <v>0</v>
      </c>
      <c r="N1330">
        <v>2400</v>
      </c>
    </row>
    <row r="1331" spans="1:14" x14ac:dyDescent="0.25">
      <c r="A1331">
        <v>757.86411199999998</v>
      </c>
      <c r="B1331" s="1">
        <f>DATE(2012,5,27) + TIME(20,44,19)</f>
        <v>41056.864108796297</v>
      </c>
      <c r="C1331">
        <v>80</v>
      </c>
      <c r="D1331">
        <v>79.970321655000006</v>
      </c>
      <c r="E1331">
        <v>50</v>
      </c>
      <c r="F1331">
        <v>47.927036285</v>
      </c>
      <c r="G1331">
        <v>1416.6203613</v>
      </c>
      <c r="H1331">
        <v>1392.3372803</v>
      </c>
      <c r="I1331">
        <v>1256.5548096</v>
      </c>
      <c r="J1331">
        <v>1220.2088623</v>
      </c>
      <c r="K1331">
        <v>2400</v>
      </c>
      <c r="L1331">
        <v>0</v>
      </c>
      <c r="M1331">
        <v>0</v>
      </c>
      <c r="N1331">
        <v>2400</v>
      </c>
    </row>
    <row r="1332" spans="1:14" x14ac:dyDescent="0.25">
      <c r="A1332">
        <v>758.51664700000003</v>
      </c>
      <c r="B1332" s="1">
        <f>DATE(2012,5,28) + TIME(12,23,58)</f>
        <v>41057.516643518517</v>
      </c>
      <c r="C1332">
        <v>80</v>
      </c>
      <c r="D1332">
        <v>79.970336914000001</v>
      </c>
      <c r="E1332">
        <v>50</v>
      </c>
      <c r="F1332">
        <v>47.885940552000001</v>
      </c>
      <c r="G1332">
        <v>1416.5429687999999</v>
      </c>
      <c r="H1332">
        <v>1392.2628173999999</v>
      </c>
      <c r="I1332">
        <v>1256.5203856999999</v>
      </c>
      <c r="J1332">
        <v>1220.1656493999999</v>
      </c>
      <c r="K1332">
        <v>2400</v>
      </c>
      <c r="L1332">
        <v>0</v>
      </c>
      <c r="M1332">
        <v>0</v>
      </c>
      <c r="N1332">
        <v>2400</v>
      </c>
    </row>
    <row r="1333" spans="1:14" x14ac:dyDescent="0.25">
      <c r="A1333">
        <v>759.17316900000003</v>
      </c>
      <c r="B1333" s="1">
        <f>DATE(2012,5,29) + TIME(4,9,21)</f>
        <v>41058.173159722224</v>
      </c>
      <c r="C1333">
        <v>80</v>
      </c>
      <c r="D1333">
        <v>79.970352172999995</v>
      </c>
      <c r="E1333">
        <v>50</v>
      </c>
      <c r="F1333">
        <v>47.844680785999998</v>
      </c>
      <c r="G1333">
        <v>1416.4670410000001</v>
      </c>
      <c r="H1333">
        <v>1392.1896973</v>
      </c>
      <c r="I1333">
        <v>1256.4855957</v>
      </c>
      <c r="J1333">
        <v>1220.1217041</v>
      </c>
      <c r="K1333">
        <v>2400</v>
      </c>
      <c r="L1333">
        <v>0</v>
      </c>
      <c r="M1333">
        <v>0</v>
      </c>
      <c r="N1333">
        <v>2400</v>
      </c>
    </row>
    <row r="1334" spans="1:14" x14ac:dyDescent="0.25">
      <c r="A1334">
        <v>759.83596399999999</v>
      </c>
      <c r="B1334" s="1">
        <f>DATE(2012,5,29) + TIME(20,3,47)</f>
        <v>41058.835960648146</v>
      </c>
      <c r="C1334">
        <v>80</v>
      </c>
      <c r="D1334">
        <v>79.970367432000003</v>
      </c>
      <c r="E1334">
        <v>50</v>
      </c>
      <c r="F1334">
        <v>47.803279877000001</v>
      </c>
      <c r="G1334">
        <v>1416.3923339999999</v>
      </c>
      <c r="H1334">
        <v>1392.1177978999999</v>
      </c>
      <c r="I1334">
        <v>1256.4500731999999</v>
      </c>
      <c r="J1334">
        <v>1220.0770264</v>
      </c>
      <c r="K1334">
        <v>2400</v>
      </c>
      <c r="L1334">
        <v>0</v>
      </c>
      <c r="M1334">
        <v>0</v>
      </c>
      <c r="N1334">
        <v>2400</v>
      </c>
    </row>
    <row r="1335" spans="1:14" x14ac:dyDescent="0.25">
      <c r="A1335">
        <v>760.50733300000002</v>
      </c>
      <c r="B1335" s="1">
        <f>DATE(2012,5,30) + TIME(12,10,33)</f>
        <v>41059.507326388892</v>
      </c>
      <c r="C1335">
        <v>80</v>
      </c>
      <c r="D1335">
        <v>79.970382689999994</v>
      </c>
      <c r="E1335">
        <v>50</v>
      </c>
      <c r="F1335">
        <v>47.761661529999998</v>
      </c>
      <c r="G1335">
        <v>1416.3186035000001</v>
      </c>
      <c r="H1335">
        <v>1392.0467529</v>
      </c>
      <c r="I1335">
        <v>1256.4139404</v>
      </c>
      <c r="J1335">
        <v>1220.03125</v>
      </c>
      <c r="K1335">
        <v>2400</v>
      </c>
      <c r="L1335">
        <v>0</v>
      </c>
      <c r="M1335">
        <v>0</v>
      </c>
      <c r="N1335">
        <v>2400</v>
      </c>
    </row>
    <row r="1336" spans="1:14" x14ac:dyDescent="0.25">
      <c r="A1336">
        <v>761.18964600000004</v>
      </c>
      <c r="B1336" s="1">
        <f>DATE(2012,5,31) + TIME(4,33,5)</f>
        <v>41060.189641203702</v>
      </c>
      <c r="C1336">
        <v>80</v>
      </c>
      <c r="D1336">
        <v>79.970397949000002</v>
      </c>
      <c r="E1336">
        <v>50</v>
      </c>
      <c r="F1336">
        <v>47.719711304</v>
      </c>
      <c r="G1336">
        <v>1416.2456055</v>
      </c>
      <c r="H1336">
        <v>1391.9764404</v>
      </c>
      <c r="I1336">
        <v>1256.3769531</v>
      </c>
      <c r="J1336">
        <v>1219.984375</v>
      </c>
      <c r="K1336">
        <v>2400</v>
      </c>
      <c r="L1336">
        <v>0</v>
      </c>
      <c r="M1336">
        <v>0</v>
      </c>
      <c r="N1336">
        <v>2400</v>
      </c>
    </row>
    <row r="1337" spans="1:14" x14ac:dyDescent="0.25">
      <c r="A1337">
        <v>761.88573899999994</v>
      </c>
      <c r="B1337" s="1">
        <f>DATE(2012,5,31) + TIME(21,15,27)</f>
        <v>41060.885729166665</v>
      </c>
      <c r="C1337">
        <v>80</v>
      </c>
      <c r="D1337">
        <v>79.970413207999997</v>
      </c>
      <c r="E1337">
        <v>50</v>
      </c>
      <c r="F1337">
        <v>47.677280426000003</v>
      </c>
      <c r="G1337">
        <v>1416.1729736</v>
      </c>
      <c r="H1337">
        <v>1391.9066161999999</v>
      </c>
      <c r="I1337">
        <v>1256.3388672000001</v>
      </c>
      <c r="J1337">
        <v>1219.9361572</v>
      </c>
      <c r="K1337">
        <v>2400</v>
      </c>
      <c r="L1337">
        <v>0</v>
      </c>
      <c r="M1337">
        <v>0</v>
      </c>
      <c r="N1337">
        <v>2400</v>
      </c>
    </row>
    <row r="1338" spans="1:14" x14ac:dyDescent="0.25">
      <c r="A1338">
        <v>762</v>
      </c>
      <c r="B1338" s="1">
        <f>DATE(2012,6,1) + TIME(0,0,0)</f>
        <v>41061</v>
      </c>
      <c r="C1338">
        <v>80</v>
      </c>
      <c r="D1338">
        <v>79.970413207999997</v>
      </c>
      <c r="E1338">
        <v>50</v>
      </c>
      <c r="F1338">
        <v>47.663166046000001</v>
      </c>
      <c r="G1338">
        <v>1416.1024170000001</v>
      </c>
      <c r="H1338">
        <v>1391.8387451000001</v>
      </c>
      <c r="I1338">
        <v>1256.2958983999999</v>
      </c>
      <c r="J1338">
        <v>1219.8945312000001</v>
      </c>
      <c r="K1338">
        <v>2400</v>
      </c>
      <c r="L1338">
        <v>0</v>
      </c>
      <c r="M1338">
        <v>0</v>
      </c>
      <c r="N1338">
        <v>2400</v>
      </c>
    </row>
    <row r="1339" spans="1:14" x14ac:dyDescent="0.25">
      <c r="A1339">
        <v>762.71233800000005</v>
      </c>
      <c r="B1339" s="1">
        <f>DATE(2012,6,1) + TIME(17,5,45)</f>
        <v>41061.712326388886</v>
      </c>
      <c r="C1339">
        <v>80</v>
      </c>
      <c r="D1339">
        <v>79.970436096</v>
      </c>
      <c r="E1339">
        <v>50</v>
      </c>
      <c r="F1339">
        <v>47.624431610000002</v>
      </c>
      <c r="G1339">
        <v>1416.0883789</v>
      </c>
      <c r="H1339">
        <v>1391.8250731999999</v>
      </c>
      <c r="I1339">
        <v>1256.2932129000001</v>
      </c>
      <c r="J1339">
        <v>1219.8770752</v>
      </c>
      <c r="K1339">
        <v>2400</v>
      </c>
      <c r="L1339">
        <v>0</v>
      </c>
      <c r="M1339">
        <v>0</v>
      </c>
      <c r="N1339">
        <v>2400</v>
      </c>
    </row>
    <row r="1340" spans="1:14" x14ac:dyDescent="0.25">
      <c r="A1340">
        <v>763.44724599999995</v>
      </c>
      <c r="B1340" s="1">
        <f>DATE(2012,6,2) + TIME(10,44,2)</f>
        <v>41062.447245370371</v>
      </c>
      <c r="C1340">
        <v>80</v>
      </c>
      <c r="D1340">
        <v>79.970451354999994</v>
      </c>
      <c r="E1340">
        <v>50</v>
      </c>
      <c r="F1340">
        <v>47.582244873</v>
      </c>
      <c r="G1340">
        <v>1416.0164795000001</v>
      </c>
      <c r="H1340">
        <v>1391.7558594</v>
      </c>
      <c r="I1340">
        <v>1256.2524414</v>
      </c>
      <c r="J1340">
        <v>1219.8259277</v>
      </c>
      <c r="K1340">
        <v>2400</v>
      </c>
      <c r="L1340">
        <v>0</v>
      </c>
      <c r="M1340">
        <v>0</v>
      </c>
      <c r="N1340">
        <v>2400</v>
      </c>
    </row>
    <row r="1341" spans="1:14" x14ac:dyDescent="0.25">
      <c r="A1341">
        <v>764.19996400000002</v>
      </c>
      <c r="B1341" s="1">
        <f>DATE(2012,6,3) + TIME(4,47,56)</f>
        <v>41063.199953703705</v>
      </c>
      <c r="C1341">
        <v>80</v>
      </c>
      <c r="D1341">
        <v>79.970474242999998</v>
      </c>
      <c r="E1341">
        <v>50</v>
      </c>
      <c r="F1341">
        <v>47.538082123000002</v>
      </c>
      <c r="G1341">
        <v>1415.9434814000001</v>
      </c>
      <c r="H1341">
        <v>1391.6855469</v>
      </c>
      <c r="I1341">
        <v>1256.2098389</v>
      </c>
      <c r="J1341">
        <v>1219.7720947</v>
      </c>
      <c r="K1341">
        <v>2400</v>
      </c>
      <c r="L1341">
        <v>0</v>
      </c>
      <c r="M1341">
        <v>0</v>
      </c>
      <c r="N1341">
        <v>2400</v>
      </c>
    </row>
    <row r="1342" spans="1:14" x14ac:dyDescent="0.25">
      <c r="A1342">
        <v>764.966228</v>
      </c>
      <c r="B1342" s="1">
        <f>DATE(2012,6,3) + TIME(23,11,22)</f>
        <v>41063.966226851851</v>
      </c>
      <c r="C1342">
        <v>80</v>
      </c>
      <c r="D1342">
        <v>79.970489502000007</v>
      </c>
      <c r="E1342">
        <v>50</v>
      </c>
      <c r="F1342">
        <v>47.492721558</v>
      </c>
      <c r="G1342">
        <v>1415.8703613</v>
      </c>
      <c r="H1342">
        <v>1391.6151123</v>
      </c>
      <c r="I1342">
        <v>1256.1655272999999</v>
      </c>
      <c r="J1342">
        <v>1219.7159423999999</v>
      </c>
      <c r="K1342">
        <v>2400</v>
      </c>
      <c r="L1342">
        <v>0</v>
      </c>
      <c r="M1342">
        <v>0</v>
      </c>
      <c r="N1342">
        <v>2400</v>
      </c>
    </row>
    <row r="1343" spans="1:14" x14ac:dyDescent="0.25">
      <c r="A1343">
        <v>765.74937999999997</v>
      </c>
      <c r="B1343" s="1">
        <f>DATE(2012,6,4) + TIME(17,59,6)</f>
        <v>41064.749374999999</v>
      </c>
      <c r="C1343">
        <v>80</v>
      </c>
      <c r="D1343">
        <v>79.970504761000001</v>
      </c>
      <c r="E1343">
        <v>50</v>
      </c>
      <c r="F1343">
        <v>47.446449280000003</v>
      </c>
      <c r="G1343">
        <v>1415.7974853999999</v>
      </c>
      <c r="H1343">
        <v>1391.5449219</v>
      </c>
      <c r="I1343">
        <v>1256.1198730000001</v>
      </c>
      <c r="J1343">
        <v>1219.6577147999999</v>
      </c>
      <c r="K1343">
        <v>2400</v>
      </c>
      <c r="L1343">
        <v>0</v>
      </c>
      <c r="M1343">
        <v>0</v>
      </c>
      <c r="N1343">
        <v>2400</v>
      </c>
    </row>
    <row r="1344" spans="1:14" x14ac:dyDescent="0.25">
      <c r="A1344">
        <v>766.54233199999999</v>
      </c>
      <c r="B1344" s="1">
        <f>DATE(2012,6,5) + TIME(13,0,57)</f>
        <v>41065.542326388888</v>
      </c>
      <c r="C1344">
        <v>80</v>
      </c>
      <c r="D1344">
        <v>79.970527649000005</v>
      </c>
      <c r="E1344">
        <v>50</v>
      </c>
      <c r="F1344">
        <v>47.399490356000001</v>
      </c>
      <c r="G1344">
        <v>1415.7244873</v>
      </c>
      <c r="H1344">
        <v>1391.4747314000001</v>
      </c>
      <c r="I1344">
        <v>1256.0726318</v>
      </c>
      <c r="J1344">
        <v>1219.5975341999999</v>
      </c>
      <c r="K1344">
        <v>2400</v>
      </c>
      <c r="L1344">
        <v>0</v>
      </c>
      <c r="M1344">
        <v>0</v>
      </c>
      <c r="N1344">
        <v>2400</v>
      </c>
    </row>
    <row r="1345" spans="1:14" x14ac:dyDescent="0.25">
      <c r="A1345">
        <v>767.33833000000004</v>
      </c>
      <c r="B1345" s="1">
        <f>DATE(2012,6,6) + TIME(8,7,11)</f>
        <v>41066.338321759256</v>
      </c>
      <c r="C1345">
        <v>80</v>
      </c>
      <c r="D1345">
        <v>79.970542907999999</v>
      </c>
      <c r="E1345">
        <v>50</v>
      </c>
      <c r="F1345">
        <v>47.352180480999998</v>
      </c>
      <c r="G1345">
        <v>1415.6523437999999</v>
      </c>
      <c r="H1345">
        <v>1391.4051514</v>
      </c>
      <c r="I1345">
        <v>1256.0240478999999</v>
      </c>
      <c r="J1345">
        <v>1219.5354004000001</v>
      </c>
      <c r="K1345">
        <v>2400</v>
      </c>
      <c r="L1345">
        <v>0</v>
      </c>
      <c r="M1345">
        <v>0</v>
      </c>
      <c r="N1345">
        <v>2400</v>
      </c>
    </row>
    <row r="1346" spans="1:14" x14ac:dyDescent="0.25">
      <c r="A1346">
        <v>768.14009599999997</v>
      </c>
      <c r="B1346" s="1">
        <f>DATE(2012,6,7) + TIME(3,21,44)</f>
        <v>41067.140092592592</v>
      </c>
      <c r="C1346">
        <v>80</v>
      </c>
      <c r="D1346">
        <v>79.970565796000002</v>
      </c>
      <c r="E1346">
        <v>50</v>
      </c>
      <c r="F1346">
        <v>47.304691314999999</v>
      </c>
      <c r="G1346">
        <v>1415.5812988</v>
      </c>
      <c r="H1346">
        <v>1391.3366699000001</v>
      </c>
      <c r="I1346">
        <v>1255.9746094</v>
      </c>
      <c r="J1346">
        <v>1219.4720459</v>
      </c>
      <c r="K1346">
        <v>2400</v>
      </c>
      <c r="L1346">
        <v>0</v>
      </c>
      <c r="M1346">
        <v>0</v>
      </c>
      <c r="N1346">
        <v>2400</v>
      </c>
    </row>
    <row r="1347" spans="1:14" x14ac:dyDescent="0.25">
      <c r="A1347">
        <v>768.95033599999999</v>
      </c>
      <c r="B1347" s="1">
        <f>DATE(2012,6,7) + TIME(22,48,29)</f>
        <v>41067.950335648151</v>
      </c>
      <c r="C1347">
        <v>80</v>
      </c>
      <c r="D1347">
        <v>79.970581054999997</v>
      </c>
      <c r="E1347">
        <v>50</v>
      </c>
      <c r="F1347">
        <v>47.256969452</v>
      </c>
      <c r="G1347">
        <v>1415.5112305</v>
      </c>
      <c r="H1347">
        <v>1391.2691649999999</v>
      </c>
      <c r="I1347">
        <v>1255.9241943</v>
      </c>
      <c r="J1347">
        <v>1219.4072266000001</v>
      </c>
      <c r="K1347">
        <v>2400</v>
      </c>
      <c r="L1347">
        <v>0</v>
      </c>
      <c r="M1347">
        <v>0</v>
      </c>
      <c r="N1347">
        <v>2400</v>
      </c>
    </row>
    <row r="1348" spans="1:14" x14ac:dyDescent="0.25">
      <c r="A1348">
        <v>769.77180099999998</v>
      </c>
      <c r="B1348" s="1">
        <f>DATE(2012,6,8) + TIME(18,31,23)</f>
        <v>41068.771793981483</v>
      </c>
      <c r="C1348">
        <v>80</v>
      </c>
      <c r="D1348">
        <v>79.970603943</v>
      </c>
      <c r="E1348">
        <v>50</v>
      </c>
      <c r="F1348">
        <v>47.208896637000002</v>
      </c>
      <c r="G1348">
        <v>1415.4418945</v>
      </c>
      <c r="H1348">
        <v>1391.2023925999999</v>
      </c>
      <c r="I1348">
        <v>1255.8723144999999</v>
      </c>
      <c r="J1348">
        <v>1219.3405762</v>
      </c>
      <c r="K1348">
        <v>2400</v>
      </c>
      <c r="L1348">
        <v>0</v>
      </c>
      <c r="M1348">
        <v>0</v>
      </c>
      <c r="N1348">
        <v>2400</v>
      </c>
    </row>
    <row r="1349" spans="1:14" x14ac:dyDescent="0.25">
      <c r="A1349">
        <v>770.60735299999999</v>
      </c>
      <c r="B1349" s="1">
        <f>DATE(2012,6,9) + TIME(14,34,35)</f>
        <v>41069.607349537036</v>
      </c>
      <c r="C1349">
        <v>80</v>
      </c>
      <c r="D1349">
        <v>79.970626831000004</v>
      </c>
      <c r="E1349">
        <v>50</v>
      </c>
      <c r="F1349">
        <v>47.160320282000001</v>
      </c>
      <c r="G1349">
        <v>1415.3729248</v>
      </c>
      <c r="H1349">
        <v>1391.1359863</v>
      </c>
      <c r="I1349">
        <v>1255.8189697</v>
      </c>
      <c r="J1349">
        <v>1219.2717285000001</v>
      </c>
      <c r="K1349">
        <v>2400</v>
      </c>
      <c r="L1349">
        <v>0</v>
      </c>
      <c r="M1349">
        <v>0</v>
      </c>
      <c r="N1349">
        <v>2400</v>
      </c>
    </row>
    <row r="1350" spans="1:14" x14ac:dyDescent="0.25">
      <c r="A1350">
        <v>771.46057800000005</v>
      </c>
      <c r="B1350" s="1">
        <f>DATE(2012,6,10) + TIME(11,3,13)</f>
        <v>41070.46056712963</v>
      </c>
      <c r="C1350">
        <v>80</v>
      </c>
      <c r="D1350">
        <v>79.970642089999998</v>
      </c>
      <c r="E1350">
        <v>50</v>
      </c>
      <c r="F1350">
        <v>47.111053466999998</v>
      </c>
      <c r="G1350">
        <v>1415.3041992000001</v>
      </c>
      <c r="H1350">
        <v>1391.0697021000001</v>
      </c>
      <c r="I1350">
        <v>1255.7639160000001</v>
      </c>
      <c r="J1350">
        <v>1219.2005615</v>
      </c>
      <c r="K1350">
        <v>2400</v>
      </c>
      <c r="L1350">
        <v>0</v>
      </c>
      <c r="M1350">
        <v>0</v>
      </c>
      <c r="N1350">
        <v>2400</v>
      </c>
    </row>
    <row r="1351" spans="1:14" x14ac:dyDescent="0.25">
      <c r="A1351">
        <v>772.33427099999994</v>
      </c>
      <c r="B1351" s="1">
        <f>DATE(2012,6,11) + TIME(8,1,21)</f>
        <v>41071.334270833337</v>
      </c>
      <c r="C1351">
        <v>80</v>
      </c>
      <c r="D1351">
        <v>79.970664978000002</v>
      </c>
      <c r="E1351">
        <v>50</v>
      </c>
      <c r="F1351">
        <v>47.060909271</v>
      </c>
      <c r="G1351">
        <v>1415.2354736</v>
      </c>
      <c r="H1351">
        <v>1391.003418</v>
      </c>
      <c r="I1351">
        <v>1255.7067870999999</v>
      </c>
      <c r="J1351">
        <v>1219.1265868999999</v>
      </c>
      <c r="K1351">
        <v>2400</v>
      </c>
      <c r="L1351">
        <v>0</v>
      </c>
      <c r="M1351">
        <v>0</v>
      </c>
      <c r="N1351">
        <v>2400</v>
      </c>
    </row>
    <row r="1352" spans="1:14" x14ac:dyDescent="0.25">
      <c r="A1352">
        <v>773.232033</v>
      </c>
      <c r="B1352" s="1">
        <f>DATE(2012,6,12) + TIME(5,34,7)</f>
        <v>41072.232025462959</v>
      </c>
      <c r="C1352">
        <v>80</v>
      </c>
      <c r="D1352">
        <v>79.970687866000006</v>
      </c>
      <c r="E1352">
        <v>50</v>
      </c>
      <c r="F1352">
        <v>47.009696959999999</v>
      </c>
      <c r="G1352">
        <v>1415.1663818</v>
      </c>
      <c r="H1352">
        <v>1390.9368896000001</v>
      </c>
      <c r="I1352">
        <v>1255.6473389</v>
      </c>
      <c r="J1352">
        <v>1219.0493164</v>
      </c>
      <c r="K1352">
        <v>2400</v>
      </c>
      <c r="L1352">
        <v>0</v>
      </c>
      <c r="M1352">
        <v>0</v>
      </c>
      <c r="N1352">
        <v>2400</v>
      </c>
    </row>
    <row r="1353" spans="1:14" x14ac:dyDescent="0.25">
      <c r="A1353">
        <v>774.14935700000001</v>
      </c>
      <c r="B1353" s="1">
        <f>DATE(2012,6,13) + TIME(3,35,4)</f>
        <v>41073.149351851855</v>
      </c>
      <c r="C1353">
        <v>80</v>
      </c>
      <c r="D1353">
        <v>79.970710753999995</v>
      </c>
      <c r="E1353">
        <v>50</v>
      </c>
      <c r="F1353">
        <v>46.957363129000001</v>
      </c>
      <c r="G1353">
        <v>1415.0968018000001</v>
      </c>
      <c r="H1353">
        <v>1390.8698730000001</v>
      </c>
      <c r="I1353">
        <v>1255.5850829999999</v>
      </c>
      <c r="J1353">
        <v>1218.9686279</v>
      </c>
      <c r="K1353">
        <v>2400</v>
      </c>
      <c r="L1353">
        <v>0</v>
      </c>
      <c r="M1353">
        <v>0</v>
      </c>
      <c r="N1353">
        <v>2400</v>
      </c>
    </row>
    <row r="1354" spans="1:14" x14ac:dyDescent="0.25">
      <c r="A1354">
        <v>775.08061499999997</v>
      </c>
      <c r="B1354" s="1">
        <f>DATE(2012,6,14) + TIME(1,56,5)</f>
        <v>41074.080613425926</v>
      </c>
      <c r="C1354">
        <v>80</v>
      </c>
      <c r="D1354">
        <v>79.970733643000003</v>
      </c>
      <c r="E1354">
        <v>50</v>
      </c>
      <c r="F1354">
        <v>46.904067992999998</v>
      </c>
      <c r="G1354">
        <v>1415.0270995999999</v>
      </c>
      <c r="H1354">
        <v>1390.8027344</v>
      </c>
      <c r="I1354">
        <v>1255.5205077999999</v>
      </c>
      <c r="J1354">
        <v>1218.8843993999999</v>
      </c>
      <c r="K1354">
        <v>2400</v>
      </c>
      <c r="L1354">
        <v>0</v>
      </c>
      <c r="M1354">
        <v>0</v>
      </c>
      <c r="N1354">
        <v>2400</v>
      </c>
    </row>
    <row r="1355" spans="1:14" x14ac:dyDescent="0.25">
      <c r="A1355">
        <v>776.01351</v>
      </c>
      <c r="B1355" s="1">
        <f>DATE(2012,6,15) + TIME(0,19,27)</f>
        <v>41075.013506944444</v>
      </c>
      <c r="C1355">
        <v>80</v>
      </c>
      <c r="D1355">
        <v>79.970756531000006</v>
      </c>
      <c r="E1355">
        <v>50</v>
      </c>
      <c r="F1355">
        <v>46.850200653000002</v>
      </c>
      <c r="G1355">
        <v>1414.9577637</v>
      </c>
      <c r="H1355">
        <v>1390.7358397999999</v>
      </c>
      <c r="I1355">
        <v>1255.4537353999999</v>
      </c>
      <c r="J1355">
        <v>1218.7972411999999</v>
      </c>
      <c r="K1355">
        <v>2400</v>
      </c>
      <c r="L1355">
        <v>0</v>
      </c>
      <c r="M1355">
        <v>0</v>
      </c>
      <c r="N1355">
        <v>2400</v>
      </c>
    </row>
    <row r="1356" spans="1:14" x14ac:dyDescent="0.25">
      <c r="A1356">
        <v>776.95119999999997</v>
      </c>
      <c r="B1356" s="1">
        <f>DATE(2012,6,15) + TIME(22,49,43)</f>
        <v>41075.951192129629</v>
      </c>
      <c r="C1356">
        <v>80</v>
      </c>
      <c r="D1356">
        <v>79.970779418999996</v>
      </c>
      <c r="E1356">
        <v>50</v>
      </c>
      <c r="F1356">
        <v>46.796058655000003</v>
      </c>
      <c r="G1356">
        <v>1414.8896483999999</v>
      </c>
      <c r="H1356">
        <v>1390.6701660000001</v>
      </c>
      <c r="I1356">
        <v>1255.3856201000001</v>
      </c>
      <c r="J1356">
        <v>1218.7080077999999</v>
      </c>
      <c r="K1356">
        <v>2400</v>
      </c>
      <c r="L1356">
        <v>0</v>
      </c>
      <c r="M1356">
        <v>0</v>
      </c>
      <c r="N1356">
        <v>2400</v>
      </c>
    </row>
    <row r="1357" spans="1:14" x14ac:dyDescent="0.25">
      <c r="A1357">
        <v>777.89681099999996</v>
      </c>
      <c r="B1357" s="1">
        <f>DATE(2012,6,16) + TIME(21,31,24)</f>
        <v>41076.896805555552</v>
      </c>
      <c r="C1357">
        <v>80</v>
      </c>
      <c r="D1357">
        <v>79.970802307</v>
      </c>
      <c r="E1357">
        <v>50</v>
      </c>
      <c r="F1357">
        <v>46.741603851000001</v>
      </c>
      <c r="G1357">
        <v>1414.8223877</v>
      </c>
      <c r="H1357">
        <v>1390.6053466999999</v>
      </c>
      <c r="I1357">
        <v>1255.315918</v>
      </c>
      <c r="J1357">
        <v>1218.6164550999999</v>
      </c>
      <c r="K1357">
        <v>2400</v>
      </c>
      <c r="L1357">
        <v>0</v>
      </c>
      <c r="M1357">
        <v>0</v>
      </c>
      <c r="N1357">
        <v>2400</v>
      </c>
    </row>
    <row r="1358" spans="1:14" x14ac:dyDescent="0.25">
      <c r="A1358">
        <v>778.85348299999998</v>
      </c>
      <c r="B1358" s="1">
        <f>DATE(2012,6,17) + TIME(20,29,0)</f>
        <v>41077.853472222225</v>
      </c>
      <c r="C1358">
        <v>80</v>
      </c>
      <c r="D1358">
        <v>79.970825195000003</v>
      </c>
      <c r="E1358">
        <v>50</v>
      </c>
      <c r="F1358">
        <v>46.686691283999998</v>
      </c>
      <c r="G1358">
        <v>1414.7559814000001</v>
      </c>
      <c r="H1358">
        <v>1390.5412598</v>
      </c>
      <c r="I1358">
        <v>1255.2442627</v>
      </c>
      <c r="J1358">
        <v>1218.5222168</v>
      </c>
      <c r="K1358">
        <v>2400</v>
      </c>
      <c r="L1358">
        <v>0</v>
      </c>
      <c r="M1358">
        <v>0</v>
      </c>
      <c r="N1358">
        <v>2400</v>
      </c>
    </row>
    <row r="1359" spans="1:14" x14ac:dyDescent="0.25">
      <c r="A1359">
        <v>779.82443999999998</v>
      </c>
      <c r="B1359" s="1">
        <f>DATE(2012,6,18) + TIME(19,47,11)</f>
        <v>41078.824432870373</v>
      </c>
      <c r="C1359">
        <v>80</v>
      </c>
      <c r="D1359">
        <v>79.970848083000007</v>
      </c>
      <c r="E1359">
        <v>50</v>
      </c>
      <c r="F1359">
        <v>46.631134033000002</v>
      </c>
      <c r="G1359">
        <v>1414.6898193</v>
      </c>
      <c r="H1359">
        <v>1390.4776611</v>
      </c>
      <c r="I1359">
        <v>1255.1705322</v>
      </c>
      <c r="J1359">
        <v>1218.4248047000001</v>
      </c>
      <c r="K1359">
        <v>2400</v>
      </c>
      <c r="L1359">
        <v>0</v>
      </c>
      <c r="M1359">
        <v>0</v>
      </c>
      <c r="N1359">
        <v>2400</v>
      </c>
    </row>
    <row r="1360" spans="1:14" x14ac:dyDescent="0.25">
      <c r="A1360">
        <v>780.81327799999997</v>
      </c>
      <c r="B1360" s="1">
        <f>DATE(2012,6,19) + TIME(19,31,7)</f>
        <v>41079.813275462962</v>
      </c>
      <c r="C1360">
        <v>80</v>
      </c>
      <c r="D1360">
        <v>79.970870972</v>
      </c>
      <c r="E1360">
        <v>50</v>
      </c>
      <c r="F1360">
        <v>46.574718474999997</v>
      </c>
      <c r="G1360">
        <v>1414.6240233999999</v>
      </c>
      <c r="H1360">
        <v>1390.4141846</v>
      </c>
      <c r="I1360">
        <v>1255.0942382999999</v>
      </c>
      <c r="J1360">
        <v>1218.3237305</v>
      </c>
      <c r="K1360">
        <v>2400</v>
      </c>
      <c r="L1360">
        <v>0</v>
      </c>
      <c r="M1360">
        <v>0</v>
      </c>
      <c r="N1360">
        <v>2400</v>
      </c>
    </row>
    <row r="1361" spans="1:14" x14ac:dyDescent="0.25">
      <c r="A1361">
        <v>781.82391800000005</v>
      </c>
      <c r="B1361" s="1">
        <f>DATE(2012,6,20) + TIME(19,46,26)</f>
        <v>41080.823912037034</v>
      </c>
      <c r="C1361">
        <v>80</v>
      </c>
      <c r="D1361">
        <v>79.970893860000004</v>
      </c>
      <c r="E1361">
        <v>50</v>
      </c>
      <c r="F1361">
        <v>46.517208099000001</v>
      </c>
      <c r="G1361">
        <v>1414.5582274999999</v>
      </c>
      <c r="H1361">
        <v>1390.3507079999999</v>
      </c>
      <c r="I1361">
        <v>1255.0151367000001</v>
      </c>
      <c r="J1361">
        <v>1218.2186279</v>
      </c>
      <c r="K1361">
        <v>2400</v>
      </c>
      <c r="L1361">
        <v>0</v>
      </c>
      <c r="M1361">
        <v>0</v>
      </c>
      <c r="N1361">
        <v>2400</v>
      </c>
    </row>
    <row r="1362" spans="1:14" x14ac:dyDescent="0.25">
      <c r="A1362">
        <v>782.85984099999996</v>
      </c>
      <c r="B1362" s="1">
        <f>DATE(2012,6,21) + TIME(20,38,10)</f>
        <v>41081.859837962962</v>
      </c>
      <c r="C1362">
        <v>80</v>
      </c>
      <c r="D1362">
        <v>79.970916747999993</v>
      </c>
      <c r="E1362">
        <v>50</v>
      </c>
      <c r="F1362">
        <v>46.458366394000002</v>
      </c>
      <c r="G1362">
        <v>1414.4921875</v>
      </c>
      <c r="H1362">
        <v>1390.2869873</v>
      </c>
      <c r="I1362">
        <v>1254.9327393000001</v>
      </c>
      <c r="J1362">
        <v>1218.1088867000001</v>
      </c>
      <c r="K1362">
        <v>2400</v>
      </c>
      <c r="L1362">
        <v>0</v>
      </c>
      <c r="M1362">
        <v>0</v>
      </c>
      <c r="N1362">
        <v>2400</v>
      </c>
    </row>
    <row r="1363" spans="1:14" x14ac:dyDescent="0.25">
      <c r="A1363">
        <v>783.924667</v>
      </c>
      <c r="B1363" s="1">
        <f>DATE(2012,6,22) + TIME(22,11,31)</f>
        <v>41082.924664351849</v>
      </c>
      <c r="C1363">
        <v>80</v>
      </c>
      <c r="D1363">
        <v>79.970939635999997</v>
      </c>
      <c r="E1363">
        <v>50</v>
      </c>
      <c r="F1363">
        <v>46.397945403999998</v>
      </c>
      <c r="G1363">
        <v>1414.4257812000001</v>
      </c>
      <c r="H1363">
        <v>1390.2229004000001</v>
      </c>
      <c r="I1363">
        <v>1254.8465576000001</v>
      </c>
      <c r="J1363">
        <v>1217.9937743999999</v>
      </c>
      <c r="K1363">
        <v>2400</v>
      </c>
      <c r="L1363">
        <v>0</v>
      </c>
      <c r="M1363">
        <v>0</v>
      </c>
      <c r="N1363">
        <v>2400</v>
      </c>
    </row>
    <row r="1364" spans="1:14" x14ac:dyDescent="0.25">
      <c r="A1364">
        <v>785.01076</v>
      </c>
      <c r="B1364" s="1">
        <f>DATE(2012,6,24) + TIME(0,15,29)</f>
        <v>41084.010752314818</v>
      </c>
      <c r="C1364">
        <v>80</v>
      </c>
      <c r="D1364">
        <v>79.970970154</v>
      </c>
      <c r="E1364">
        <v>50</v>
      </c>
      <c r="F1364">
        <v>46.335884094000001</v>
      </c>
      <c r="G1364">
        <v>1414.3586425999999</v>
      </c>
      <c r="H1364">
        <v>1390.1582031</v>
      </c>
      <c r="I1364">
        <v>1254.7562256000001</v>
      </c>
      <c r="J1364">
        <v>1217.8728027</v>
      </c>
      <c r="K1364">
        <v>2400</v>
      </c>
      <c r="L1364">
        <v>0</v>
      </c>
      <c r="M1364">
        <v>0</v>
      </c>
      <c r="N1364">
        <v>2400</v>
      </c>
    </row>
    <row r="1365" spans="1:14" x14ac:dyDescent="0.25">
      <c r="A1365">
        <v>786.09762599999999</v>
      </c>
      <c r="B1365" s="1">
        <f>DATE(2012,6,25) + TIME(2,20,34)</f>
        <v>41085.097615740742</v>
      </c>
      <c r="C1365">
        <v>80</v>
      </c>
      <c r="D1365">
        <v>79.970993042000003</v>
      </c>
      <c r="E1365">
        <v>50</v>
      </c>
      <c r="F1365">
        <v>46.272663115999997</v>
      </c>
      <c r="G1365">
        <v>1414.2913818</v>
      </c>
      <c r="H1365">
        <v>1390.0933838000001</v>
      </c>
      <c r="I1365">
        <v>1254.6621094</v>
      </c>
      <c r="J1365">
        <v>1217.746582</v>
      </c>
      <c r="K1365">
        <v>2400</v>
      </c>
      <c r="L1365">
        <v>0</v>
      </c>
      <c r="M1365">
        <v>0</v>
      </c>
      <c r="N1365">
        <v>2400</v>
      </c>
    </row>
    <row r="1366" spans="1:14" x14ac:dyDescent="0.25">
      <c r="A1366">
        <v>787.18883500000004</v>
      </c>
      <c r="B1366" s="1">
        <f>DATE(2012,6,26) + TIME(4,31,55)</f>
        <v>41086.188831018517</v>
      </c>
      <c r="C1366">
        <v>80</v>
      </c>
      <c r="D1366">
        <v>79.971023560000006</v>
      </c>
      <c r="E1366">
        <v>50</v>
      </c>
      <c r="F1366">
        <v>46.208816528</v>
      </c>
      <c r="G1366">
        <v>1414.2253418</v>
      </c>
      <c r="H1366">
        <v>1390.0296631000001</v>
      </c>
      <c r="I1366">
        <v>1254.565918</v>
      </c>
      <c r="J1366">
        <v>1217.6170654</v>
      </c>
      <c r="K1366">
        <v>2400</v>
      </c>
      <c r="L1366">
        <v>0</v>
      </c>
      <c r="M1366">
        <v>0</v>
      </c>
      <c r="N1366">
        <v>2400</v>
      </c>
    </row>
    <row r="1367" spans="1:14" x14ac:dyDescent="0.25">
      <c r="A1367">
        <v>788.28797699999996</v>
      </c>
      <c r="B1367" s="1">
        <f>DATE(2012,6,27) + TIME(6,54,41)</f>
        <v>41087.287974537037</v>
      </c>
      <c r="C1367">
        <v>80</v>
      </c>
      <c r="D1367">
        <v>79.971046447999996</v>
      </c>
      <c r="E1367">
        <v>50</v>
      </c>
      <c r="F1367">
        <v>46.144332886000001</v>
      </c>
      <c r="G1367">
        <v>1414.1601562000001</v>
      </c>
      <c r="H1367">
        <v>1389.9669189000001</v>
      </c>
      <c r="I1367">
        <v>1254.4674072</v>
      </c>
      <c r="J1367">
        <v>1217.4838867000001</v>
      </c>
      <c r="K1367">
        <v>2400</v>
      </c>
      <c r="L1367">
        <v>0</v>
      </c>
      <c r="M1367">
        <v>0</v>
      </c>
      <c r="N1367">
        <v>2400</v>
      </c>
    </row>
    <row r="1368" spans="1:14" x14ac:dyDescent="0.25">
      <c r="A1368">
        <v>789.39862500000004</v>
      </c>
      <c r="B1368" s="1">
        <f>DATE(2012,6,28) + TIME(9,34,1)</f>
        <v>41088.398622685185</v>
      </c>
      <c r="C1368">
        <v>80</v>
      </c>
      <c r="D1368">
        <v>79.971069335999999</v>
      </c>
      <c r="E1368">
        <v>50</v>
      </c>
      <c r="F1368">
        <v>46.079025268999999</v>
      </c>
      <c r="G1368">
        <v>1414.0957031</v>
      </c>
      <c r="H1368">
        <v>1389.9046631000001</v>
      </c>
      <c r="I1368">
        <v>1254.3662108999999</v>
      </c>
      <c r="J1368">
        <v>1217.3465576000001</v>
      </c>
      <c r="K1368">
        <v>2400</v>
      </c>
      <c r="L1368">
        <v>0</v>
      </c>
      <c r="M1368">
        <v>0</v>
      </c>
      <c r="N1368">
        <v>2400</v>
      </c>
    </row>
    <row r="1369" spans="1:14" x14ac:dyDescent="0.25">
      <c r="A1369">
        <v>790.52442099999996</v>
      </c>
      <c r="B1369" s="1">
        <f>DATE(2012,6,29) + TIME(12,35,10)</f>
        <v>41089.524421296293</v>
      </c>
      <c r="C1369">
        <v>80</v>
      </c>
      <c r="D1369">
        <v>79.971099854000002</v>
      </c>
      <c r="E1369">
        <v>50</v>
      </c>
      <c r="F1369">
        <v>46.012657165999997</v>
      </c>
      <c r="G1369">
        <v>1414.0316161999999</v>
      </c>
      <c r="H1369">
        <v>1389.8428954999999</v>
      </c>
      <c r="I1369">
        <v>1254.2617187999999</v>
      </c>
      <c r="J1369">
        <v>1217.2043457</v>
      </c>
      <c r="K1369">
        <v>2400</v>
      </c>
      <c r="L1369">
        <v>0</v>
      </c>
      <c r="M1369">
        <v>0</v>
      </c>
      <c r="N1369">
        <v>2400</v>
      </c>
    </row>
    <row r="1370" spans="1:14" x14ac:dyDescent="0.25">
      <c r="A1370">
        <v>791.66839200000004</v>
      </c>
      <c r="B1370" s="1">
        <f>DATE(2012,6,30) + TIME(16,2,29)</f>
        <v>41090.668391203704</v>
      </c>
      <c r="C1370">
        <v>80</v>
      </c>
      <c r="D1370">
        <v>79.971122742000006</v>
      </c>
      <c r="E1370">
        <v>50</v>
      </c>
      <c r="F1370">
        <v>45.944972991999997</v>
      </c>
      <c r="G1370">
        <v>1413.9677733999999</v>
      </c>
      <c r="H1370">
        <v>1389.78125</v>
      </c>
      <c r="I1370">
        <v>1254.1535644999999</v>
      </c>
      <c r="J1370">
        <v>1217.0567627</v>
      </c>
      <c r="K1370">
        <v>2400</v>
      </c>
      <c r="L1370">
        <v>0</v>
      </c>
      <c r="M1370">
        <v>0</v>
      </c>
      <c r="N1370">
        <v>2400</v>
      </c>
    </row>
    <row r="1371" spans="1:14" x14ac:dyDescent="0.25">
      <c r="A1371">
        <v>792</v>
      </c>
      <c r="B1371" s="1">
        <f>DATE(2012,7,1) + TIME(0,0,0)</f>
        <v>41091</v>
      </c>
      <c r="C1371">
        <v>80</v>
      </c>
      <c r="D1371">
        <v>79.971130371000001</v>
      </c>
      <c r="E1371">
        <v>50</v>
      </c>
      <c r="F1371">
        <v>45.904647826999998</v>
      </c>
      <c r="G1371">
        <v>1413.9045410000001</v>
      </c>
      <c r="H1371">
        <v>1389.7203368999999</v>
      </c>
      <c r="I1371">
        <v>1254.0421143000001</v>
      </c>
      <c r="J1371">
        <v>1216.9213867000001</v>
      </c>
      <c r="K1371">
        <v>2400</v>
      </c>
      <c r="L1371">
        <v>0</v>
      </c>
      <c r="M1371">
        <v>0</v>
      </c>
      <c r="N1371">
        <v>2400</v>
      </c>
    </row>
    <row r="1372" spans="1:14" x14ac:dyDescent="0.25">
      <c r="A1372">
        <v>793.16497800000002</v>
      </c>
      <c r="B1372" s="1">
        <f>DATE(2012,7,2) + TIME(3,57,34)</f>
        <v>41092.164976851855</v>
      </c>
      <c r="C1372">
        <v>80</v>
      </c>
      <c r="D1372">
        <v>79.971160889000004</v>
      </c>
      <c r="E1372">
        <v>50</v>
      </c>
      <c r="F1372">
        <v>45.849712371999999</v>
      </c>
      <c r="G1372">
        <v>1413.885376</v>
      </c>
      <c r="H1372">
        <v>1389.7017822</v>
      </c>
      <c r="I1372">
        <v>1254.0075684000001</v>
      </c>
      <c r="J1372">
        <v>1216.8530272999999</v>
      </c>
      <c r="K1372">
        <v>2400</v>
      </c>
      <c r="L1372">
        <v>0</v>
      </c>
      <c r="M1372">
        <v>0</v>
      </c>
      <c r="N1372">
        <v>2400</v>
      </c>
    </row>
    <row r="1373" spans="1:14" x14ac:dyDescent="0.25">
      <c r="A1373">
        <v>794.36401499999999</v>
      </c>
      <c r="B1373" s="1">
        <f>DATE(2012,7,3) + TIME(8,44,10)</f>
        <v>41093.364004629628</v>
      </c>
      <c r="C1373">
        <v>80</v>
      </c>
      <c r="D1373">
        <v>79.971191406000003</v>
      </c>
      <c r="E1373">
        <v>50</v>
      </c>
      <c r="F1373">
        <v>45.782478333</v>
      </c>
      <c r="G1373">
        <v>1413.8221435999999</v>
      </c>
      <c r="H1373">
        <v>1389.6407471</v>
      </c>
      <c r="I1373">
        <v>1253.8908690999999</v>
      </c>
      <c r="J1373">
        <v>1216.6951904</v>
      </c>
      <c r="K1373">
        <v>2400</v>
      </c>
      <c r="L1373">
        <v>0</v>
      </c>
      <c r="M1373">
        <v>0</v>
      </c>
      <c r="N1373">
        <v>2400</v>
      </c>
    </row>
    <row r="1374" spans="1:14" x14ac:dyDescent="0.25">
      <c r="A1374">
        <v>795.59393799999998</v>
      </c>
      <c r="B1374" s="1">
        <f>DATE(2012,7,4) + TIME(14,15,16)</f>
        <v>41094.593935185185</v>
      </c>
      <c r="C1374">
        <v>80</v>
      </c>
      <c r="D1374">
        <v>79.971214294000006</v>
      </c>
      <c r="E1374">
        <v>50</v>
      </c>
      <c r="F1374">
        <v>45.709789276000002</v>
      </c>
      <c r="G1374">
        <v>1413.7578125</v>
      </c>
      <c r="H1374">
        <v>1389.5787353999999</v>
      </c>
      <c r="I1374">
        <v>1253.7677002</v>
      </c>
      <c r="J1374">
        <v>1216.5261230000001</v>
      </c>
      <c r="K1374">
        <v>2400</v>
      </c>
      <c r="L1374">
        <v>0</v>
      </c>
      <c r="M1374">
        <v>0</v>
      </c>
      <c r="N1374">
        <v>2400</v>
      </c>
    </row>
    <row r="1375" spans="1:14" x14ac:dyDescent="0.25">
      <c r="A1375">
        <v>796.83608500000003</v>
      </c>
      <c r="B1375" s="1">
        <f>DATE(2012,7,5) + TIME(20,3,57)</f>
        <v>41095.836076388892</v>
      </c>
      <c r="C1375">
        <v>80</v>
      </c>
      <c r="D1375">
        <v>79.971244811999995</v>
      </c>
      <c r="E1375">
        <v>50</v>
      </c>
      <c r="F1375">
        <v>45.633960723999998</v>
      </c>
      <c r="G1375">
        <v>1413.6928711</v>
      </c>
      <c r="H1375">
        <v>1389.5161132999999</v>
      </c>
      <c r="I1375">
        <v>1253.6385498</v>
      </c>
      <c r="J1375">
        <v>1216.3477783000001</v>
      </c>
      <c r="K1375">
        <v>2400</v>
      </c>
      <c r="L1375">
        <v>0</v>
      </c>
      <c r="M1375">
        <v>0</v>
      </c>
      <c r="N1375">
        <v>2400</v>
      </c>
    </row>
    <row r="1376" spans="1:14" x14ac:dyDescent="0.25">
      <c r="A1376">
        <v>798.08043399999997</v>
      </c>
      <c r="B1376" s="1">
        <f>DATE(2012,7,7) + TIME(1,55,49)</f>
        <v>41097.080428240741</v>
      </c>
      <c r="C1376">
        <v>80</v>
      </c>
      <c r="D1376">
        <v>79.971275329999997</v>
      </c>
      <c r="E1376">
        <v>50</v>
      </c>
      <c r="F1376">
        <v>45.556293488000001</v>
      </c>
      <c r="G1376">
        <v>1413.628418</v>
      </c>
      <c r="H1376">
        <v>1389.4538574000001</v>
      </c>
      <c r="I1376">
        <v>1253.505249</v>
      </c>
      <c r="J1376">
        <v>1216.1629639</v>
      </c>
      <c r="K1376">
        <v>2400</v>
      </c>
      <c r="L1376">
        <v>0</v>
      </c>
      <c r="M1376">
        <v>0</v>
      </c>
      <c r="N1376">
        <v>2400</v>
      </c>
    </row>
    <row r="1377" spans="1:14" x14ac:dyDescent="0.25">
      <c r="A1377">
        <v>799.33089700000005</v>
      </c>
      <c r="B1377" s="1">
        <f>DATE(2012,7,8) + TIME(7,56,29)</f>
        <v>41098.330891203703</v>
      </c>
      <c r="C1377">
        <v>80</v>
      </c>
      <c r="D1377">
        <v>79.971305846999996</v>
      </c>
      <c r="E1377">
        <v>50</v>
      </c>
      <c r="F1377">
        <v>45.477317810000002</v>
      </c>
      <c r="G1377">
        <v>1413.5649414</v>
      </c>
      <c r="H1377">
        <v>1389.3925781</v>
      </c>
      <c r="I1377">
        <v>1253.3687743999999</v>
      </c>
      <c r="J1377">
        <v>1215.9729004000001</v>
      </c>
      <c r="K1377">
        <v>2400</v>
      </c>
      <c r="L1377">
        <v>0</v>
      </c>
      <c r="M1377">
        <v>0</v>
      </c>
      <c r="N1377">
        <v>2400</v>
      </c>
    </row>
    <row r="1378" spans="1:14" x14ac:dyDescent="0.25">
      <c r="A1378">
        <v>800.59139000000005</v>
      </c>
      <c r="B1378" s="1">
        <f>DATE(2012,7,9) + TIME(14,11,36)</f>
        <v>41099.59138888889</v>
      </c>
      <c r="C1378">
        <v>80</v>
      </c>
      <c r="D1378">
        <v>79.971336364999999</v>
      </c>
      <c r="E1378">
        <v>50</v>
      </c>
      <c r="F1378">
        <v>45.396945952999999</v>
      </c>
      <c r="G1378">
        <v>1413.5020752</v>
      </c>
      <c r="H1378">
        <v>1389.3320312000001</v>
      </c>
      <c r="I1378">
        <v>1253.2286377</v>
      </c>
      <c r="J1378">
        <v>1215.7772216999999</v>
      </c>
      <c r="K1378">
        <v>2400</v>
      </c>
      <c r="L1378">
        <v>0</v>
      </c>
      <c r="M1378">
        <v>0</v>
      </c>
      <c r="N1378">
        <v>2400</v>
      </c>
    </row>
    <row r="1379" spans="1:14" x14ac:dyDescent="0.25">
      <c r="A1379">
        <v>801.865858</v>
      </c>
      <c r="B1379" s="1">
        <f>DATE(2012,7,10) + TIME(20,46,50)</f>
        <v>41100.865856481483</v>
      </c>
      <c r="C1379">
        <v>80</v>
      </c>
      <c r="D1379">
        <v>79.971366881999998</v>
      </c>
      <c r="E1379">
        <v>50</v>
      </c>
      <c r="F1379">
        <v>45.314918517999999</v>
      </c>
      <c r="G1379">
        <v>1413.4398193</v>
      </c>
      <c r="H1379">
        <v>1389.2718506000001</v>
      </c>
      <c r="I1379">
        <v>1253.0844727000001</v>
      </c>
      <c r="J1379">
        <v>1215.5749512</v>
      </c>
      <c r="K1379">
        <v>2400</v>
      </c>
      <c r="L1379">
        <v>0</v>
      </c>
      <c r="M1379">
        <v>0</v>
      </c>
      <c r="N1379">
        <v>2400</v>
      </c>
    </row>
    <row r="1380" spans="1:14" x14ac:dyDescent="0.25">
      <c r="A1380">
        <v>803.15834600000005</v>
      </c>
      <c r="B1380" s="1">
        <f>DATE(2012,7,12) + TIME(3,48,1)</f>
        <v>41102.15834490741</v>
      </c>
      <c r="C1380">
        <v>80</v>
      </c>
      <c r="D1380">
        <v>79.971397400000001</v>
      </c>
      <c r="E1380">
        <v>50</v>
      </c>
      <c r="F1380">
        <v>45.230915070000002</v>
      </c>
      <c r="G1380">
        <v>1413.3778076000001</v>
      </c>
      <c r="H1380">
        <v>1389.2120361</v>
      </c>
      <c r="I1380">
        <v>1252.9355469</v>
      </c>
      <c r="J1380">
        <v>1215.3656006000001</v>
      </c>
      <c r="K1380">
        <v>2400</v>
      </c>
      <c r="L1380">
        <v>0</v>
      </c>
      <c r="M1380">
        <v>0</v>
      </c>
      <c r="N1380">
        <v>2400</v>
      </c>
    </row>
    <row r="1381" spans="1:14" x14ac:dyDescent="0.25">
      <c r="A1381">
        <v>804.47310100000004</v>
      </c>
      <c r="B1381" s="1">
        <f>DATE(2012,7,13) + TIME(11,21,15)</f>
        <v>41103.473090277781</v>
      </c>
      <c r="C1381">
        <v>80</v>
      </c>
      <c r="D1381">
        <v>79.971427917</v>
      </c>
      <c r="E1381">
        <v>50</v>
      </c>
      <c r="F1381">
        <v>45.144577026</v>
      </c>
      <c r="G1381">
        <v>1413.3157959</v>
      </c>
      <c r="H1381">
        <v>1389.1522216999999</v>
      </c>
      <c r="I1381">
        <v>1252.7814940999999</v>
      </c>
      <c r="J1381">
        <v>1215.1481934000001</v>
      </c>
      <c r="K1381">
        <v>2400</v>
      </c>
      <c r="L1381">
        <v>0</v>
      </c>
      <c r="M1381">
        <v>0</v>
      </c>
      <c r="N1381">
        <v>2400</v>
      </c>
    </row>
    <row r="1382" spans="1:14" x14ac:dyDescent="0.25">
      <c r="A1382">
        <v>805.81534999999997</v>
      </c>
      <c r="B1382" s="1">
        <f>DATE(2012,7,14) + TIME(19,34,6)</f>
        <v>41104.815347222226</v>
      </c>
      <c r="C1382">
        <v>80</v>
      </c>
      <c r="D1382">
        <v>79.971458435000002</v>
      </c>
      <c r="E1382">
        <v>50</v>
      </c>
      <c r="F1382">
        <v>45.055500031000001</v>
      </c>
      <c r="G1382">
        <v>1413.2537841999999</v>
      </c>
      <c r="H1382">
        <v>1389.0924072</v>
      </c>
      <c r="I1382">
        <v>1252.6214600000001</v>
      </c>
      <c r="J1382">
        <v>1214.9216309000001</v>
      </c>
      <c r="K1382">
        <v>2400</v>
      </c>
      <c r="L1382">
        <v>0</v>
      </c>
      <c r="M1382">
        <v>0</v>
      </c>
      <c r="N1382">
        <v>2400</v>
      </c>
    </row>
    <row r="1383" spans="1:14" x14ac:dyDescent="0.25">
      <c r="A1383">
        <v>807.18965900000001</v>
      </c>
      <c r="B1383" s="1">
        <f>DATE(2012,7,16) + TIME(4,33,6)</f>
        <v>41106.189652777779</v>
      </c>
      <c r="C1383">
        <v>80</v>
      </c>
      <c r="D1383">
        <v>79.971488953000005</v>
      </c>
      <c r="E1383">
        <v>50</v>
      </c>
      <c r="F1383">
        <v>44.963233948000003</v>
      </c>
      <c r="G1383">
        <v>1413.1915283000001</v>
      </c>
      <c r="H1383">
        <v>1389.0322266000001</v>
      </c>
      <c r="I1383">
        <v>1252.4547118999999</v>
      </c>
      <c r="J1383">
        <v>1214.6846923999999</v>
      </c>
      <c r="K1383">
        <v>2400</v>
      </c>
      <c r="L1383">
        <v>0</v>
      </c>
      <c r="M1383">
        <v>0</v>
      </c>
      <c r="N1383">
        <v>2400</v>
      </c>
    </row>
    <row r="1384" spans="1:14" x14ac:dyDescent="0.25">
      <c r="A1384">
        <v>808.59267299999999</v>
      </c>
      <c r="B1384" s="1">
        <f>DATE(2012,7,17) + TIME(14,13,26)</f>
        <v>41107.592662037037</v>
      </c>
      <c r="C1384">
        <v>80</v>
      </c>
      <c r="D1384">
        <v>79.971519470000004</v>
      </c>
      <c r="E1384">
        <v>50</v>
      </c>
      <c r="F1384">
        <v>44.867443084999998</v>
      </c>
      <c r="G1384">
        <v>1413.1286620999999</v>
      </c>
      <c r="H1384">
        <v>1388.9715576000001</v>
      </c>
      <c r="I1384">
        <v>1252.2803954999999</v>
      </c>
      <c r="J1384">
        <v>1214.4365233999999</v>
      </c>
      <c r="K1384">
        <v>2400</v>
      </c>
      <c r="L1384">
        <v>0</v>
      </c>
      <c r="M1384">
        <v>0</v>
      </c>
      <c r="N1384">
        <v>2400</v>
      </c>
    </row>
    <row r="1385" spans="1:14" x14ac:dyDescent="0.25">
      <c r="A1385">
        <v>809.99685699999998</v>
      </c>
      <c r="B1385" s="1">
        <f>DATE(2012,7,18) + TIME(23,55,28)</f>
        <v>41108.996851851851</v>
      </c>
      <c r="C1385">
        <v>80</v>
      </c>
      <c r="D1385">
        <v>79.971549988000007</v>
      </c>
      <c r="E1385">
        <v>50</v>
      </c>
      <c r="F1385">
        <v>44.768516540999997</v>
      </c>
      <c r="G1385">
        <v>1413.0655518000001</v>
      </c>
      <c r="H1385">
        <v>1388.9106445</v>
      </c>
      <c r="I1385">
        <v>1252.0987548999999</v>
      </c>
      <c r="J1385">
        <v>1214.1772461</v>
      </c>
      <c r="K1385">
        <v>2400</v>
      </c>
      <c r="L1385">
        <v>0</v>
      </c>
      <c r="M1385">
        <v>0</v>
      </c>
      <c r="N1385">
        <v>2400</v>
      </c>
    </row>
    <row r="1386" spans="1:14" x14ac:dyDescent="0.25">
      <c r="A1386">
        <v>811.40644799999995</v>
      </c>
      <c r="B1386" s="1">
        <f>DATE(2012,7,20) + TIME(9,45,17)</f>
        <v>41110.406446759262</v>
      </c>
      <c r="C1386">
        <v>80</v>
      </c>
      <c r="D1386">
        <v>79.971580505000006</v>
      </c>
      <c r="E1386">
        <v>50</v>
      </c>
      <c r="F1386">
        <v>44.667385101000001</v>
      </c>
      <c r="G1386">
        <v>1413.0032959</v>
      </c>
      <c r="H1386">
        <v>1388.8504639</v>
      </c>
      <c r="I1386">
        <v>1251.9130858999999</v>
      </c>
      <c r="J1386">
        <v>1213.9111327999999</v>
      </c>
      <c r="K1386">
        <v>2400</v>
      </c>
      <c r="L1386">
        <v>0</v>
      </c>
      <c r="M1386">
        <v>0</v>
      </c>
      <c r="N1386">
        <v>2400</v>
      </c>
    </row>
    <row r="1387" spans="1:14" x14ac:dyDescent="0.25">
      <c r="A1387">
        <v>812.82571900000005</v>
      </c>
      <c r="B1387" s="1">
        <f>DATE(2012,7,21) + TIME(19,49,2)</f>
        <v>41111.82571759259</v>
      </c>
      <c r="C1387">
        <v>80</v>
      </c>
      <c r="D1387">
        <v>79.971618652000004</v>
      </c>
      <c r="E1387">
        <v>50</v>
      </c>
      <c r="F1387">
        <v>44.563991547000001</v>
      </c>
      <c r="G1387">
        <v>1412.9417725000001</v>
      </c>
      <c r="H1387">
        <v>1388.7910156</v>
      </c>
      <c r="I1387">
        <v>1251.7229004000001</v>
      </c>
      <c r="J1387">
        <v>1213.6375731999999</v>
      </c>
      <c r="K1387">
        <v>2400</v>
      </c>
      <c r="L1387">
        <v>0</v>
      </c>
      <c r="M1387">
        <v>0</v>
      </c>
      <c r="N1387">
        <v>2400</v>
      </c>
    </row>
    <row r="1388" spans="1:14" x14ac:dyDescent="0.25">
      <c r="A1388">
        <v>814.25896799999998</v>
      </c>
      <c r="B1388" s="1">
        <f>DATE(2012,7,23) + TIME(6,12,54)</f>
        <v>41113.258958333332</v>
      </c>
      <c r="C1388">
        <v>80</v>
      </c>
      <c r="D1388">
        <v>79.971649170000006</v>
      </c>
      <c r="E1388">
        <v>50</v>
      </c>
      <c r="F1388">
        <v>44.458023071</v>
      </c>
      <c r="G1388">
        <v>1412.8807373</v>
      </c>
      <c r="H1388">
        <v>1388.7320557</v>
      </c>
      <c r="I1388">
        <v>1251.5275879000001</v>
      </c>
      <c r="J1388">
        <v>1213.3555908000001</v>
      </c>
      <c r="K1388">
        <v>2400</v>
      </c>
      <c r="L1388">
        <v>0</v>
      </c>
      <c r="M1388">
        <v>0</v>
      </c>
      <c r="N1388">
        <v>2400</v>
      </c>
    </row>
    <row r="1389" spans="1:14" x14ac:dyDescent="0.25">
      <c r="A1389">
        <v>815.71059200000002</v>
      </c>
      <c r="B1389" s="1">
        <f>DATE(2012,7,24) + TIME(17,3,15)</f>
        <v>41114.710590277777</v>
      </c>
      <c r="C1389">
        <v>80</v>
      </c>
      <c r="D1389">
        <v>79.971679687999995</v>
      </c>
      <c r="E1389">
        <v>50</v>
      </c>
      <c r="F1389">
        <v>44.349079132</v>
      </c>
      <c r="G1389">
        <v>1412.8199463000001</v>
      </c>
      <c r="H1389">
        <v>1388.6734618999999</v>
      </c>
      <c r="I1389">
        <v>1251.3264160000001</v>
      </c>
      <c r="J1389">
        <v>1213.0644531</v>
      </c>
      <c r="K1389">
        <v>2400</v>
      </c>
      <c r="L1389">
        <v>0</v>
      </c>
      <c r="M1389">
        <v>0</v>
      </c>
      <c r="N1389">
        <v>2400</v>
      </c>
    </row>
    <row r="1390" spans="1:14" x14ac:dyDescent="0.25">
      <c r="A1390">
        <v>817.18515500000001</v>
      </c>
      <c r="B1390" s="1">
        <f>DATE(2012,7,26) + TIME(4,26,37)</f>
        <v>41116.185150462959</v>
      </c>
      <c r="C1390">
        <v>80</v>
      </c>
      <c r="D1390">
        <v>79.971710204999994</v>
      </c>
      <c r="E1390">
        <v>50</v>
      </c>
      <c r="F1390">
        <v>44.236717224000003</v>
      </c>
      <c r="G1390">
        <v>1412.7592772999999</v>
      </c>
      <c r="H1390">
        <v>1388.6148682</v>
      </c>
      <c r="I1390">
        <v>1251.1188964999999</v>
      </c>
      <c r="J1390">
        <v>1212.7629394999999</v>
      </c>
      <c r="K1390">
        <v>2400</v>
      </c>
      <c r="L1390">
        <v>0</v>
      </c>
      <c r="M1390">
        <v>0</v>
      </c>
      <c r="N1390">
        <v>2400</v>
      </c>
    </row>
    <row r="1391" spans="1:14" x14ac:dyDescent="0.25">
      <c r="A1391">
        <v>818.68762700000002</v>
      </c>
      <c r="B1391" s="1">
        <f>DATE(2012,7,27) + TIME(16,30,10)</f>
        <v>41117.687615740739</v>
      </c>
      <c r="C1391">
        <v>80</v>
      </c>
      <c r="D1391">
        <v>79.971748352000006</v>
      </c>
      <c r="E1391">
        <v>50</v>
      </c>
      <c r="F1391">
        <v>44.120445251</v>
      </c>
      <c r="G1391">
        <v>1412.6986084</v>
      </c>
      <c r="H1391">
        <v>1388.5562743999999</v>
      </c>
      <c r="I1391">
        <v>1250.9039307</v>
      </c>
      <c r="J1391">
        <v>1212.4499512</v>
      </c>
      <c r="K1391">
        <v>2400</v>
      </c>
      <c r="L1391">
        <v>0</v>
      </c>
      <c r="M1391">
        <v>0</v>
      </c>
      <c r="N1391">
        <v>2400</v>
      </c>
    </row>
    <row r="1392" spans="1:14" x14ac:dyDescent="0.25">
      <c r="A1392">
        <v>820.22144800000001</v>
      </c>
      <c r="B1392" s="1">
        <f>DATE(2012,7,29) + TIME(5,18,53)</f>
        <v>41119.221446759257</v>
      </c>
      <c r="C1392">
        <v>80</v>
      </c>
      <c r="D1392">
        <v>79.971778869999994</v>
      </c>
      <c r="E1392">
        <v>50</v>
      </c>
      <c r="F1392">
        <v>43.999752045000001</v>
      </c>
      <c r="G1392">
        <v>1412.6376952999999</v>
      </c>
      <c r="H1392">
        <v>1388.4973144999999</v>
      </c>
      <c r="I1392">
        <v>1250.6807861</v>
      </c>
      <c r="J1392">
        <v>1212.1239014</v>
      </c>
      <c r="K1392">
        <v>2400</v>
      </c>
      <c r="L1392">
        <v>0</v>
      </c>
      <c r="M1392">
        <v>0</v>
      </c>
      <c r="N1392">
        <v>2400</v>
      </c>
    </row>
    <row r="1393" spans="1:14" x14ac:dyDescent="0.25">
      <c r="A1393">
        <v>821.790074</v>
      </c>
      <c r="B1393" s="1">
        <f>DATE(2012,7,30) + TIME(18,57,42)</f>
        <v>41120.790069444447</v>
      </c>
      <c r="C1393">
        <v>80</v>
      </c>
      <c r="D1393">
        <v>79.971817017000006</v>
      </c>
      <c r="E1393">
        <v>50</v>
      </c>
      <c r="F1393">
        <v>43.874160766999999</v>
      </c>
      <c r="G1393">
        <v>1412.5762939000001</v>
      </c>
      <c r="H1393">
        <v>1388.4381103999999</v>
      </c>
      <c r="I1393">
        <v>1250.4488524999999</v>
      </c>
      <c r="J1393">
        <v>1211.7839355000001</v>
      </c>
      <c r="K1393">
        <v>2400</v>
      </c>
      <c r="L1393">
        <v>0</v>
      </c>
      <c r="M1393">
        <v>0</v>
      </c>
      <c r="N1393">
        <v>2400</v>
      </c>
    </row>
    <row r="1394" spans="1:14" x14ac:dyDescent="0.25">
      <c r="A1394">
        <v>823</v>
      </c>
      <c r="B1394" s="1">
        <f>DATE(2012,8,1) + TIME(0,0,0)</f>
        <v>41122</v>
      </c>
      <c r="C1394">
        <v>80</v>
      </c>
      <c r="D1394">
        <v>79.971839904999996</v>
      </c>
      <c r="E1394">
        <v>50</v>
      </c>
      <c r="F1394">
        <v>43.752162933000001</v>
      </c>
      <c r="G1394">
        <v>1412.5144043</v>
      </c>
      <c r="H1394">
        <v>1388.3782959</v>
      </c>
      <c r="I1394">
        <v>1250.2078856999999</v>
      </c>
      <c r="J1394">
        <v>1211.4362793</v>
      </c>
      <c r="K1394">
        <v>2400</v>
      </c>
      <c r="L1394">
        <v>0</v>
      </c>
      <c r="M1394">
        <v>0</v>
      </c>
      <c r="N1394">
        <v>2400</v>
      </c>
    </row>
    <row r="1395" spans="1:14" x14ac:dyDescent="0.25">
      <c r="A1395">
        <v>824.57209399999999</v>
      </c>
      <c r="B1395" s="1">
        <f>DATE(2012,8,2) + TIME(13,43,48)</f>
        <v>41123.572083333333</v>
      </c>
      <c r="C1395">
        <v>80</v>
      </c>
      <c r="D1395">
        <v>79.971878051999994</v>
      </c>
      <c r="E1395">
        <v>50</v>
      </c>
      <c r="F1395">
        <v>43.635993958</v>
      </c>
      <c r="G1395">
        <v>1412.4672852000001</v>
      </c>
      <c r="H1395">
        <v>1388.3327637</v>
      </c>
      <c r="I1395">
        <v>1250.0161132999999</v>
      </c>
      <c r="J1395">
        <v>1211.1437988</v>
      </c>
      <c r="K1395">
        <v>2400</v>
      </c>
      <c r="L1395">
        <v>0</v>
      </c>
      <c r="M1395">
        <v>0</v>
      </c>
      <c r="N1395">
        <v>2400</v>
      </c>
    </row>
    <row r="1396" spans="1:14" x14ac:dyDescent="0.25">
      <c r="A1396">
        <v>826.16018599999995</v>
      </c>
      <c r="B1396" s="1">
        <f>DATE(2012,8,4) + TIME(3,50,40)</f>
        <v>41125.160185185188</v>
      </c>
      <c r="C1396">
        <v>80</v>
      </c>
      <c r="D1396">
        <v>79.971916199000006</v>
      </c>
      <c r="E1396">
        <v>50</v>
      </c>
      <c r="F1396">
        <v>43.503707886000001</v>
      </c>
      <c r="G1396">
        <v>1412.4069824000001</v>
      </c>
      <c r="H1396">
        <v>1388.2744141000001</v>
      </c>
      <c r="I1396">
        <v>1249.7670897999999</v>
      </c>
      <c r="J1396">
        <v>1210.7784423999999</v>
      </c>
      <c r="K1396">
        <v>2400</v>
      </c>
      <c r="L1396">
        <v>0</v>
      </c>
      <c r="M1396">
        <v>0</v>
      </c>
      <c r="N1396">
        <v>2400</v>
      </c>
    </row>
    <row r="1397" spans="1:14" x14ac:dyDescent="0.25">
      <c r="A1397">
        <v>827.76340700000003</v>
      </c>
      <c r="B1397" s="1">
        <f>DATE(2012,8,5) + TIME(18,19,18)</f>
        <v>41126.763402777775</v>
      </c>
      <c r="C1397">
        <v>80</v>
      </c>
      <c r="D1397">
        <v>79.971946716000005</v>
      </c>
      <c r="E1397">
        <v>50</v>
      </c>
      <c r="F1397">
        <v>43.364532470999997</v>
      </c>
      <c r="G1397">
        <v>1412.3468018000001</v>
      </c>
      <c r="H1397">
        <v>1388.2161865</v>
      </c>
      <c r="I1397">
        <v>1249.5101318</v>
      </c>
      <c r="J1397">
        <v>1210.3983154</v>
      </c>
      <c r="K1397">
        <v>2400</v>
      </c>
      <c r="L1397">
        <v>0</v>
      </c>
      <c r="M1397">
        <v>0</v>
      </c>
      <c r="N1397">
        <v>2400</v>
      </c>
    </row>
    <row r="1398" spans="1:14" x14ac:dyDescent="0.25">
      <c r="A1398">
        <v>829.38493500000004</v>
      </c>
      <c r="B1398" s="1">
        <f>DATE(2012,8,7) + TIME(9,14,18)</f>
        <v>41128.384930555556</v>
      </c>
      <c r="C1398">
        <v>80</v>
      </c>
      <c r="D1398">
        <v>79.971984863000003</v>
      </c>
      <c r="E1398">
        <v>50</v>
      </c>
      <c r="F1398">
        <v>43.220508574999997</v>
      </c>
      <c r="G1398">
        <v>1412.2868652</v>
      </c>
      <c r="H1398">
        <v>1388.1583252</v>
      </c>
      <c r="I1398">
        <v>1249.2463379000001</v>
      </c>
      <c r="J1398">
        <v>1210.0062256000001</v>
      </c>
      <c r="K1398">
        <v>2400</v>
      </c>
      <c r="L1398">
        <v>0</v>
      </c>
      <c r="M1398">
        <v>0</v>
      </c>
      <c r="N1398">
        <v>2400</v>
      </c>
    </row>
    <row r="1399" spans="1:14" x14ac:dyDescent="0.25">
      <c r="A1399">
        <v>831.02815499999997</v>
      </c>
      <c r="B1399" s="1">
        <f>DATE(2012,8,9) + TIME(0,40,32)</f>
        <v>41130.028148148151</v>
      </c>
      <c r="C1399">
        <v>80</v>
      </c>
      <c r="D1399">
        <v>79.972023010000001</v>
      </c>
      <c r="E1399">
        <v>50</v>
      </c>
      <c r="F1399">
        <v>43.071788787999999</v>
      </c>
      <c r="G1399">
        <v>1412.2270507999999</v>
      </c>
      <c r="H1399">
        <v>1388.1004639</v>
      </c>
      <c r="I1399">
        <v>1248.9749756000001</v>
      </c>
      <c r="J1399">
        <v>1209.6016846</v>
      </c>
      <c r="K1399">
        <v>2400</v>
      </c>
      <c r="L1399">
        <v>0</v>
      </c>
      <c r="M1399">
        <v>0</v>
      </c>
      <c r="N1399">
        <v>2400</v>
      </c>
    </row>
    <row r="1400" spans="1:14" x14ac:dyDescent="0.25">
      <c r="A1400">
        <v>832.69724199999996</v>
      </c>
      <c r="B1400" s="1">
        <f>DATE(2012,8,10) + TIME(16,44,1)</f>
        <v>41131.697233796294</v>
      </c>
      <c r="C1400">
        <v>80</v>
      </c>
      <c r="D1400">
        <v>79.972053528000004</v>
      </c>
      <c r="E1400">
        <v>50</v>
      </c>
      <c r="F1400">
        <v>42.918060302999997</v>
      </c>
      <c r="G1400">
        <v>1412.1672363</v>
      </c>
      <c r="H1400">
        <v>1388.0427245999999</v>
      </c>
      <c r="I1400">
        <v>1248.6956786999999</v>
      </c>
      <c r="J1400">
        <v>1209.1838379000001</v>
      </c>
      <c r="K1400">
        <v>2400</v>
      </c>
      <c r="L1400">
        <v>0</v>
      </c>
      <c r="M1400">
        <v>0</v>
      </c>
      <c r="N1400">
        <v>2400</v>
      </c>
    </row>
    <row r="1401" spans="1:14" x14ac:dyDescent="0.25">
      <c r="A1401">
        <v>834.39747499999999</v>
      </c>
      <c r="B1401" s="1">
        <f>DATE(2012,8,12) + TIME(9,32,21)</f>
        <v>41133.397465277776</v>
      </c>
      <c r="C1401">
        <v>80</v>
      </c>
      <c r="D1401">
        <v>79.972091675000001</v>
      </c>
      <c r="E1401">
        <v>50</v>
      </c>
      <c r="F1401">
        <v>42.758823395</v>
      </c>
      <c r="G1401">
        <v>1412.1074219</v>
      </c>
      <c r="H1401">
        <v>1387.9847411999999</v>
      </c>
      <c r="I1401">
        <v>1248.4074707</v>
      </c>
      <c r="J1401">
        <v>1208.7514647999999</v>
      </c>
      <c r="K1401">
        <v>2400</v>
      </c>
      <c r="L1401">
        <v>0</v>
      </c>
      <c r="M1401">
        <v>0</v>
      </c>
      <c r="N1401">
        <v>2400</v>
      </c>
    </row>
    <row r="1402" spans="1:14" x14ac:dyDescent="0.25">
      <c r="A1402">
        <v>836.11672899999996</v>
      </c>
      <c r="B1402" s="1">
        <f>DATE(2012,8,14) + TIME(2,48,5)</f>
        <v>41135.116724537038</v>
      </c>
      <c r="C1402">
        <v>80</v>
      </c>
      <c r="D1402">
        <v>79.972129821999999</v>
      </c>
      <c r="E1402">
        <v>50</v>
      </c>
      <c r="F1402">
        <v>42.593807220000002</v>
      </c>
      <c r="G1402">
        <v>1412.0471190999999</v>
      </c>
      <c r="H1402">
        <v>1387.9265137</v>
      </c>
      <c r="I1402">
        <v>1248.109375</v>
      </c>
      <c r="J1402">
        <v>1208.3033447</v>
      </c>
      <c r="K1402">
        <v>2400</v>
      </c>
      <c r="L1402">
        <v>0</v>
      </c>
      <c r="M1402">
        <v>0</v>
      </c>
      <c r="N1402">
        <v>2400</v>
      </c>
    </row>
    <row r="1403" spans="1:14" x14ac:dyDescent="0.25">
      <c r="A1403">
        <v>837.84131300000001</v>
      </c>
      <c r="B1403" s="1">
        <f>DATE(2012,8,15) + TIME(20,11,29)</f>
        <v>41136.841307870367</v>
      </c>
      <c r="C1403">
        <v>80</v>
      </c>
      <c r="D1403">
        <v>79.972167968999997</v>
      </c>
      <c r="E1403">
        <v>50</v>
      </c>
      <c r="F1403">
        <v>42.423820495999998</v>
      </c>
      <c r="G1403">
        <v>1411.9870605000001</v>
      </c>
      <c r="H1403">
        <v>1387.8684082</v>
      </c>
      <c r="I1403">
        <v>1247.8033447</v>
      </c>
      <c r="J1403">
        <v>1207.8420410000001</v>
      </c>
      <c r="K1403">
        <v>2400</v>
      </c>
      <c r="L1403">
        <v>0</v>
      </c>
      <c r="M1403">
        <v>0</v>
      </c>
      <c r="N1403">
        <v>2400</v>
      </c>
    </row>
    <row r="1404" spans="1:14" x14ac:dyDescent="0.25">
      <c r="A1404">
        <v>839.57646599999998</v>
      </c>
      <c r="B1404" s="1">
        <f>DATE(2012,8,17) + TIME(13,50,6)</f>
        <v>41138.576458333337</v>
      </c>
      <c r="C1404">
        <v>80</v>
      </c>
      <c r="D1404">
        <v>79.972206115999995</v>
      </c>
      <c r="E1404">
        <v>50</v>
      </c>
      <c r="F1404">
        <v>42.24968338</v>
      </c>
      <c r="G1404">
        <v>1411.9276123</v>
      </c>
      <c r="H1404">
        <v>1387.8107910000001</v>
      </c>
      <c r="I1404">
        <v>1247.4919434000001</v>
      </c>
      <c r="J1404">
        <v>1207.3709716999999</v>
      </c>
      <c r="K1404">
        <v>2400</v>
      </c>
      <c r="L1404">
        <v>0</v>
      </c>
      <c r="M1404">
        <v>0</v>
      </c>
      <c r="N1404">
        <v>2400</v>
      </c>
    </row>
    <row r="1405" spans="1:14" x14ac:dyDescent="0.25">
      <c r="A1405">
        <v>841.327493</v>
      </c>
      <c r="B1405" s="1">
        <f>DATE(2012,8,19) + TIME(7,51,35)</f>
        <v>41140.327488425923</v>
      </c>
      <c r="C1405">
        <v>80</v>
      </c>
      <c r="D1405">
        <v>79.972244262999993</v>
      </c>
      <c r="E1405">
        <v>50</v>
      </c>
      <c r="F1405">
        <v>42.071140288999999</v>
      </c>
      <c r="G1405">
        <v>1411.8684082</v>
      </c>
      <c r="H1405">
        <v>1387.7536620999999</v>
      </c>
      <c r="I1405">
        <v>1247.1741943</v>
      </c>
      <c r="J1405">
        <v>1206.8889160000001</v>
      </c>
      <c r="K1405">
        <v>2400</v>
      </c>
      <c r="L1405">
        <v>0</v>
      </c>
      <c r="M1405">
        <v>0</v>
      </c>
      <c r="N1405">
        <v>2400</v>
      </c>
    </row>
    <row r="1406" spans="1:14" x14ac:dyDescent="0.25">
      <c r="A1406">
        <v>843.09975499999996</v>
      </c>
      <c r="B1406" s="1">
        <f>DATE(2012,8,21) + TIME(2,23,38)</f>
        <v>41142.099745370368</v>
      </c>
      <c r="C1406">
        <v>80</v>
      </c>
      <c r="D1406">
        <v>79.972282410000005</v>
      </c>
      <c r="E1406">
        <v>50</v>
      </c>
      <c r="F1406">
        <v>41.887691498000002</v>
      </c>
      <c r="G1406">
        <v>1411.8095702999999</v>
      </c>
      <c r="H1406">
        <v>1387.6966553</v>
      </c>
      <c r="I1406">
        <v>1246.8492432</v>
      </c>
      <c r="J1406">
        <v>1206.3945312000001</v>
      </c>
      <c r="K1406">
        <v>2400</v>
      </c>
      <c r="L1406">
        <v>0</v>
      </c>
      <c r="M1406">
        <v>0</v>
      </c>
      <c r="N1406">
        <v>2400</v>
      </c>
    </row>
    <row r="1407" spans="1:14" x14ac:dyDescent="0.25">
      <c r="A1407">
        <v>844.89896099999999</v>
      </c>
      <c r="B1407" s="1">
        <f>DATE(2012,8,22) + TIME(21,34,30)</f>
        <v>41143.898958333331</v>
      </c>
      <c r="C1407">
        <v>80</v>
      </c>
      <c r="D1407">
        <v>79.972320557000003</v>
      </c>
      <c r="E1407">
        <v>50</v>
      </c>
      <c r="F1407">
        <v>41.698734283</v>
      </c>
      <c r="G1407">
        <v>1411.7507324000001</v>
      </c>
      <c r="H1407">
        <v>1387.6396483999999</v>
      </c>
      <c r="I1407">
        <v>1246.5161132999999</v>
      </c>
      <c r="J1407">
        <v>1205.8863524999999</v>
      </c>
      <c r="K1407">
        <v>2400</v>
      </c>
      <c r="L1407">
        <v>0</v>
      </c>
      <c r="M1407">
        <v>0</v>
      </c>
      <c r="N1407">
        <v>2400</v>
      </c>
    </row>
    <row r="1408" spans="1:14" x14ac:dyDescent="0.25">
      <c r="A1408">
        <v>846.72468100000003</v>
      </c>
      <c r="B1408" s="1">
        <f>DATE(2012,8,24) + TIME(17,23,32)</f>
        <v>41145.724675925929</v>
      </c>
      <c r="C1408">
        <v>80</v>
      </c>
      <c r="D1408">
        <v>79.972358704000001</v>
      </c>
      <c r="E1408">
        <v>50</v>
      </c>
      <c r="F1408">
        <v>41.503746032999999</v>
      </c>
      <c r="G1408">
        <v>1411.6917725000001</v>
      </c>
      <c r="H1408">
        <v>1387.5826416</v>
      </c>
      <c r="I1408">
        <v>1246.1737060999999</v>
      </c>
      <c r="J1408">
        <v>1205.3626709</v>
      </c>
      <c r="K1408">
        <v>2400</v>
      </c>
      <c r="L1408">
        <v>0</v>
      </c>
      <c r="M1408">
        <v>0</v>
      </c>
      <c r="N1408">
        <v>2400</v>
      </c>
    </row>
    <row r="1409" spans="1:14" x14ac:dyDescent="0.25">
      <c r="A1409">
        <v>848.58006899999998</v>
      </c>
      <c r="B1409" s="1">
        <f>DATE(2012,8,26) + TIME(13,55,17)</f>
        <v>41147.580057870371</v>
      </c>
      <c r="C1409">
        <v>80</v>
      </c>
      <c r="D1409">
        <v>79.972396850999999</v>
      </c>
      <c r="E1409">
        <v>50</v>
      </c>
      <c r="F1409">
        <v>41.302528381000002</v>
      </c>
      <c r="G1409">
        <v>1411.6325684000001</v>
      </c>
      <c r="H1409">
        <v>1387.5253906</v>
      </c>
      <c r="I1409">
        <v>1245.8221435999999</v>
      </c>
      <c r="J1409">
        <v>1204.8234863</v>
      </c>
      <c r="K1409">
        <v>2400</v>
      </c>
      <c r="L1409">
        <v>0</v>
      </c>
      <c r="M1409">
        <v>0</v>
      </c>
      <c r="N1409">
        <v>2400</v>
      </c>
    </row>
    <row r="1410" spans="1:14" x14ac:dyDescent="0.25">
      <c r="A1410">
        <v>850.45044700000005</v>
      </c>
      <c r="B1410" s="1">
        <f>DATE(2012,8,28) + TIME(10,48,38)</f>
        <v>41149.450439814813</v>
      </c>
      <c r="C1410">
        <v>80</v>
      </c>
      <c r="D1410">
        <v>79.972434997999997</v>
      </c>
      <c r="E1410">
        <v>50</v>
      </c>
      <c r="F1410">
        <v>41.095096587999997</v>
      </c>
      <c r="G1410">
        <v>1411.5732422000001</v>
      </c>
      <c r="H1410">
        <v>1387.4678954999999</v>
      </c>
      <c r="I1410">
        <v>1245.4608154</v>
      </c>
      <c r="J1410">
        <v>1204.2680664</v>
      </c>
      <c r="K1410">
        <v>2400</v>
      </c>
      <c r="L1410">
        <v>0</v>
      </c>
      <c r="M1410">
        <v>0</v>
      </c>
      <c r="N1410">
        <v>2400</v>
      </c>
    </row>
    <row r="1411" spans="1:14" x14ac:dyDescent="0.25">
      <c r="A1411">
        <v>852.32613500000002</v>
      </c>
      <c r="B1411" s="1">
        <f>DATE(2012,8,30) + TIME(7,49,38)</f>
        <v>41151.32613425926</v>
      </c>
      <c r="C1411">
        <v>80</v>
      </c>
      <c r="D1411">
        <v>79.972473144999995</v>
      </c>
      <c r="E1411">
        <v>50</v>
      </c>
      <c r="F1411">
        <v>40.882667542</v>
      </c>
      <c r="G1411">
        <v>1411.5141602000001</v>
      </c>
      <c r="H1411">
        <v>1387.4106445</v>
      </c>
      <c r="I1411">
        <v>1245.0925293</v>
      </c>
      <c r="J1411">
        <v>1203.7003173999999</v>
      </c>
      <c r="K1411">
        <v>2400</v>
      </c>
      <c r="L1411">
        <v>0</v>
      </c>
      <c r="M1411">
        <v>0</v>
      </c>
      <c r="N1411">
        <v>2400</v>
      </c>
    </row>
    <row r="1412" spans="1:14" x14ac:dyDescent="0.25">
      <c r="A1412">
        <v>854</v>
      </c>
      <c r="B1412" s="1">
        <f>DATE(2012,9,1) + TIME(0,0,0)</f>
        <v>41153</v>
      </c>
      <c r="C1412">
        <v>80</v>
      </c>
      <c r="D1412">
        <v>79.972511291999993</v>
      </c>
      <c r="E1412">
        <v>50</v>
      </c>
      <c r="F1412">
        <v>40.671321869000003</v>
      </c>
      <c r="G1412">
        <v>1411.4554443</v>
      </c>
      <c r="H1412">
        <v>1387.3537598</v>
      </c>
      <c r="I1412">
        <v>1244.7196045000001</v>
      </c>
      <c r="J1412">
        <v>1203.1280518000001</v>
      </c>
      <c r="K1412">
        <v>2400</v>
      </c>
      <c r="L1412">
        <v>0</v>
      </c>
      <c r="M1412">
        <v>0</v>
      </c>
      <c r="N1412">
        <v>2400</v>
      </c>
    </row>
    <row r="1413" spans="1:14" x14ac:dyDescent="0.25">
      <c r="A1413">
        <v>855.88625100000002</v>
      </c>
      <c r="B1413" s="1">
        <f>DATE(2012,9,2) + TIME(21,16,12)</f>
        <v>41154.886250000003</v>
      </c>
      <c r="C1413">
        <v>80</v>
      </c>
      <c r="D1413">
        <v>79.972549438000001</v>
      </c>
      <c r="E1413">
        <v>50</v>
      </c>
      <c r="F1413">
        <v>40.466461182000003</v>
      </c>
      <c r="G1413">
        <v>1411.4038086</v>
      </c>
      <c r="H1413">
        <v>1387.3037108999999</v>
      </c>
      <c r="I1413">
        <v>1244.3822021000001</v>
      </c>
      <c r="J1413">
        <v>1202.5975341999999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857.80640000000005</v>
      </c>
      <c r="B1414" s="1">
        <f>DATE(2012,9,4) + TIME(19,21,12)</f>
        <v>41156.806388888886</v>
      </c>
      <c r="C1414">
        <v>80</v>
      </c>
      <c r="D1414">
        <v>79.972587584999999</v>
      </c>
      <c r="E1414">
        <v>50</v>
      </c>
      <c r="F1414">
        <v>40.245281218999999</v>
      </c>
      <c r="G1414">
        <v>1411.3461914</v>
      </c>
      <c r="H1414">
        <v>1387.2479248</v>
      </c>
      <c r="I1414">
        <v>1244.0008545000001</v>
      </c>
      <c r="J1414">
        <v>1202.0069579999999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859.75201800000002</v>
      </c>
      <c r="B1415" s="1">
        <f>DATE(2012,9,6) + TIME(18,2,54)</f>
        <v>41158.752013888887</v>
      </c>
      <c r="C1415">
        <v>80</v>
      </c>
      <c r="D1415">
        <v>79.972625731999997</v>
      </c>
      <c r="E1415">
        <v>50</v>
      </c>
      <c r="F1415">
        <v>40.015506744</v>
      </c>
      <c r="G1415">
        <v>1411.2882079999999</v>
      </c>
      <c r="H1415">
        <v>1387.1916504000001</v>
      </c>
      <c r="I1415">
        <v>1243.6087646000001</v>
      </c>
      <c r="J1415">
        <v>1201.3966064000001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861.73019499999998</v>
      </c>
      <c r="B1416" s="1">
        <f>DATE(2012,9,8) + TIME(17,31,28)</f>
        <v>41160.730185185188</v>
      </c>
      <c r="C1416">
        <v>80</v>
      </c>
      <c r="D1416">
        <v>79.972663878999995</v>
      </c>
      <c r="E1416">
        <v>50</v>
      </c>
      <c r="F1416">
        <v>39.779273987000003</v>
      </c>
      <c r="G1416">
        <v>1411.2299805</v>
      </c>
      <c r="H1416">
        <v>1387.135376</v>
      </c>
      <c r="I1416">
        <v>1243.2082519999999</v>
      </c>
      <c r="J1416">
        <v>1200.770874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863.74543900000003</v>
      </c>
      <c r="B1417" s="1">
        <f>DATE(2012,9,10) + TIME(17,53,25)</f>
        <v>41162.745428240742</v>
      </c>
      <c r="C1417">
        <v>80</v>
      </c>
      <c r="D1417">
        <v>79.972709656000006</v>
      </c>
      <c r="E1417">
        <v>50</v>
      </c>
      <c r="F1417">
        <v>39.536327362000002</v>
      </c>
      <c r="G1417">
        <v>1411.1716309000001</v>
      </c>
      <c r="H1417">
        <v>1387.0787353999999</v>
      </c>
      <c r="I1417">
        <v>1242.7978516000001</v>
      </c>
      <c r="J1417">
        <v>1200.1281738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865.76805200000001</v>
      </c>
      <c r="B1418" s="1">
        <f>DATE(2012,9,12) + TIME(18,25,59)</f>
        <v>41164.768043981479</v>
      </c>
      <c r="C1418">
        <v>80</v>
      </c>
      <c r="D1418">
        <v>79.972747803000004</v>
      </c>
      <c r="E1418">
        <v>50</v>
      </c>
      <c r="F1418">
        <v>39.287006378000001</v>
      </c>
      <c r="G1418">
        <v>1411.1126709</v>
      </c>
      <c r="H1418">
        <v>1387.0216064000001</v>
      </c>
      <c r="I1418">
        <v>1242.3770752</v>
      </c>
      <c r="J1418">
        <v>1199.4678954999999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867.79530899999997</v>
      </c>
      <c r="B1419" s="1">
        <f>DATE(2012,9,14) + TIME(19,5,14)</f>
        <v>41166.795300925929</v>
      </c>
      <c r="C1419">
        <v>80</v>
      </c>
      <c r="D1419">
        <v>79.972785950000002</v>
      </c>
      <c r="E1419">
        <v>50</v>
      </c>
      <c r="F1419">
        <v>39.033897400000001</v>
      </c>
      <c r="G1419">
        <v>1411.0541992000001</v>
      </c>
      <c r="H1419">
        <v>1386.9648437999999</v>
      </c>
      <c r="I1419">
        <v>1241.9517822</v>
      </c>
      <c r="J1419">
        <v>1198.7987060999999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869.83199300000001</v>
      </c>
      <c r="B1420" s="1">
        <f>DATE(2012,9,16) + TIME(19,58,4)</f>
        <v>41168.831990740742</v>
      </c>
      <c r="C1420">
        <v>80</v>
      </c>
      <c r="D1420">
        <v>79.972831725999995</v>
      </c>
      <c r="E1420">
        <v>50</v>
      </c>
      <c r="F1420">
        <v>38.777725220000001</v>
      </c>
      <c r="G1420">
        <v>1410.9962158000001</v>
      </c>
      <c r="H1420">
        <v>1386.9085693</v>
      </c>
      <c r="I1420">
        <v>1241.5233154</v>
      </c>
      <c r="J1420">
        <v>1198.1221923999999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871.88329199999998</v>
      </c>
      <c r="B1421" s="1">
        <f>DATE(2012,9,18) + TIME(21,11,56)</f>
        <v>41170.883287037039</v>
      </c>
      <c r="C1421">
        <v>80</v>
      </c>
      <c r="D1421">
        <v>79.972869872999993</v>
      </c>
      <c r="E1421">
        <v>50</v>
      </c>
      <c r="F1421">
        <v>38.518321991000001</v>
      </c>
      <c r="G1421">
        <v>1410.9384766000001</v>
      </c>
      <c r="H1421">
        <v>1386.8526611</v>
      </c>
      <c r="I1421">
        <v>1241.0905762</v>
      </c>
      <c r="J1421">
        <v>1197.4373779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873.95485599999995</v>
      </c>
      <c r="B1422" s="1">
        <f>DATE(2012,9,20) + TIME(22,54,59)</f>
        <v>41172.95484953704</v>
      </c>
      <c r="C1422">
        <v>80</v>
      </c>
      <c r="D1422">
        <v>79.972915649000001</v>
      </c>
      <c r="E1422">
        <v>50</v>
      </c>
      <c r="F1422">
        <v>38.255264281999999</v>
      </c>
      <c r="G1422">
        <v>1410.8809814000001</v>
      </c>
      <c r="H1422">
        <v>1386.796875</v>
      </c>
      <c r="I1422">
        <v>1240.6529541</v>
      </c>
      <c r="J1422">
        <v>1196.7429199000001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876.05280200000004</v>
      </c>
      <c r="B1423" s="1">
        <f>DATE(2012,9,23) + TIME(1,16,2)</f>
        <v>41175.052800925929</v>
      </c>
      <c r="C1423">
        <v>80</v>
      </c>
      <c r="D1423">
        <v>79.972953795999999</v>
      </c>
      <c r="E1423">
        <v>50</v>
      </c>
      <c r="F1423">
        <v>37.988059997999997</v>
      </c>
      <c r="G1423">
        <v>1410.8234863</v>
      </c>
      <c r="H1423">
        <v>1386.7410889</v>
      </c>
      <c r="I1423">
        <v>1240.2094727000001</v>
      </c>
      <c r="J1423">
        <v>1196.0372314000001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878.18029200000001</v>
      </c>
      <c r="B1424" s="1">
        <f>DATE(2012,9,25) + TIME(4,19,37)</f>
        <v>41177.180289351854</v>
      </c>
      <c r="C1424">
        <v>80</v>
      </c>
      <c r="D1424">
        <v>79.972999572999996</v>
      </c>
      <c r="E1424">
        <v>50</v>
      </c>
      <c r="F1424">
        <v>37.716209411999998</v>
      </c>
      <c r="G1424">
        <v>1410.7658690999999</v>
      </c>
      <c r="H1424">
        <v>1386.6850586</v>
      </c>
      <c r="I1424">
        <v>1239.7590332</v>
      </c>
      <c r="J1424">
        <v>1195.3188477000001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880.32375500000001</v>
      </c>
      <c r="B1425" s="1">
        <f>DATE(2012,9,27) + TIME(7,46,12)</f>
        <v>41179.323750000003</v>
      </c>
      <c r="C1425">
        <v>80</v>
      </c>
      <c r="D1425">
        <v>79.973037719999994</v>
      </c>
      <c r="E1425">
        <v>50</v>
      </c>
      <c r="F1425">
        <v>37.439861297999997</v>
      </c>
      <c r="G1425">
        <v>1410.7080077999999</v>
      </c>
      <c r="H1425">
        <v>1386.6289062000001</v>
      </c>
      <c r="I1425">
        <v>1239.3012695</v>
      </c>
      <c r="J1425">
        <v>1194.5872803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882.47782099999995</v>
      </c>
      <c r="B1426" s="1">
        <f>DATE(2012,9,29) + TIME(11,28,3)</f>
        <v>41181.477812500001</v>
      </c>
      <c r="C1426">
        <v>80</v>
      </c>
      <c r="D1426">
        <v>79.973075867000006</v>
      </c>
      <c r="E1426">
        <v>50</v>
      </c>
      <c r="F1426">
        <v>37.160511016999997</v>
      </c>
      <c r="G1426">
        <v>1410.6501464999999</v>
      </c>
      <c r="H1426">
        <v>1386.5727539</v>
      </c>
      <c r="I1426">
        <v>1238.8393555</v>
      </c>
      <c r="J1426">
        <v>1193.8469238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884</v>
      </c>
      <c r="B1427" s="1">
        <f>DATE(2012,10,1) + TIME(0,0,0)</f>
        <v>41183</v>
      </c>
      <c r="C1427">
        <v>80</v>
      </c>
      <c r="D1427">
        <v>79.973106384000005</v>
      </c>
      <c r="E1427">
        <v>50</v>
      </c>
      <c r="F1427">
        <v>36.898353577000002</v>
      </c>
      <c r="G1427">
        <v>1410.5925293</v>
      </c>
      <c r="H1427">
        <v>1386.5167236</v>
      </c>
      <c r="I1427">
        <v>1238.3757324000001</v>
      </c>
      <c r="J1427">
        <v>1193.1193848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886.17129499999999</v>
      </c>
      <c r="B1428" s="1">
        <f>DATE(2012,10,3) + TIME(4,6,39)</f>
        <v>41185.171284722222</v>
      </c>
      <c r="C1428">
        <v>80</v>
      </c>
      <c r="D1428">
        <v>79.973152161000002</v>
      </c>
      <c r="E1428">
        <v>50</v>
      </c>
      <c r="F1428">
        <v>36.668796538999999</v>
      </c>
      <c r="G1428">
        <v>1410.552124</v>
      </c>
      <c r="H1428">
        <v>1386.4775391000001</v>
      </c>
      <c r="I1428">
        <v>1238.0444336</v>
      </c>
      <c r="J1428">
        <v>1192.5576172000001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888.37017600000001</v>
      </c>
      <c r="B1429" s="1">
        <f>DATE(2012,10,5) + TIME(8,53,3)</f>
        <v>41187.370173611111</v>
      </c>
      <c r="C1429">
        <v>80</v>
      </c>
      <c r="D1429">
        <v>79.973190308</v>
      </c>
      <c r="E1429">
        <v>50</v>
      </c>
      <c r="F1429">
        <v>36.393856049</v>
      </c>
      <c r="G1429">
        <v>1410.4951172000001</v>
      </c>
      <c r="H1429">
        <v>1386.4221190999999</v>
      </c>
      <c r="I1429">
        <v>1237.5784911999999</v>
      </c>
      <c r="J1429">
        <v>1191.8137207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890.58316100000002</v>
      </c>
      <c r="B1430" s="1">
        <f>DATE(2012,10,7) + TIME(13,59,45)</f>
        <v>41189.58315972222</v>
      </c>
      <c r="C1430">
        <v>80</v>
      </c>
      <c r="D1430">
        <v>79.973236084000007</v>
      </c>
      <c r="E1430">
        <v>50</v>
      </c>
      <c r="F1430">
        <v>36.108528137</v>
      </c>
      <c r="G1430">
        <v>1410.4377440999999</v>
      </c>
      <c r="H1430">
        <v>1386.3663329999999</v>
      </c>
      <c r="I1430">
        <v>1237.1053466999999</v>
      </c>
      <c r="J1430">
        <v>1191.0496826000001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892.79897600000004</v>
      </c>
      <c r="B1431" s="1">
        <f>DATE(2012,10,9) + TIME(19,10,31)</f>
        <v>41191.79896990741</v>
      </c>
      <c r="C1431">
        <v>80</v>
      </c>
      <c r="D1431">
        <v>79.973274231000005</v>
      </c>
      <c r="E1431">
        <v>50</v>
      </c>
      <c r="F1431">
        <v>35.820812224999997</v>
      </c>
      <c r="G1431">
        <v>1410.3803711</v>
      </c>
      <c r="H1431">
        <v>1386.3106689000001</v>
      </c>
      <c r="I1431">
        <v>1236.6300048999999</v>
      </c>
      <c r="J1431">
        <v>1190.2788086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895.02484700000002</v>
      </c>
      <c r="B1432" s="1">
        <f>DATE(2012,10,12) + TIME(0,35,46)</f>
        <v>41194.024837962963</v>
      </c>
      <c r="C1432">
        <v>80</v>
      </c>
      <c r="D1432">
        <v>79.973320006999998</v>
      </c>
      <c r="E1432">
        <v>50</v>
      </c>
      <c r="F1432">
        <v>35.533042907999999</v>
      </c>
      <c r="G1432">
        <v>1410.3236084</v>
      </c>
      <c r="H1432">
        <v>1386.2553711</v>
      </c>
      <c r="I1432">
        <v>1236.1552733999999</v>
      </c>
      <c r="J1432">
        <v>1189.5063477000001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897.26226099999997</v>
      </c>
      <c r="B1433" s="1">
        <f>DATE(2012,10,14) + TIME(6,17,39)</f>
        <v>41196.262256944443</v>
      </c>
      <c r="C1433">
        <v>80</v>
      </c>
      <c r="D1433">
        <v>79.973365783999995</v>
      </c>
      <c r="E1433">
        <v>50</v>
      </c>
      <c r="F1433">
        <v>35.245326996000003</v>
      </c>
      <c r="G1433">
        <v>1410.2668457</v>
      </c>
      <c r="H1433">
        <v>1386.2001952999999</v>
      </c>
      <c r="I1433">
        <v>1235.6802978999999</v>
      </c>
      <c r="J1433">
        <v>1188.7314452999999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899.51096099999995</v>
      </c>
      <c r="B1434" s="1">
        <f>DATE(2012,10,16) + TIME(12,15,46)</f>
        <v>41198.510949074072</v>
      </c>
      <c r="C1434">
        <v>80</v>
      </c>
      <c r="D1434">
        <v>79.973403931000007</v>
      </c>
      <c r="E1434">
        <v>50</v>
      </c>
      <c r="F1434">
        <v>34.957805634000003</v>
      </c>
      <c r="G1434">
        <v>1410.2103271000001</v>
      </c>
      <c r="H1434">
        <v>1386.1451416</v>
      </c>
      <c r="I1434">
        <v>1235.2049560999999</v>
      </c>
      <c r="J1434">
        <v>1187.9538574000001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900.64813500000002</v>
      </c>
      <c r="B1435" s="1">
        <f>DATE(2012,10,17) + TIME(15,33,18)</f>
        <v>41199.648125</v>
      </c>
      <c r="C1435">
        <v>80</v>
      </c>
      <c r="D1435">
        <v>79.973426818999997</v>
      </c>
      <c r="E1435">
        <v>50</v>
      </c>
      <c r="F1435">
        <v>34.711494446000003</v>
      </c>
      <c r="G1435">
        <v>1410.1538086</v>
      </c>
      <c r="H1435">
        <v>1386.0902100000001</v>
      </c>
      <c r="I1435">
        <v>1234.7319336</v>
      </c>
      <c r="J1435">
        <v>1187.2176514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901.78530899999998</v>
      </c>
      <c r="B1436" s="1">
        <f>DATE(2012,10,18) + TIME(18,50,50)</f>
        <v>41200.785300925927</v>
      </c>
      <c r="C1436">
        <v>80</v>
      </c>
      <c r="D1436">
        <v>79.973442078000005</v>
      </c>
      <c r="E1436">
        <v>50</v>
      </c>
      <c r="F1436">
        <v>34.538387299</v>
      </c>
      <c r="G1436">
        <v>1410.125</v>
      </c>
      <c r="H1436">
        <v>1386.0621338000001</v>
      </c>
      <c r="I1436">
        <v>1234.4893798999999</v>
      </c>
      <c r="J1436">
        <v>1186.7901611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902.92248300000006</v>
      </c>
      <c r="B1437" s="1">
        <f>DATE(2012,10,19) + TIME(22,8,22)</f>
        <v>41201.922476851854</v>
      </c>
      <c r="C1437">
        <v>80</v>
      </c>
      <c r="D1437">
        <v>79.973464965999995</v>
      </c>
      <c r="E1437">
        <v>50</v>
      </c>
      <c r="F1437">
        <v>34.386646270999996</v>
      </c>
      <c r="G1437">
        <v>1410.0966797000001</v>
      </c>
      <c r="H1437">
        <v>1386.0345459</v>
      </c>
      <c r="I1437">
        <v>1234.2510986</v>
      </c>
      <c r="J1437">
        <v>1186.3895264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904.05965700000002</v>
      </c>
      <c r="B1438" s="1">
        <f>DATE(2012,10,21) + TIME(1,25,54)</f>
        <v>41203.059652777774</v>
      </c>
      <c r="C1438">
        <v>80</v>
      </c>
      <c r="D1438">
        <v>79.973487853999998</v>
      </c>
      <c r="E1438">
        <v>50</v>
      </c>
      <c r="F1438">
        <v>34.241535186999997</v>
      </c>
      <c r="G1438">
        <v>1410.0684814000001</v>
      </c>
      <c r="H1438">
        <v>1386.0070800999999</v>
      </c>
      <c r="I1438">
        <v>1234.0145264</v>
      </c>
      <c r="J1438">
        <v>1185.9968262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905.19683099999997</v>
      </c>
      <c r="B1439" s="1">
        <f>DATE(2012,10,22) + TIME(4,43,26)</f>
        <v>41204.196828703702</v>
      </c>
      <c r="C1439">
        <v>80</v>
      </c>
      <c r="D1439">
        <v>79.973510742000002</v>
      </c>
      <c r="E1439">
        <v>50</v>
      </c>
      <c r="F1439">
        <v>34.098884583</v>
      </c>
      <c r="G1439">
        <v>1410.0404053</v>
      </c>
      <c r="H1439">
        <v>1385.9797363</v>
      </c>
      <c r="I1439">
        <v>1233.7790527</v>
      </c>
      <c r="J1439">
        <v>1185.6071777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906.33400500000005</v>
      </c>
      <c r="B1440" s="1">
        <f>DATE(2012,10,23) + TIME(8,0,58)</f>
        <v>41205.334004629629</v>
      </c>
      <c r="C1440">
        <v>80</v>
      </c>
      <c r="D1440">
        <v>79.973533630000006</v>
      </c>
      <c r="E1440">
        <v>50</v>
      </c>
      <c r="F1440">
        <v>33.957538605000003</v>
      </c>
      <c r="G1440">
        <v>1410.0123291</v>
      </c>
      <c r="H1440">
        <v>1385.9523925999999</v>
      </c>
      <c r="I1440">
        <v>1233.5446777</v>
      </c>
      <c r="J1440">
        <v>1185.2192382999999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907.47117900000001</v>
      </c>
      <c r="B1441" s="1">
        <f>DATE(2012,10,24) + TIME(11,18,29)</f>
        <v>41206.471168981479</v>
      </c>
      <c r="C1441">
        <v>80</v>
      </c>
      <c r="D1441">
        <v>79.973548889</v>
      </c>
      <c r="E1441">
        <v>50</v>
      </c>
      <c r="F1441">
        <v>33.817199707</v>
      </c>
      <c r="G1441">
        <v>1409.984375</v>
      </c>
      <c r="H1441">
        <v>1385.9251709</v>
      </c>
      <c r="I1441">
        <v>1233.3112793</v>
      </c>
      <c r="J1441">
        <v>1184.8327637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908.60835299999997</v>
      </c>
      <c r="B1442" s="1">
        <f>DATE(2012,10,25) + TIME(14,36,1)</f>
        <v>41207.608344907407</v>
      </c>
      <c r="C1442">
        <v>80</v>
      </c>
      <c r="D1442">
        <v>79.973571777000004</v>
      </c>
      <c r="E1442">
        <v>50</v>
      </c>
      <c r="F1442">
        <v>33.677810669000003</v>
      </c>
      <c r="G1442">
        <v>1409.956543</v>
      </c>
      <c r="H1442">
        <v>1385.8980713000001</v>
      </c>
      <c r="I1442">
        <v>1233.0791016000001</v>
      </c>
      <c r="J1442">
        <v>1184.4476318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909.74552700000004</v>
      </c>
      <c r="B1443" s="1">
        <f>DATE(2012,10,26) + TIME(17,53,33)</f>
        <v>41208.745520833334</v>
      </c>
      <c r="C1443">
        <v>80</v>
      </c>
      <c r="D1443">
        <v>79.973594665999997</v>
      </c>
      <c r="E1443">
        <v>50</v>
      </c>
      <c r="F1443">
        <v>33.539394379000001</v>
      </c>
      <c r="G1443">
        <v>1409.9287108999999</v>
      </c>
      <c r="H1443">
        <v>1385.8709716999999</v>
      </c>
      <c r="I1443">
        <v>1232.8481445</v>
      </c>
      <c r="J1443">
        <v>1184.0638428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910.882701</v>
      </c>
      <c r="B1444" s="1">
        <f>DATE(2012,10,27) + TIME(21,11,5)</f>
        <v>41209.882696759261</v>
      </c>
      <c r="C1444">
        <v>80</v>
      </c>
      <c r="D1444">
        <v>79.973617554</v>
      </c>
      <c r="E1444">
        <v>50</v>
      </c>
      <c r="F1444">
        <v>33.401981354</v>
      </c>
      <c r="G1444">
        <v>1409.9011230000001</v>
      </c>
      <c r="H1444">
        <v>1385.8439940999999</v>
      </c>
      <c r="I1444">
        <v>1232.6184082</v>
      </c>
      <c r="J1444">
        <v>1183.6816406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912.01987499999996</v>
      </c>
      <c r="B1445" s="1">
        <f>DATE(2012,10,29) + TIME(0,28,37)</f>
        <v>41211.019872685189</v>
      </c>
      <c r="C1445">
        <v>80</v>
      </c>
      <c r="D1445">
        <v>79.973632812000005</v>
      </c>
      <c r="E1445">
        <v>50</v>
      </c>
      <c r="F1445">
        <v>33.265617370999998</v>
      </c>
      <c r="G1445">
        <v>1409.8735352000001</v>
      </c>
      <c r="H1445">
        <v>1385.8171387</v>
      </c>
      <c r="I1445">
        <v>1232.3898925999999</v>
      </c>
      <c r="J1445">
        <v>1183.3010254000001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913.15704900000003</v>
      </c>
      <c r="B1446" s="1">
        <f>DATE(2012,10,30) + TIME(3,46,9)</f>
        <v>41212.157048611109</v>
      </c>
      <c r="C1446">
        <v>80</v>
      </c>
      <c r="D1446">
        <v>79.973655700999998</v>
      </c>
      <c r="E1446">
        <v>50</v>
      </c>
      <c r="F1446">
        <v>33.130348206000001</v>
      </c>
      <c r="G1446">
        <v>1409.8459473</v>
      </c>
      <c r="H1446">
        <v>1385.7902832</v>
      </c>
      <c r="I1446">
        <v>1232.1628418</v>
      </c>
      <c r="J1446">
        <v>1182.9219971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915</v>
      </c>
      <c r="B1447" s="1">
        <f>DATE(2012,11,1) + TIME(0,0,0)</f>
        <v>41214</v>
      </c>
      <c r="C1447">
        <v>80</v>
      </c>
      <c r="D1447">
        <v>79.973686217999997</v>
      </c>
      <c r="E1447">
        <v>50</v>
      </c>
      <c r="F1447">
        <v>32.979778289999999</v>
      </c>
      <c r="G1447">
        <v>1409.8186035000001</v>
      </c>
      <c r="H1447">
        <v>1385.7636719</v>
      </c>
      <c r="I1447">
        <v>1231.9364014</v>
      </c>
      <c r="J1447">
        <v>1182.5264893000001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915.000001</v>
      </c>
      <c r="B1448" s="1">
        <f>DATE(2012,11,1) + TIME(0,0,0)</f>
        <v>41214</v>
      </c>
      <c r="C1448">
        <v>80</v>
      </c>
      <c r="D1448">
        <v>79.973442078000005</v>
      </c>
      <c r="E1448">
        <v>50</v>
      </c>
      <c r="F1448">
        <v>32.980022429999998</v>
      </c>
      <c r="G1448">
        <v>1384.0197754000001</v>
      </c>
      <c r="H1448">
        <v>1357.4514160000001</v>
      </c>
      <c r="I1448">
        <v>1289.2657471</v>
      </c>
      <c r="J1448">
        <v>1233.6983643000001</v>
      </c>
      <c r="K1448">
        <v>0</v>
      </c>
      <c r="L1448">
        <v>2400</v>
      </c>
      <c r="M1448">
        <v>2400</v>
      </c>
      <c r="N1448">
        <v>0</v>
      </c>
    </row>
    <row r="1449" spans="1:14" x14ac:dyDescent="0.25">
      <c r="A1449">
        <v>915.00000399999999</v>
      </c>
      <c r="B1449" s="1">
        <f>DATE(2012,11,1) + TIME(0,0,0)</f>
        <v>41214</v>
      </c>
      <c r="C1449">
        <v>80</v>
      </c>
      <c r="D1449">
        <v>79.972816467000001</v>
      </c>
      <c r="E1449">
        <v>50</v>
      </c>
      <c r="F1449">
        <v>32.980709075999997</v>
      </c>
      <c r="G1449">
        <v>1379.6158447</v>
      </c>
      <c r="H1449">
        <v>1353.0622559000001</v>
      </c>
      <c r="I1449">
        <v>1294.0678711</v>
      </c>
      <c r="J1449">
        <v>1238.5397949000001</v>
      </c>
      <c r="K1449">
        <v>0</v>
      </c>
      <c r="L1449">
        <v>2400</v>
      </c>
      <c r="M1449">
        <v>2400</v>
      </c>
      <c r="N1449">
        <v>0</v>
      </c>
    </row>
    <row r="1450" spans="1:14" x14ac:dyDescent="0.25">
      <c r="A1450">
        <v>915.00001299999997</v>
      </c>
      <c r="B1450" s="1">
        <f>DATE(2012,11,1) + TIME(0,0,1)</f>
        <v>41214.000011574077</v>
      </c>
      <c r="C1450">
        <v>80</v>
      </c>
      <c r="D1450">
        <v>79.971549988000007</v>
      </c>
      <c r="E1450">
        <v>50</v>
      </c>
      <c r="F1450">
        <v>32.982421875</v>
      </c>
      <c r="G1450">
        <v>1370.7426757999999</v>
      </c>
      <c r="H1450">
        <v>1344.2631836</v>
      </c>
      <c r="I1450">
        <v>1305.5311279</v>
      </c>
      <c r="J1450">
        <v>1250.1121826000001</v>
      </c>
      <c r="K1450">
        <v>0</v>
      </c>
      <c r="L1450">
        <v>2400</v>
      </c>
      <c r="M1450">
        <v>2400</v>
      </c>
      <c r="N1450">
        <v>0</v>
      </c>
    </row>
    <row r="1451" spans="1:14" x14ac:dyDescent="0.25">
      <c r="A1451">
        <v>915.00004000000001</v>
      </c>
      <c r="B1451" s="1">
        <f>DATE(2012,11,1) + TIME(0,0,3)</f>
        <v>41214.000034722223</v>
      </c>
      <c r="C1451">
        <v>80</v>
      </c>
      <c r="D1451">
        <v>79.969718932999996</v>
      </c>
      <c r="E1451">
        <v>50</v>
      </c>
      <c r="F1451">
        <v>32.98601532</v>
      </c>
      <c r="G1451">
        <v>1357.8704834</v>
      </c>
      <c r="H1451">
        <v>1331.6068115</v>
      </c>
      <c r="I1451">
        <v>1326.5064697</v>
      </c>
      <c r="J1451">
        <v>1271.3538818</v>
      </c>
      <c r="K1451">
        <v>0</v>
      </c>
      <c r="L1451">
        <v>2400</v>
      </c>
      <c r="M1451">
        <v>2400</v>
      </c>
      <c r="N1451">
        <v>0</v>
      </c>
    </row>
    <row r="1452" spans="1:14" x14ac:dyDescent="0.25">
      <c r="A1452">
        <v>915.00012100000004</v>
      </c>
      <c r="B1452" s="1">
        <f>DATE(2012,11,1) + TIME(0,0,10)</f>
        <v>41214.000115740739</v>
      </c>
      <c r="C1452">
        <v>80</v>
      </c>
      <c r="D1452">
        <v>79.967704772999994</v>
      </c>
      <c r="E1452">
        <v>50</v>
      </c>
      <c r="F1452">
        <v>32.992610931000002</v>
      </c>
      <c r="G1452">
        <v>1343.8179932</v>
      </c>
      <c r="H1452">
        <v>1317.9869385</v>
      </c>
      <c r="I1452">
        <v>1353.8519286999999</v>
      </c>
      <c r="J1452">
        <v>1299.2642822</v>
      </c>
      <c r="K1452">
        <v>0</v>
      </c>
      <c r="L1452">
        <v>2400</v>
      </c>
      <c r="M1452">
        <v>2400</v>
      </c>
      <c r="N1452">
        <v>0</v>
      </c>
    </row>
    <row r="1453" spans="1:14" x14ac:dyDescent="0.25">
      <c r="A1453">
        <v>915.00036399999999</v>
      </c>
      <c r="B1453" s="1">
        <f>DATE(2012,11,1) + TIME(0,0,31)</f>
        <v>41214.000358796293</v>
      </c>
      <c r="C1453">
        <v>80</v>
      </c>
      <c r="D1453">
        <v>79.965728760000005</v>
      </c>
      <c r="E1453">
        <v>50</v>
      </c>
      <c r="F1453">
        <v>33.005893706999998</v>
      </c>
      <c r="G1453">
        <v>1330.3095702999999</v>
      </c>
      <c r="H1453">
        <v>1305.1676024999999</v>
      </c>
      <c r="I1453">
        <v>1381.8913574000001</v>
      </c>
      <c r="J1453">
        <v>1328.3218993999999</v>
      </c>
      <c r="K1453">
        <v>0</v>
      </c>
      <c r="L1453">
        <v>2400</v>
      </c>
      <c r="M1453">
        <v>2400</v>
      </c>
      <c r="N1453">
        <v>0</v>
      </c>
    </row>
    <row r="1454" spans="1:14" x14ac:dyDescent="0.25">
      <c r="A1454">
        <v>915.00109299999997</v>
      </c>
      <c r="B1454" s="1">
        <f>DATE(2012,11,1) + TIME(0,1,34)</f>
        <v>41214.001087962963</v>
      </c>
      <c r="C1454">
        <v>80</v>
      </c>
      <c r="D1454">
        <v>79.963821410999998</v>
      </c>
      <c r="E1454">
        <v>50</v>
      </c>
      <c r="F1454">
        <v>33.038009643999999</v>
      </c>
      <c r="G1454">
        <v>1318.041626</v>
      </c>
      <c r="H1454">
        <v>1293.6834716999999</v>
      </c>
      <c r="I1454">
        <v>1408.1904297000001</v>
      </c>
      <c r="J1454">
        <v>1356.1279297000001</v>
      </c>
      <c r="K1454">
        <v>0</v>
      </c>
      <c r="L1454">
        <v>2400</v>
      </c>
      <c r="M1454">
        <v>2400</v>
      </c>
      <c r="N1454">
        <v>0</v>
      </c>
    </row>
    <row r="1455" spans="1:14" x14ac:dyDescent="0.25">
      <c r="A1455">
        <v>915.00328000000002</v>
      </c>
      <c r="B1455" s="1">
        <f>DATE(2012,11,1) + TIME(0,4,43)</f>
        <v>41214.003275462965</v>
      </c>
      <c r="C1455">
        <v>80</v>
      </c>
      <c r="D1455">
        <v>79.961799622000001</v>
      </c>
      <c r="E1455">
        <v>50</v>
      </c>
      <c r="F1455">
        <v>33.124721526999998</v>
      </c>
      <c r="G1455">
        <v>1307.3604736</v>
      </c>
      <c r="H1455">
        <v>1283.5220947</v>
      </c>
      <c r="I1455">
        <v>1431.9326172000001</v>
      </c>
      <c r="J1455">
        <v>1381.4564209</v>
      </c>
      <c r="K1455">
        <v>0</v>
      </c>
      <c r="L1455">
        <v>2400</v>
      </c>
      <c r="M1455">
        <v>2400</v>
      </c>
      <c r="N1455">
        <v>0</v>
      </c>
    </row>
    <row r="1456" spans="1:14" x14ac:dyDescent="0.25">
      <c r="A1456">
        <v>915.00984100000005</v>
      </c>
      <c r="B1456" s="1">
        <f>DATE(2012,11,1) + TIME(0,14,10)</f>
        <v>41214.009837962964</v>
      </c>
      <c r="C1456">
        <v>80</v>
      </c>
      <c r="D1456">
        <v>79.958885193</v>
      </c>
      <c r="E1456">
        <v>50</v>
      </c>
      <c r="F1456">
        <v>33.370502471999998</v>
      </c>
      <c r="G1456">
        <v>1297.3254394999999</v>
      </c>
      <c r="H1456">
        <v>1273.6396483999999</v>
      </c>
      <c r="I1456">
        <v>1452.105957</v>
      </c>
      <c r="J1456">
        <v>1402.7749022999999</v>
      </c>
      <c r="K1456">
        <v>0</v>
      </c>
      <c r="L1456">
        <v>2400</v>
      </c>
      <c r="M1456">
        <v>2400</v>
      </c>
      <c r="N1456">
        <v>0</v>
      </c>
    </row>
    <row r="1457" spans="1:14" x14ac:dyDescent="0.25">
      <c r="A1457">
        <v>915.02952400000004</v>
      </c>
      <c r="B1457" s="1">
        <f>DATE(2012,11,1) + TIME(0,42,30)</f>
        <v>41214.029513888891</v>
      </c>
      <c r="C1457">
        <v>80</v>
      </c>
      <c r="D1457">
        <v>79.953239440999994</v>
      </c>
      <c r="E1457">
        <v>50</v>
      </c>
      <c r="F1457">
        <v>34.067817687999998</v>
      </c>
      <c r="G1457">
        <v>1287.9392089999999</v>
      </c>
      <c r="H1457">
        <v>1264.2388916</v>
      </c>
      <c r="I1457">
        <v>1466.4036865</v>
      </c>
      <c r="J1457">
        <v>1418.0433350000001</v>
      </c>
      <c r="K1457">
        <v>0</v>
      </c>
      <c r="L1457">
        <v>2400</v>
      </c>
      <c r="M1457">
        <v>2400</v>
      </c>
      <c r="N1457">
        <v>0</v>
      </c>
    </row>
    <row r="1458" spans="1:14" x14ac:dyDescent="0.25">
      <c r="A1458">
        <v>915.051873</v>
      </c>
      <c r="B1458" s="1">
        <f>DATE(2012,11,1) + TIME(1,14,41)</f>
        <v>41214.051863425928</v>
      </c>
      <c r="C1458">
        <v>80</v>
      </c>
      <c r="D1458">
        <v>79.947799683</v>
      </c>
      <c r="E1458">
        <v>50</v>
      </c>
      <c r="F1458">
        <v>34.820514678999999</v>
      </c>
      <c r="G1458">
        <v>1283.8621826000001</v>
      </c>
      <c r="H1458">
        <v>1260.1435547000001</v>
      </c>
      <c r="I1458">
        <v>1470.9329834</v>
      </c>
      <c r="J1458">
        <v>1423.3535156</v>
      </c>
      <c r="K1458">
        <v>0</v>
      </c>
      <c r="L1458">
        <v>2400</v>
      </c>
      <c r="M1458">
        <v>2400</v>
      </c>
      <c r="N1458">
        <v>0</v>
      </c>
    </row>
    <row r="1459" spans="1:14" x14ac:dyDescent="0.25">
      <c r="A1459">
        <v>915.07544800000005</v>
      </c>
      <c r="B1459" s="1">
        <f>DATE(2012,11,1) + TIME(1,48,38)</f>
        <v>41214.075439814813</v>
      </c>
      <c r="C1459">
        <v>80</v>
      </c>
      <c r="D1459">
        <v>79.942489624000004</v>
      </c>
      <c r="E1459">
        <v>50</v>
      </c>
      <c r="F1459">
        <v>35.574634551999999</v>
      </c>
      <c r="G1459">
        <v>1282.1265868999999</v>
      </c>
      <c r="H1459">
        <v>1258.3992920000001</v>
      </c>
      <c r="I1459">
        <v>1471.9257812000001</v>
      </c>
      <c r="J1459">
        <v>1425.0900879000001</v>
      </c>
      <c r="K1459">
        <v>0</v>
      </c>
      <c r="L1459">
        <v>2400</v>
      </c>
      <c r="M1459">
        <v>2400</v>
      </c>
      <c r="N1459">
        <v>0</v>
      </c>
    </row>
    <row r="1460" spans="1:14" x14ac:dyDescent="0.25">
      <c r="A1460">
        <v>915.10039099999995</v>
      </c>
      <c r="B1460" s="1">
        <f>DATE(2012,11,1) + TIME(2,24,33)</f>
        <v>41214.100381944445</v>
      </c>
      <c r="C1460">
        <v>80</v>
      </c>
      <c r="D1460">
        <v>79.937110900999997</v>
      </c>
      <c r="E1460">
        <v>50</v>
      </c>
      <c r="F1460">
        <v>36.330486297999997</v>
      </c>
      <c r="G1460">
        <v>1281.3831786999999</v>
      </c>
      <c r="H1460">
        <v>1257.6520995999999</v>
      </c>
      <c r="I1460">
        <v>1471.5865478999999</v>
      </c>
      <c r="J1460">
        <v>1425.4776611</v>
      </c>
      <c r="K1460">
        <v>0</v>
      </c>
      <c r="L1460">
        <v>2400</v>
      </c>
      <c r="M1460">
        <v>2400</v>
      </c>
      <c r="N1460">
        <v>0</v>
      </c>
    </row>
    <row r="1461" spans="1:14" x14ac:dyDescent="0.25">
      <c r="A1461">
        <v>915.12687200000005</v>
      </c>
      <c r="B1461" s="1">
        <f>DATE(2012,11,1) + TIME(3,2,41)</f>
        <v>41214.126863425925</v>
      </c>
      <c r="C1461">
        <v>80</v>
      </c>
      <c r="D1461">
        <v>79.931556701999995</v>
      </c>
      <c r="E1461">
        <v>50</v>
      </c>
      <c r="F1461">
        <v>37.088333130000002</v>
      </c>
      <c r="G1461">
        <v>1281.0664062000001</v>
      </c>
      <c r="H1461">
        <v>1257.333374</v>
      </c>
      <c r="I1461">
        <v>1470.7362060999999</v>
      </c>
      <c r="J1461">
        <v>1425.3376464999999</v>
      </c>
      <c r="K1461">
        <v>0</v>
      </c>
      <c r="L1461">
        <v>2400</v>
      </c>
      <c r="M1461">
        <v>2400</v>
      </c>
      <c r="N1461">
        <v>0</v>
      </c>
    </row>
    <row r="1462" spans="1:14" x14ac:dyDescent="0.25">
      <c r="A1462">
        <v>915.15509999999995</v>
      </c>
      <c r="B1462" s="1">
        <f>DATE(2012,11,1) + TIME(3,43,20)</f>
        <v>41214.155092592591</v>
      </c>
      <c r="C1462">
        <v>80</v>
      </c>
      <c r="D1462">
        <v>79.925765991000006</v>
      </c>
      <c r="E1462">
        <v>50</v>
      </c>
      <c r="F1462">
        <v>37.848556518999999</v>
      </c>
      <c r="G1462">
        <v>1280.9316406</v>
      </c>
      <c r="H1462">
        <v>1257.1976318</v>
      </c>
      <c r="I1462">
        <v>1469.7020264</v>
      </c>
      <c r="J1462">
        <v>1424.9967041</v>
      </c>
      <c r="K1462">
        <v>0</v>
      </c>
      <c r="L1462">
        <v>2400</v>
      </c>
      <c r="M1462">
        <v>2400</v>
      </c>
      <c r="N1462">
        <v>0</v>
      </c>
    </row>
    <row r="1463" spans="1:14" x14ac:dyDescent="0.25">
      <c r="A1463">
        <v>915.18533400000001</v>
      </c>
      <c r="B1463" s="1">
        <f>DATE(2012,11,1) + TIME(4,26,52)</f>
        <v>41214.185324074075</v>
      </c>
      <c r="C1463">
        <v>80</v>
      </c>
      <c r="D1463">
        <v>79.919685364000003</v>
      </c>
      <c r="E1463">
        <v>50</v>
      </c>
      <c r="F1463">
        <v>38.611610413000001</v>
      </c>
      <c r="G1463">
        <v>1280.8740233999999</v>
      </c>
      <c r="H1463">
        <v>1257.1391602000001</v>
      </c>
      <c r="I1463">
        <v>1468.6138916</v>
      </c>
      <c r="J1463">
        <v>1424.5849608999999</v>
      </c>
      <c r="K1463">
        <v>0</v>
      </c>
      <c r="L1463">
        <v>2400</v>
      </c>
      <c r="M1463">
        <v>2400</v>
      </c>
      <c r="N1463">
        <v>0</v>
      </c>
    </row>
    <row r="1464" spans="1:14" x14ac:dyDescent="0.25">
      <c r="A1464">
        <v>915.21789200000001</v>
      </c>
      <c r="B1464" s="1">
        <f>DATE(2012,11,1) + TIME(5,13,45)</f>
        <v>41214.217881944445</v>
      </c>
      <c r="C1464">
        <v>80</v>
      </c>
      <c r="D1464">
        <v>79.913269043</v>
      </c>
      <c r="E1464">
        <v>50</v>
      </c>
      <c r="F1464">
        <v>39.377975464000002</v>
      </c>
      <c r="G1464">
        <v>1280.8486327999999</v>
      </c>
      <c r="H1464">
        <v>1257.1132812000001</v>
      </c>
      <c r="I1464">
        <v>1467.5209961</v>
      </c>
      <c r="J1464">
        <v>1424.1520995999999</v>
      </c>
      <c r="K1464">
        <v>0</v>
      </c>
      <c r="L1464">
        <v>2400</v>
      </c>
      <c r="M1464">
        <v>2400</v>
      </c>
      <c r="N1464">
        <v>0</v>
      </c>
    </row>
    <row r="1465" spans="1:14" x14ac:dyDescent="0.25">
      <c r="A1465">
        <v>915.25317099999995</v>
      </c>
      <c r="B1465" s="1">
        <f>DATE(2012,11,1) + TIME(6,4,33)</f>
        <v>41214.253159722219</v>
      </c>
      <c r="C1465">
        <v>80</v>
      </c>
      <c r="D1465">
        <v>79.906455993999998</v>
      </c>
      <c r="E1465">
        <v>50</v>
      </c>
      <c r="F1465">
        <v>40.148193358999997</v>
      </c>
      <c r="G1465">
        <v>1280.8369141000001</v>
      </c>
      <c r="H1465">
        <v>1257.1009521000001</v>
      </c>
      <c r="I1465">
        <v>1466.4403076000001</v>
      </c>
      <c r="J1465">
        <v>1423.7158202999999</v>
      </c>
      <c r="K1465">
        <v>0</v>
      </c>
      <c r="L1465">
        <v>2400</v>
      </c>
      <c r="M1465">
        <v>2400</v>
      </c>
      <c r="N1465">
        <v>0</v>
      </c>
    </row>
    <row r="1466" spans="1:14" x14ac:dyDescent="0.25">
      <c r="A1466">
        <v>915.29166999999995</v>
      </c>
      <c r="B1466" s="1">
        <f>DATE(2012,11,1) + TIME(7,0,0)</f>
        <v>41214.291666666664</v>
      </c>
      <c r="C1466">
        <v>80</v>
      </c>
      <c r="D1466">
        <v>79.899169921999999</v>
      </c>
      <c r="E1466">
        <v>50</v>
      </c>
      <c r="F1466">
        <v>40.922801970999998</v>
      </c>
      <c r="G1466">
        <v>1280.8309326000001</v>
      </c>
      <c r="H1466">
        <v>1257.0943603999999</v>
      </c>
      <c r="I1466">
        <v>1465.3759766000001</v>
      </c>
      <c r="J1466">
        <v>1423.2808838000001</v>
      </c>
      <c r="K1466">
        <v>0</v>
      </c>
      <c r="L1466">
        <v>2400</v>
      </c>
      <c r="M1466">
        <v>2400</v>
      </c>
      <c r="N1466">
        <v>0</v>
      </c>
    </row>
    <row r="1467" spans="1:14" x14ac:dyDescent="0.25">
      <c r="A1467">
        <v>915.33403599999997</v>
      </c>
      <c r="B1467" s="1">
        <f>DATE(2012,11,1) + TIME(8,1,0)</f>
        <v>41214.334027777775</v>
      </c>
      <c r="C1467">
        <v>80</v>
      </c>
      <c r="D1467">
        <v>79.891342163000004</v>
      </c>
      <c r="E1467">
        <v>50</v>
      </c>
      <c r="F1467">
        <v>41.702064514</v>
      </c>
      <c r="G1467">
        <v>1280.8273925999999</v>
      </c>
      <c r="H1467">
        <v>1257.0900879000001</v>
      </c>
      <c r="I1467">
        <v>1464.3282471</v>
      </c>
      <c r="J1467">
        <v>1422.8480225000001</v>
      </c>
      <c r="K1467">
        <v>0</v>
      </c>
      <c r="L1467">
        <v>2400</v>
      </c>
      <c r="M1467">
        <v>2400</v>
      </c>
      <c r="N1467">
        <v>0</v>
      </c>
    </row>
    <row r="1468" spans="1:14" x14ac:dyDescent="0.25">
      <c r="A1468">
        <v>915.38112999999998</v>
      </c>
      <c r="B1468" s="1">
        <f>DATE(2012,11,1) + TIME(9,8,49)</f>
        <v>41214.381122685183</v>
      </c>
      <c r="C1468">
        <v>80</v>
      </c>
      <c r="D1468">
        <v>79.882835388000004</v>
      </c>
      <c r="E1468">
        <v>50</v>
      </c>
      <c r="F1468">
        <v>42.486446381</v>
      </c>
      <c r="G1468">
        <v>1280.8248291</v>
      </c>
      <c r="H1468">
        <v>1257.0867920000001</v>
      </c>
      <c r="I1468">
        <v>1463.2951660000001</v>
      </c>
      <c r="J1468">
        <v>1422.4157714999999</v>
      </c>
      <c r="K1468">
        <v>0</v>
      </c>
      <c r="L1468">
        <v>2400</v>
      </c>
      <c r="M1468">
        <v>2400</v>
      </c>
      <c r="N1468">
        <v>0</v>
      </c>
    </row>
    <row r="1469" spans="1:14" x14ac:dyDescent="0.25">
      <c r="A1469">
        <v>915.43411200000003</v>
      </c>
      <c r="B1469" s="1">
        <f>DATE(2012,11,1) + TIME(10,25,7)</f>
        <v>41214.434108796297</v>
      </c>
      <c r="C1469">
        <v>80</v>
      </c>
      <c r="D1469">
        <v>79.873519896999994</v>
      </c>
      <c r="E1469">
        <v>50</v>
      </c>
      <c r="F1469">
        <v>43.276157378999997</v>
      </c>
      <c r="G1469">
        <v>1280.8225098</v>
      </c>
      <c r="H1469">
        <v>1257.0837402</v>
      </c>
      <c r="I1469">
        <v>1462.2749022999999</v>
      </c>
      <c r="J1469">
        <v>1421.9824219</v>
      </c>
      <c r="K1469">
        <v>0</v>
      </c>
      <c r="L1469">
        <v>2400</v>
      </c>
      <c r="M1469">
        <v>2400</v>
      </c>
      <c r="N1469">
        <v>0</v>
      </c>
    </row>
    <row r="1470" spans="1:14" x14ac:dyDescent="0.25">
      <c r="A1470">
        <v>915.494597</v>
      </c>
      <c r="B1470" s="1">
        <f>DATE(2012,11,1) + TIME(11,52,13)</f>
        <v>41214.49459490741</v>
      </c>
      <c r="C1470">
        <v>80</v>
      </c>
      <c r="D1470">
        <v>79.863174438000001</v>
      </c>
      <c r="E1470">
        <v>50</v>
      </c>
      <c r="F1470">
        <v>44.071109772</v>
      </c>
      <c r="G1470">
        <v>1280.8201904</v>
      </c>
      <c r="H1470">
        <v>1257.0805664</v>
      </c>
      <c r="I1470">
        <v>1461.2650146000001</v>
      </c>
      <c r="J1470">
        <v>1421.5455322</v>
      </c>
      <c r="K1470">
        <v>0</v>
      </c>
      <c r="L1470">
        <v>2400</v>
      </c>
      <c r="M1470">
        <v>2400</v>
      </c>
      <c r="N1470">
        <v>0</v>
      </c>
    </row>
    <row r="1471" spans="1:14" x14ac:dyDescent="0.25">
      <c r="A1471">
        <v>915.56436299999996</v>
      </c>
      <c r="B1471" s="1">
        <f>DATE(2012,11,1) + TIME(13,32,41)</f>
        <v>41214.564363425925</v>
      </c>
      <c r="C1471">
        <v>80</v>
      </c>
      <c r="D1471">
        <v>79.851608275999993</v>
      </c>
      <c r="E1471">
        <v>50</v>
      </c>
      <c r="F1471">
        <v>44.865169524999999</v>
      </c>
      <c r="G1471">
        <v>1280.8176269999999</v>
      </c>
      <c r="H1471">
        <v>1257.0770264</v>
      </c>
      <c r="I1471">
        <v>1460.269043</v>
      </c>
      <c r="J1471">
        <v>1421.1047363</v>
      </c>
      <c r="K1471">
        <v>0</v>
      </c>
      <c r="L1471">
        <v>2400</v>
      </c>
      <c r="M1471">
        <v>2400</v>
      </c>
      <c r="N1471">
        <v>0</v>
      </c>
    </row>
    <row r="1472" spans="1:14" x14ac:dyDescent="0.25">
      <c r="A1472">
        <v>915.64549199999999</v>
      </c>
      <c r="B1472" s="1">
        <f>DATE(2012,11,1) + TIME(15,29,30)</f>
        <v>41214.645486111112</v>
      </c>
      <c r="C1472">
        <v>80</v>
      </c>
      <c r="D1472">
        <v>79.838592528999996</v>
      </c>
      <c r="E1472">
        <v>50</v>
      </c>
      <c r="F1472">
        <v>45.647640228</v>
      </c>
      <c r="G1472">
        <v>1280.8145752</v>
      </c>
      <c r="H1472">
        <v>1257.0729980000001</v>
      </c>
      <c r="I1472">
        <v>1459.2946777</v>
      </c>
      <c r="J1472">
        <v>1420.6604004000001</v>
      </c>
      <c r="K1472">
        <v>0</v>
      </c>
      <c r="L1472">
        <v>2400</v>
      </c>
      <c r="M1472">
        <v>2400</v>
      </c>
      <c r="N1472">
        <v>0</v>
      </c>
    </row>
    <row r="1473" spans="1:14" x14ac:dyDescent="0.25">
      <c r="A1473">
        <v>915.74203499999999</v>
      </c>
      <c r="B1473" s="1">
        <f>DATE(2012,11,1) + TIME(17,48,31)</f>
        <v>41214.742025462961</v>
      </c>
      <c r="C1473">
        <v>80</v>
      </c>
      <c r="D1473">
        <v>79.823669433999996</v>
      </c>
      <c r="E1473">
        <v>50</v>
      </c>
      <c r="F1473">
        <v>46.414344788000001</v>
      </c>
      <c r="G1473">
        <v>1280.8111572</v>
      </c>
      <c r="H1473">
        <v>1257.0683594</v>
      </c>
      <c r="I1473">
        <v>1458.3405762</v>
      </c>
      <c r="J1473">
        <v>1420.2098389</v>
      </c>
      <c r="K1473">
        <v>0</v>
      </c>
      <c r="L1473">
        <v>2400</v>
      </c>
      <c r="M1473">
        <v>2400</v>
      </c>
      <c r="N1473">
        <v>0</v>
      </c>
    </row>
    <row r="1474" spans="1:14" x14ac:dyDescent="0.25">
      <c r="A1474">
        <v>915.84301100000005</v>
      </c>
      <c r="B1474" s="1">
        <f>DATE(2012,11,1) + TIME(20,13,56)</f>
        <v>41214.843009259261</v>
      </c>
      <c r="C1474">
        <v>80</v>
      </c>
      <c r="D1474">
        <v>79.808250427000004</v>
      </c>
      <c r="E1474">
        <v>50</v>
      </c>
      <c r="F1474">
        <v>47.069252014</v>
      </c>
      <c r="G1474">
        <v>1280.8068848</v>
      </c>
      <c r="H1474">
        <v>1257.0631103999999</v>
      </c>
      <c r="I1474">
        <v>1457.4945068</v>
      </c>
      <c r="J1474">
        <v>1419.7805175999999</v>
      </c>
      <c r="K1474">
        <v>0</v>
      </c>
      <c r="L1474">
        <v>2400</v>
      </c>
      <c r="M1474">
        <v>2400</v>
      </c>
      <c r="N1474">
        <v>0</v>
      </c>
    </row>
    <row r="1475" spans="1:14" x14ac:dyDescent="0.25">
      <c r="A1475">
        <v>915.94701699999996</v>
      </c>
      <c r="B1475" s="1">
        <f>DATE(2012,11,1) + TIME(22,43,42)</f>
        <v>41214.947013888886</v>
      </c>
      <c r="C1475">
        <v>80</v>
      </c>
      <c r="D1475">
        <v>79.792488098000007</v>
      </c>
      <c r="E1475">
        <v>50</v>
      </c>
      <c r="F1475">
        <v>47.617031097000002</v>
      </c>
      <c r="G1475">
        <v>1280.8023682</v>
      </c>
      <c r="H1475">
        <v>1257.0574951000001</v>
      </c>
      <c r="I1475">
        <v>1456.7637939000001</v>
      </c>
      <c r="J1475">
        <v>1419.3894043</v>
      </c>
      <c r="K1475">
        <v>0</v>
      </c>
      <c r="L1475">
        <v>2400</v>
      </c>
      <c r="M1475">
        <v>2400</v>
      </c>
      <c r="N1475">
        <v>0</v>
      </c>
    </row>
    <row r="1476" spans="1:14" x14ac:dyDescent="0.25">
      <c r="A1476">
        <v>916.05566099999999</v>
      </c>
      <c r="B1476" s="1">
        <f>DATE(2012,11,2) + TIME(1,20,9)</f>
        <v>41215.055659722224</v>
      </c>
      <c r="C1476">
        <v>80</v>
      </c>
      <c r="D1476">
        <v>79.776206970000004</v>
      </c>
      <c r="E1476">
        <v>50</v>
      </c>
      <c r="F1476">
        <v>48.077739716000004</v>
      </c>
      <c r="G1476">
        <v>1280.7977295000001</v>
      </c>
      <c r="H1476">
        <v>1257.0517577999999</v>
      </c>
      <c r="I1476">
        <v>1456.1257324000001</v>
      </c>
      <c r="J1476">
        <v>1419.0308838000001</v>
      </c>
      <c r="K1476">
        <v>0</v>
      </c>
      <c r="L1476">
        <v>2400</v>
      </c>
      <c r="M1476">
        <v>2400</v>
      </c>
      <c r="N1476">
        <v>0</v>
      </c>
    </row>
    <row r="1477" spans="1:14" x14ac:dyDescent="0.25">
      <c r="A1477">
        <v>916.17034699999999</v>
      </c>
      <c r="B1477" s="1">
        <f>DATE(2012,11,2) + TIME(4,5,18)</f>
        <v>41215.170347222222</v>
      </c>
      <c r="C1477">
        <v>80</v>
      </c>
      <c r="D1477">
        <v>79.759246825999995</v>
      </c>
      <c r="E1477">
        <v>50</v>
      </c>
      <c r="F1477">
        <v>48.465042113999999</v>
      </c>
      <c r="G1477">
        <v>1280.7928466999999</v>
      </c>
      <c r="H1477">
        <v>1257.0457764</v>
      </c>
      <c r="I1477">
        <v>1455.5611572</v>
      </c>
      <c r="J1477">
        <v>1418.6965332</v>
      </c>
      <c r="K1477">
        <v>0</v>
      </c>
      <c r="L1477">
        <v>2400</v>
      </c>
      <c r="M1477">
        <v>2400</v>
      </c>
      <c r="N1477">
        <v>0</v>
      </c>
    </row>
    <row r="1478" spans="1:14" x14ac:dyDescent="0.25">
      <c r="A1478">
        <v>916.29268200000001</v>
      </c>
      <c r="B1478" s="1">
        <f>DATE(2012,11,2) + TIME(7,1,27)</f>
        <v>41215.292673611111</v>
      </c>
      <c r="C1478">
        <v>80</v>
      </c>
      <c r="D1478">
        <v>79.741401671999995</v>
      </c>
      <c r="E1478">
        <v>50</v>
      </c>
      <c r="F1478">
        <v>48.789596558</v>
      </c>
      <c r="G1478">
        <v>1280.7877197</v>
      </c>
      <c r="H1478">
        <v>1257.0393065999999</v>
      </c>
      <c r="I1478">
        <v>1455.0551757999999</v>
      </c>
      <c r="J1478">
        <v>1418.3800048999999</v>
      </c>
      <c r="K1478">
        <v>0</v>
      </c>
      <c r="L1478">
        <v>2400</v>
      </c>
      <c r="M1478">
        <v>2400</v>
      </c>
      <c r="N1478">
        <v>0</v>
      </c>
    </row>
    <row r="1479" spans="1:14" x14ac:dyDescent="0.25">
      <c r="A1479">
        <v>916.42459699999995</v>
      </c>
      <c r="B1479" s="1">
        <f>DATE(2012,11,2) + TIME(10,11,25)</f>
        <v>41215.42459490741</v>
      </c>
      <c r="C1479">
        <v>80</v>
      </c>
      <c r="D1479">
        <v>79.722473144999995</v>
      </c>
      <c r="E1479">
        <v>50</v>
      </c>
      <c r="F1479">
        <v>49.059970856</v>
      </c>
      <c r="G1479">
        <v>1280.7822266000001</v>
      </c>
      <c r="H1479">
        <v>1257.0325928</v>
      </c>
      <c r="I1479">
        <v>1454.5960693</v>
      </c>
      <c r="J1479">
        <v>1418.0761719</v>
      </c>
      <c r="K1479">
        <v>0</v>
      </c>
      <c r="L1479">
        <v>2400</v>
      </c>
      <c r="M1479">
        <v>2400</v>
      </c>
      <c r="N1479">
        <v>0</v>
      </c>
    </row>
    <row r="1480" spans="1:14" x14ac:dyDescent="0.25">
      <c r="A1480">
        <v>916.56813899999997</v>
      </c>
      <c r="B1480" s="1">
        <f>DATE(2012,11,2) + TIME(13,38,7)</f>
        <v>41215.568136574075</v>
      </c>
      <c r="C1480">
        <v>80</v>
      </c>
      <c r="D1480">
        <v>79.702224731000001</v>
      </c>
      <c r="E1480">
        <v>50</v>
      </c>
      <c r="F1480">
        <v>49.282787323000001</v>
      </c>
      <c r="G1480">
        <v>1280.7762451000001</v>
      </c>
      <c r="H1480">
        <v>1257.0252685999999</v>
      </c>
      <c r="I1480">
        <v>1454.1744385</v>
      </c>
      <c r="J1480">
        <v>1417.7801514</v>
      </c>
      <c r="K1480">
        <v>0</v>
      </c>
      <c r="L1480">
        <v>2400</v>
      </c>
      <c r="M1480">
        <v>2400</v>
      </c>
      <c r="N1480">
        <v>0</v>
      </c>
    </row>
    <row r="1481" spans="1:14" x14ac:dyDescent="0.25">
      <c r="A1481">
        <v>916.72504800000002</v>
      </c>
      <c r="B1481" s="1">
        <f>DATE(2012,11,2) + TIME(17,24,4)</f>
        <v>41215.725046296298</v>
      </c>
      <c r="C1481">
        <v>80</v>
      </c>
      <c r="D1481">
        <v>79.680458068999997</v>
      </c>
      <c r="E1481">
        <v>50</v>
      </c>
      <c r="F1481">
        <v>49.463184357000003</v>
      </c>
      <c r="G1481">
        <v>1280.7697754000001</v>
      </c>
      <c r="H1481">
        <v>1257.0173339999999</v>
      </c>
      <c r="I1481">
        <v>1453.7825928</v>
      </c>
      <c r="J1481">
        <v>1417.4886475000001</v>
      </c>
      <c r="K1481">
        <v>0</v>
      </c>
      <c r="L1481">
        <v>2400</v>
      </c>
      <c r="M1481">
        <v>2400</v>
      </c>
      <c r="N1481">
        <v>0</v>
      </c>
    </row>
    <row r="1482" spans="1:14" x14ac:dyDescent="0.25">
      <c r="A1482">
        <v>916.89903200000003</v>
      </c>
      <c r="B1482" s="1">
        <f>DATE(2012,11,2) + TIME(21,34,36)</f>
        <v>41215.899027777778</v>
      </c>
      <c r="C1482">
        <v>80</v>
      </c>
      <c r="D1482">
        <v>79.656806946000003</v>
      </c>
      <c r="E1482">
        <v>50</v>
      </c>
      <c r="F1482">
        <v>49.607292174999998</v>
      </c>
      <c r="G1482">
        <v>1280.7626952999999</v>
      </c>
      <c r="H1482">
        <v>1257.0085449000001</v>
      </c>
      <c r="I1482">
        <v>1453.4141846</v>
      </c>
      <c r="J1482">
        <v>1417.1989745999999</v>
      </c>
      <c r="K1482">
        <v>0</v>
      </c>
      <c r="L1482">
        <v>2400</v>
      </c>
      <c r="M1482">
        <v>2400</v>
      </c>
      <c r="N1482">
        <v>0</v>
      </c>
    </row>
    <row r="1483" spans="1:14" x14ac:dyDescent="0.25">
      <c r="A1483">
        <v>917.09146899999996</v>
      </c>
      <c r="B1483" s="1">
        <f>DATE(2012,11,3) + TIME(2,11,42)</f>
        <v>41216.091458333336</v>
      </c>
      <c r="C1483">
        <v>80</v>
      </c>
      <c r="D1483">
        <v>79.631080627000003</v>
      </c>
      <c r="E1483">
        <v>50</v>
      </c>
      <c r="F1483">
        <v>49.718856811999999</v>
      </c>
      <c r="G1483">
        <v>1280.7547606999999</v>
      </c>
      <c r="H1483">
        <v>1256.9990233999999</v>
      </c>
      <c r="I1483">
        <v>1453.0620117000001</v>
      </c>
      <c r="J1483">
        <v>1416.9067382999999</v>
      </c>
      <c r="K1483">
        <v>0</v>
      </c>
      <c r="L1483">
        <v>2400</v>
      </c>
      <c r="M1483">
        <v>2400</v>
      </c>
      <c r="N1483">
        <v>0</v>
      </c>
    </row>
    <row r="1484" spans="1:14" x14ac:dyDescent="0.25">
      <c r="A1484">
        <v>917.30802900000003</v>
      </c>
      <c r="B1484" s="1">
        <f>DATE(2012,11,3) + TIME(7,23,33)</f>
        <v>41216.308020833334</v>
      </c>
      <c r="C1484">
        <v>80</v>
      </c>
      <c r="D1484">
        <v>79.602737426999994</v>
      </c>
      <c r="E1484">
        <v>50</v>
      </c>
      <c r="F1484">
        <v>49.803600310999997</v>
      </c>
      <c r="G1484">
        <v>1280.7460937999999</v>
      </c>
      <c r="H1484">
        <v>1256.9882812000001</v>
      </c>
      <c r="I1484">
        <v>1452.7226562000001</v>
      </c>
      <c r="J1484">
        <v>1416.6116943</v>
      </c>
      <c r="K1484">
        <v>0</v>
      </c>
      <c r="L1484">
        <v>2400</v>
      </c>
      <c r="M1484">
        <v>2400</v>
      </c>
      <c r="N1484">
        <v>0</v>
      </c>
    </row>
    <row r="1485" spans="1:14" x14ac:dyDescent="0.25">
      <c r="A1485">
        <v>917.53694700000005</v>
      </c>
      <c r="B1485" s="1">
        <f>DATE(2012,11,3) + TIME(12,53,12)</f>
        <v>41216.536944444444</v>
      </c>
      <c r="C1485">
        <v>80</v>
      </c>
      <c r="D1485">
        <v>79.572677612000007</v>
      </c>
      <c r="E1485">
        <v>50</v>
      </c>
      <c r="F1485">
        <v>49.863014221</v>
      </c>
      <c r="G1485">
        <v>1280.7359618999999</v>
      </c>
      <c r="H1485">
        <v>1256.9763184000001</v>
      </c>
      <c r="I1485">
        <v>1452.3902588000001</v>
      </c>
      <c r="J1485">
        <v>1416.3093262</v>
      </c>
      <c r="K1485">
        <v>0</v>
      </c>
      <c r="L1485">
        <v>2400</v>
      </c>
      <c r="M1485">
        <v>2400</v>
      </c>
      <c r="N1485">
        <v>0</v>
      </c>
    </row>
    <row r="1486" spans="1:14" x14ac:dyDescent="0.25">
      <c r="A1486">
        <v>917.76965099999995</v>
      </c>
      <c r="B1486" s="1">
        <f>DATE(2012,11,3) + TIME(18,28,17)</f>
        <v>41216.769641203704</v>
      </c>
      <c r="C1486">
        <v>80</v>
      </c>
      <c r="D1486">
        <v>79.541740417</v>
      </c>
      <c r="E1486">
        <v>50</v>
      </c>
      <c r="F1486">
        <v>49.902900696000003</v>
      </c>
      <c r="G1486">
        <v>1280.7253418</v>
      </c>
      <c r="H1486">
        <v>1256.9637451000001</v>
      </c>
      <c r="I1486">
        <v>1452.0791016000001</v>
      </c>
      <c r="J1486">
        <v>1416.0170897999999</v>
      </c>
      <c r="K1486">
        <v>0</v>
      </c>
      <c r="L1486">
        <v>2400</v>
      </c>
      <c r="M1486">
        <v>2400</v>
      </c>
      <c r="N1486">
        <v>0</v>
      </c>
    </row>
    <row r="1487" spans="1:14" x14ac:dyDescent="0.25">
      <c r="A1487">
        <v>918.00987699999996</v>
      </c>
      <c r="B1487" s="1">
        <f>DATE(2012,11,4) + TIME(0,14,13)</f>
        <v>41217.009872685187</v>
      </c>
      <c r="C1487">
        <v>80</v>
      </c>
      <c r="D1487">
        <v>79.509819031000006</v>
      </c>
      <c r="E1487">
        <v>50</v>
      </c>
      <c r="F1487">
        <v>49.929836272999999</v>
      </c>
      <c r="G1487">
        <v>1280.7144774999999</v>
      </c>
      <c r="H1487">
        <v>1256.9508057</v>
      </c>
      <c r="I1487">
        <v>1451.7944336</v>
      </c>
      <c r="J1487">
        <v>1415.7441406</v>
      </c>
      <c r="K1487">
        <v>0</v>
      </c>
      <c r="L1487">
        <v>2400</v>
      </c>
      <c r="M1487">
        <v>2400</v>
      </c>
      <c r="N1487">
        <v>0</v>
      </c>
    </row>
    <row r="1488" spans="1:14" x14ac:dyDescent="0.25">
      <c r="A1488">
        <v>918.25975400000004</v>
      </c>
      <c r="B1488" s="1">
        <f>DATE(2012,11,4) + TIME(6,14,2)</f>
        <v>41217.259745370371</v>
      </c>
      <c r="C1488">
        <v>80</v>
      </c>
      <c r="D1488">
        <v>79.476829529</v>
      </c>
      <c r="E1488">
        <v>50</v>
      </c>
      <c r="F1488">
        <v>49.947956085000001</v>
      </c>
      <c r="G1488">
        <v>1280.7032471</v>
      </c>
      <c r="H1488">
        <v>1256.9375</v>
      </c>
      <c r="I1488">
        <v>1451.5277100000001</v>
      </c>
      <c r="J1488">
        <v>1415.4841309000001</v>
      </c>
      <c r="K1488">
        <v>0</v>
      </c>
      <c r="L1488">
        <v>2400</v>
      </c>
      <c r="M1488">
        <v>2400</v>
      </c>
      <c r="N1488">
        <v>0</v>
      </c>
    </row>
    <row r="1489" spans="1:14" x14ac:dyDescent="0.25">
      <c r="A1489">
        <v>918.52255200000002</v>
      </c>
      <c r="B1489" s="1">
        <f>DATE(2012,11,4) + TIME(12,32,28)</f>
        <v>41217.522546296299</v>
      </c>
      <c r="C1489">
        <v>80</v>
      </c>
      <c r="D1489">
        <v>79.442535399999997</v>
      </c>
      <c r="E1489">
        <v>50</v>
      </c>
      <c r="F1489">
        <v>49.960098266999999</v>
      </c>
      <c r="G1489">
        <v>1280.6916504000001</v>
      </c>
      <c r="H1489">
        <v>1256.9234618999999</v>
      </c>
      <c r="I1489">
        <v>1451.2740478999999</v>
      </c>
      <c r="J1489">
        <v>1415.2336425999999</v>
      </c>
      <c r="K1489">
        <v>0</v>
      </c>
      <c r="L1489">
        <v>2400</v>
      </c>
      <c r="M1489">
        <v>2400</v>
      </c>
      <c r="N1489">
        <v>0</v>
      </c>
    </row>
    <row r="1490" spans="1:14" x14ac:dyDescent="0.25">
      <c r="A1490">
        <v>918.802458</v>
      </c>
      <c r="B1490" s="1">
        <f>DATE(2012,11,4) + TIME(19,15,32)</f>
        <v>41217.802453703705</v>
      </c>
      <c r="C1490">
        <v>80</v>
      </c>
      <c r="D1490">
        <v>79.406585692999997</v>
      </c>
      <c r="E1490">
        <v>50</v>
      </c>
      <c r="F1490">
        <v>49.968177795000003</v>
      </c>
      <c r="G1490">
        <v>1280.6794434000001</v>
      </c>
      <c r="H1490">
        <v>1256.9088135</v>
      </c>
      <c r="I1490">
        <v>1451.0288086</v>
      </c>
      <c r="J1490">
        <v>1414.9891356999999</v>
      </c>
      <c r="K1490">
        <v>0</v>
      </c>
      <c r="L1490">
        <v>2400</v>
      </c>
      <c r="M1490">
        <v>2400</v>
      </c>
      <c r="N1490">
        <v>0</v>
      </c>
    </row>
    <row r="1491" spans="1:14" x14ac:dyDescent="0.25">
      <c r="A1491">
        <v>919.10449200000005</v>
      </c>
      <c r="B1491" s="1">
        <f>DATE(2012,11,5) + TIME(2,30,28)</f>
        <v>41218.104490740741</v>
      </c>
      <c r="C1491">
        <v>80</v>
      </c>
      <c r="D1491">
        <v>79.368522643999995</v>
      </c>
      <c r="E1491">
        <v>50</v>
      </c>
      <c r="F1491">
        <v>49.973503113</v>
      </c>
      <c r="G1491">
        <v>1280.6663818</v>
      </c>
      <c r="H1491">
        <v>1256.8931885</v>
      </c>
      <c r="I1491">
        <v>1450.7879639</v>
      </c>
      <c r="J1491">
        <v>1414.7471923999999</v>
      </c>
      <c r="K1491">
        <v>0</v>
      </c>
      <c r="L1491">
        <v>2400</v>
      </c>
      <c r="M1491">
        <v>2400</v>
      </c>
      <c r="N1491">
        <v>0</v>
      </c>
    </row>
    <row r="1492" spans="1:14" x14ac:dyDescent="0.25">
      <c r="A1492">
        <v>919.43509700000004</v>
      </c>
      <c r="B1492" s="1">
        <f>DATE(2012,11,5) + TIME(10,26,32)</f>
        <v>41218.43509259259</v>
      </c>
      <c r="C1492">
        <v>80</v>
      </c>
      <c r="D1492">
        <v>79.327751160000005</v>
      </c>
      <c r="E1492">
        <v>50</v>
      </c>
      <c r="F1492">
        <v>49.976963042999998</v>
      </c>
      <c r="G1492">
        <v>1280.6523437999999</v>
      </c>
      <c r="H1492">
        <v>1256.8762207</v>
      </c>
      <c r="I1492">
        <v>1450.5478516000001</v>
      </c>
      <c r="J1492">
        <v>1414.5047606999999</v>
      </c>
      <c r="K1492">
        <v>0</v>
      </c>
      <c r="L1492">
        <v>2400</v>
      </c>
      <c r="M1492">
        <v>2400</v>
      </c>
      <c r="N1492">
        <v>0</v>
      </c>
    </row>
    <row r="1493" spans="1:14" x14ac:dyDescent="0.25">
      <c r="A1493">
        <v>919.80223599999999</v>
      </c>
      <c r="B1493" s="1">
        <f>DATE(2012,11,5) + TIME(19,15,13)</f>
        <v>41218.802233796298</v>
      </c>
      <c r="C1493">
        <v>80</v>
      </c>
      <c r="D1493">
        <v>79.283554077000005</v>
      </c>
      <c r="E1493">
        <v>50</v>
      </c>
      <c r="F1493">
        <v>49.979179381999998</v>
      </c>
      <c r="G1493">
        <v>1280.6368408000001</v>
      </c>
      <c r="H1493">
        <v>1256.8575439000001</v>
      </c>
      <c r="I1493">
        <v>1450.3050536999999</v>
      </c>
      <c r="J1493">
        <v>1414.2583007999999</v>
      </c>
      <c r="K1493">
        <v>0</v>
      </c>
      <c r="L1493">
        <v>2400</v>
      </c>
      <c r="M1493">
        <v>2400</v>
      </c>
      <c r="N1493">
        <v>0</v>
      </c>
    </row>
    <row r="1494" spans="1:14" x14ac:dyDescent="0.25">
      <c r="A1494">
        <v>920.18918699999995</v>
      </c>
      <c r="B1494" s="1">
        <f>DATE(2012,11,6) + TIME(4,32,25)</f>
        <v>41219.18917824074</v>
      </c>
      <c r="C1494">
        <v>80</v>
      </c>
      <c r="D1494">
        <v>79.236671447999996</v>
      </c>
      <c r="E1494">
        <v>50</v>
      </c>
      <c r="F1494">
        <v>49.980510711999997</v>
      </c>
      <c r="G1494">
        <v>1280.6193848</v>
      </c>
      <c r="H1494">
        <v>1256.8370361</v>
      </c>
      <c r="I1494">
        <v>1450.0560303</v>
      </c>
      <c r="J1494">
        <v>1414.0048827999999</v>
      </c>
      <c r="K1494">
        <v>0</v>
      </c>
      <c r="L1494">
        <v>2400</v>
      </c>
      <c r="M1494">
        <v>2400</v>
      </c>
      <c r="N1494">
        <v>0</v>
      </c>
    </row>
    <row r="1495" spans="1:14" x14ac:dyDescent="0.25">
      <c r="A1495">
        <v>920.57852700000001</v>
      </c>
      <c r="B1495" s="1">
        <f>DATE(2012,11,6) + TIME(13,53,4)</f>
        <v>41219.578518518516</v>
      </c>
      <c r="C1495">
        <v>80</v>
      </c>
      <c r="D1495">
        <v>79.188522339000002</v>
      </c>
      <c r="E1495">
        <v>50</v>
      </c>
      <c r="F1495">
        <v>49.981292725000003</v>
      </c>
      <c r="G1495">
        <v>1280.6008300999999</v>
      </c>
      <c r="H1495">
        <v>1256.8151855000001</v>
      </c>
      <c r="I1495">
        <v>1449.8142089999999</v>
      </c>
      <c r="J1495">
        <v>1413.7579346</v>
      </c>
      <c r="K1495">
        <v>0</v>
      </c>
      <c r="L1495">
        <v>2400</v>
      </c>
      <c r="M1495">
        <v>2400</v>
      </c>
      <c r="N1495">
        <v>0</v>
      </c>
    </row>
    <row r="1496" spans="1:14" x14ac:dyDescent="0.25">
      <c r="A1496">
        <v>920.97646499999996</v>
      </c>
      <c r="B1496" s="1">
        <f>DATE(2012,11,6) + TIME(23,26,6)</f>
        <v>41219.976458333331</v>
      </c>
      <c r="C1496">
        <v>80</v>
      </c>
      <c r="D1496">
        <v>79.139389038000004</v>
      </c>
      <c r="E1496">
        <v>50</v>
      </c>
      <c r="F1496">
        <v>49.981761931999998</v>
      </c>
      <c r="G1496">
        <v>1280.5821533000001</v>
      </c>
      <c r="H1496">
        <v>1256.7930908000001</v>
      </c>
      <c r="I1496">
        <v>1449.5892334</v>
      </c>
      <c r="J1496">
        <v>1413.5277100000001</v>
      </c>
      <c r="K1496">
        <v>0</v>
      </c>
      <c r="L1496">
        <v>2400</v>
      </c>
      <c r="M1496">
        <v>2400</v>
      </c>
      <c r="N1496">
        <v>0</v>
      </c>
    </row>
    <row r="1497" spans="1:14" x14ac:dyDescent="0.25">
      <c r="A1497">
        <v>921.38893700000006</v>
      </c>
      <c r="B1497" s="1">
        <f>DATE(2012,11,7) + TIME(9,20,4)</f>
        <v>41220.388935185183</v>
      </c>
      <c r="C1497">
        <v>80</v>
      </c>
      <c r="D1497">
        <v>79.089080811000002</v>
      </c>
      <c r="E1497">
        <v>50</v>
      </c>
      <c r="F1497">
        <v>49.982051849000001</v>
      </c>
      <c r="G1497">
        <v>1280.5631103999999</v>
      </c>
      <c r="H1497">
        <v>1256.7703856999999</v>
      </c>
      <c r="I1497">
        <v>1449.3754882999999</v>
      </c>
      <c r="J1497">
        <v>1413.3088379000001</v>
      </c>
      <c r="K1497">
        <v>0</v>
      </c>
      <c r="L1497">
        <v>2400</v>
      </c>
      <c r="M1497">
        <v>2400</v>
      </c>
      <c r="N1497">
        <v>0</v>
      </c>
    </row>
    <row r="1498" spans="1:14" x14ac:dyDescent="0.25">
      <c r="A1498">
        <v>921.82206299999996</v>
      </c>
      <c r="B1498" s="1">
        <f>DATE(2012,11,7) + TIME(19,43,46)</f>
        <v>41220.822060185186</v>
      </c>
      <c r="C1498">
        <v>80</v>
      </c>
      <c r="D1498">
        <v>79.037185668999996</v>
      </c>
      <c r="E1498">
        <v>50</v>
      </c>
      <c r="F1498">
        <v>49.982238770000002</v>
      </c>
      <c r="G1498">
        <v>1280.5433350000001</v>
      </c>
      <c r="H1498">
        <v>1256.7467041</v>
      </c>
      <c r="I1498">
        <v>1449.1690673999999</v>
      </c>
      <c r="J1498">
        <v>1413.0970459</v>
      </c>
      <c r="K1498">
        <v>0</v>
      </c>
      <c r="L1498">
        <v>2400</v>
      </c>
      <c r="M1498">
        <v>2400</v>
      </c>
      <c r="N1498">
        <v>0</v>
      </c>
    </row>
    <row r="1499" spans="1:14" x14ac:dyDescent="0.25">
      <c r="A1499">
        <v>922.28293299999996</v>
      </c>
      <c r="B1499" s="1">
        <f>DATE(2012,11,8) + TIME(6,47,25)</f>
        <v>41221.28292824074</v>
      </c>
      <c r="C1499">
        <v>80</v>
      </c>
      <c r="D1499">
        <v>78.983108521000005</v>
      </c>
      <c r="E1499">
        <v>50</v>
      </c>
      <c r="F1499">
        <v>49.982364654999998</v>
      </c>
      <c r="G1499">
        <v>1280.5224608999999</v>
      </c>
      <c r="H1499">
        <v>1256.7216797000001</v>
      </c>
      <c r="I1499">
        <v>1448.9666748</v>
      </c>
      <c r="J1499">
        <v>1412.8891602000001</v>
      </c>
      <c r="K1499">
        <v>0</v>
      </c>
      <c r="L1499">
        <v>2400</v>
      </c>
      <c r="M1499">
        <v>2400</v>
      </c>
      <c r="N1499">
        <v>0</v>
      </c>
    </row>
    <row r="1500" spans="1:14" x14ac:dyDescent="0.25">
      <c r="A1500">
        <v>922.78010500000005</v>
      </c>
      <c r="B1500" s="1">
        <f>DATE(2012,11,8) + TIME(18,43,21)</f>
        <v>41221.780104166668</v>
      </c>
      <c r="C1500">
        <v>80</v>
      </c>
      <c r="D1500">
        <v>78.926101685000006</v>
      </c>
      <c r="E1500">
        <v>50</v>
      </c>
      <c r="F1500">
        <v>49.982448578000003</v>
      </c>
      <c r="G1500">
        <v>1280.5</v>
      </c>
      <c r="H1500">
        <v>1256.6949463000001</v>
      </c>
      <c r="I1500">
        <v>1448.7652588000001</v>
      </c>
      <c r="J1500">
        <v>1412.6821289</v>
      </c>
      <c r="K1500">
        <v>0</v>
      </c>
      <c r="L1500">
        <v>2400</v>
      </c>
      <c r="M1500">
        <v>2400</v>
      </c>
      <c r="N1500">
        <v>0</v>
      </c>
    </row>
    <row r="1501" spans="1:14" x14ac:dyDescent="0.25">
      <c r="A1501">
        <v>923.31735700000002</v>
      </c>
      <c r="B1501" s="1">
        <f>DATE(2012,11,9) + TIME(7,36,59)</f>
        <v>41222.317349537036</v>
      </c>
      <c r="C1501">
        <v>80</v>
      </c>
      <c r="D1501">
        <v>78.865585327000005</v>
      </c>
      <c r="E1501">
        <v>50</v>
      </c>
      <c r="F1501">
        <v>49.982505797999998</v>
      </c>
      <c r="G1501">
        <v>1280.4758300999999</v>
      </c>
      <c r="H1501">
        <v>1256.6660156</v>
      </c>
      <c r="I1501">
        <v>1448.5620117000001</v>
      </c>
      <c r="J1501">
        <v>1412.4730225000001</v>
      </c>
      <c r="K1501">
        <v>0</v>
      </c>
      <c r="L1501">
        <v>2400</v>
      </c>
      <c r="M1501">
        <v>2400</v>
      </c>
      <c r="N1501">
        <v>0</v>
      </c>
    </row>
    <row r="1502" spans="1:14" x14ac:dyDescent="0.25">
      <c r="A1502">
        <v>923.86100799999997</v>
      </c>
      <c r="B1502" s="1">
        <f>DATE(2012,11,9) + TIME(20,39,51)</f>
        <v>41222.861006944448</v>
      </c>
      <c r="C1502">
        <v>80</v>
      </c>
      <c r="D1502">
        <v>78.802963257000002</v>
      </c>
      <c r="E1502">
        <v>50</v>
      </c>
      <c r="F1502">
        <v>49.982547760000003</v>
      </c>
      <c r="G1502">
        <v>1280.4490966999999</v>
      </c>
      <c r="H1502">
        <v>1256.6346435999999</v>
      </c>
      <c r="I1502">
        <v>1448.3568115</v>
      </c>
      <c r="J1502">
        <v>1412.2618408000001</v>
      </c>
      <c r="K1502">
        <v>0</v>
      </c>
      <c r="L1502">
        <v>2400</v>
      </c>
      <c r="M1502">
        <v>2400</v>
      </c>
      <c r="N1502">
        <v>0</v>
      </c>
    </row>
    <row r="1503" spans="1:14" x14ac:dyDescent="0.25">
      <c r="A1503">
        <v>924.41713600000003</v>
      </c>
      <c r="B1503" s="1">
        <f>DATE(2012,11,10) + TIME(10,0,40)</f>
        <v>41223.417129629626</v>
      </c>
      <c r="C1503">
        <v>80</v>
      </c>
      <c r="D1503">
        <v>78.739051818999997</v>
      </c>
      <c r="E1503">
        <v>50</v>
      </c>
      <c r="F1503">
        <v>49.982578277999998</v>
      </c>
      <c r="G1503">
        <v>1280.4221190999999</v>
      </c>
      <c r="H1503">
        <v>1256.6025391000001</v>
      </c>
      <c r="I1503">
        <v>1448.1629639</v>
      </c>
      <c r="J1503">
        <v>1412.0621338000001</v>
      </c>
      <c r="K1503">
        <v>0</v>
      </c>
      <c r="L1503">
        <v>2400</v>
      </c>
      <c r="M1503">
        <v>2400</v>
      </c>
      <c r="N1503">
        <v>0</v>
      </c>
    </row>
    <row r="1504" spans="1:14" x14ac:dyDescent="0.25">
      <c r="A1504">
        <v>924.99042999999995</v>
      </c>
      <c r="B1504" s="1">
        <f>DATE(2012,11,10) + TIME(23,46,13)</f>
        <v>41223.990428240744</v>
      </c>
      <c r="C1504">
        <v>80</v>
      </c>
      <c r="D1504">
        <v>78.673927307</v>
      </c>
      <c r="E1504">
        <v>50</v>
      </c>
      <c r="F1504">
        <v>49.982601166000002</v>
      </c>
      <c r="G1504">
        <v>1280.3942870999999</v>
      </c>
      <c r="H1504">
        <v>1256.5693358999999</v>
      </c>
      <c r="I1504">
        <v>1447.9770507999999</v>
      </c>
      <c r="J1504">
        <v>1411.8706055</v>
      </c>
      <c r="K1504">
        <v>0</v>
      </c>
      <c r="L1504">
        <v>2400</v>
      </c>
      <c r="M1504">
        <v>2400</v>
      </c>
      <c r="N1504">
        <v>0</v>
      </c>
    </row>
    <row r="1505" spans="1:14" x14ac:dyDescent="0.25">
      <c r="A1505">
        <v>925.58690200000001</v>
      </c>
      <c r="B1505" s="1">
        <f>DATE(2012,11,11) + TIME(14,5,8)</f>
        <v>41224.586898148147</v>
      </c>
      <c r="C1505">
        <v>80</v>
      </c>
      <c r="D1505">
        <v>78.607276916999993</v>
      </c>
      <c r="E1505">
        <v>50</v>
      </c>
      <c r="F1505">
        <v>49.982624053999999</v>
      </c>
      <c r="G1505">
        <v>1280.3654785000001</v>
      </c>
      <c r="H1505">
        <v>1256.5349120999999</v>
      </c>
      <c r="I1505">
        <v>1447.7971190999999</v>
      </c>
      <c r="J1505">
        <v>1411.6850586</v>
      </c>
      <c r="K1505">
        <v>0</v>
      </c>
      <c r="L1505">
        <v>2400</v>
      </c>
      <c r="M1505">
        <v>2400</v>
      </c>
      <c r="N1505">
        <v>0</v>
      </c>
    </row>
    <row r="1506" spans="1:14" x14ac:dyDescent="0.25">
      <c r="A1506">
        <v>926.21588099999997</v>
      </c>
      <c r="B1506" s="1">
        <f>DATE(2012,11,12) + TIME(5,10,52)</f>
        <v>41225.215879629628</v>
      </c>
      <c r="C1506">
        <v>80</v>
      </c>
      <c r="D1506">
        <v>78.538490295000003</v>
      </c>
      <c r="E1506">
        <v>50</v>
      </c>
      <c r="F1506">
        <v>49.982643127000003</v>
      </c>
      <c r="G1506">
        <v>1280.3352050999999</v>
      </c>
      <c r="H1506">
        <v>1256.4987793</v>
      </c>
      <c r="I1506">
        <v>1447.6209716999999</v>
      </c>
      <c r="J1506">
        <v>1411.5035399999999</v>
      </c>
      <c r="K1506">
        <v>0</v>
      </c>
      <c r="L1506">
        <v>2400</v>
      </c>
      <c r="M1506">
        <v>2400</v>
      </c>
      <c r="N1506">
        <v>0</v>
      </c>
    </row>
    <row r="1507" spans="1:14" x14ac:dyDescent="0.25">
      <c r="A1507">
        <v>926.88289499999996</v>
      </c>
      <c r="B1507" s="1">
        <f>DATE(2012,11,12) + TIME(21,11,22)</f>
        <v>41225.882893518516</v>
      </c>
      <c r="C1507">
        <v>80</v>
      </c>
      <c r="D1507">
        <v>78.466918945000003</v>
      </c>
      <c r="E1507">
        <v>50</v>
      </c>
      <c r="F1507">
        <v>49.982662200999997</v>
      </c>
      <c r="G1507">
        <v>1280.3031006000001</v>
      </c>
      <c r="H1507">
        <v>1256.4603271000001</v>
      </c>
      <c r="I1507">
        <v>1447.4460449000001</v>
      </c>
      <c r="J1507">
        <v>1411.3231201000001</v>
      </c>
      <c r="K1507">
        <v>0</v>
      </c>
      <c r="L1507">
        <v>2400</v>
      </c>
      <c r="M1507">
        <v>2400</v>
      </c>
      <c r="N1507">
        <v>0</v>
      </c>
    </row>
    <row r="1508" spans="1:14" x14ac:dyDescent="0.25">
      <c r="A1508">
        <v>927.58981600000004</v>
      </c>
      <c r="B1508" s="1">
        <f>DATE(2012,11,13) + TIME(14,9,20)</f>
        <v>41226.589814814812</v>
      </c>
      <c r="C1508">
        <v>80</v>
      </c>
      <c r="D1508">
        <v>78.392166137999993</v>
      </c>
      <c r="E1508">
        <v>50</v>
      </c>
      <c r="F1508">
        <v>49.982681274000001</v>
      </c>
      <c r="G1508">
        <v>1280.2686768000001</v>
      </c>
      <c r="H1508">
        <v>1256.4190673999999</v>
      </c>
      <c r="I1508">
        <v>1447.2713623</v>
      </c>
      <c r="J1508">
        <v>1411.1430664</v>
      </c>
      <c r="K1508">
        <v>0</v>
      </c>
      <c r="L1508">
        <v>2400</v>
      </c>
      <c r="M1508">
        <v>2400</v>
      </c>
      <c r="N1508">
        <v>0</v>
      </c>
    </row>
    <row r="1509" spans="1:14" x14ac:dyDescent="0.25">
      <c r="A1509">
        <v>928.32835</v>
      </c>
      <c r="B1509" s="1">
        <f>DATE(2012,11,14) + TIME(7,52,49)</f>
        <v>41227.328344907408</v>
      </c>
      <c r="C1509">
        <v>80</v>
      </c>
      <c r="D1509">
        <v>78.314384459999999</v>
      </c>
      <c r="E1509">
        <v>50</v>
      </c>
      <c r="F1509">
        <v>49.982696533000002</v>
      </c>
      <c r="G1509">
        <v>1280.2318115</v>
      </c>
      <c r="H1509">
        <v>1256.3751221</v>
      </c>
      <c r="I1509">
        <v>1447.0970459</v>
      </c>
      <c r="J1509">
        <v>1410.9633789</v>
      </c>
      <c r="K1509">
        <v>0</v>
      </c>
      <c r="L1509">
        <v>2400</v>
      </c>
      <c r="M1509">
        <v>2400</v>
      </c>
      <c r="N1509">
        <v>0</v>
      </c>
    </row>
    <row r="1510" spans="1:14" x14ac:dyDescent="0.25">
      <c r="A1510">
        <v>929.08294599999999</v>
      </c>
      <c r="B1510" s="1">
        <f>DATE(2012,11,15) + TIME(1,59,26)</f>
        <v>41228.082939814813</v>
      </c>
      <c r="C1510">
        <v>80</v>
      </c>
      <c r="D1510">
        <v>78.234535217000001</v>
      </c>
      <c r="E1510">
        <v>50</v>
      </c>
      <c r="F1510">
        <v>49.982715607000003</v>
      </c>
      <c r="G1510">
        <v>1280.1928711</v>
      </c>
      <c r="H1510">
        <v>1256.3284911999999</v>
      </c>
      <c r="I1510">
        <v>1446.9256591999999</v>
      </c>
      <c r="J1510">
        <v>1410.7866211</v>
      </c>
      <c r="K1510">
        <v>0</v>
      </c>
      <c r="L1510">
        <v>2400</v>
      </c>
      <c r="M1510">
        <v>2400</v>
      </c>
      <c r="N1510">
        <v>0</v>
      </c>
    </row>
    <row r="1511" spans="1:14" x14ac:dyDescent="0.25">
      <c r="A1511">
        <v>929.85457899999994</v>
      </c>
      <c r="B1511" s="1">
        <f>DATE(2012,11,15) + TIME(20,30,35)</f>
        <v>41228.854571759257</v>
      </c>
      <c r="C1511">
        <v>80</v>
      </c>
      <c r="D1511">
        <v>78.153427124000004</v>
      </c>
      <c r="E1511">
        <v>50</v>
      </c>
      <c r="F1511">
        <v>49.98273468</v>
      </c>
      <c r="G1511">
        <v>1280.1527100000001</v>
      </c>
      <c r="H1511">
        <v>1256.2802733999999</v>
      </c>
      <c r="I1511">
        <v>1446.7606201000001</v>
      </c>
      <c r="J1511">
        <v>1410.6165771000001</v>
      </c>
      <c r="K1511">
        <v>0</v>
      </c>
      <c r="L1511">
        <v>2400</v>
      </c>
      <c r="M1511">
        <v>2400</v>
      </c>
      <c r="N1511">
        <v>0</v>
      </c>
    </row>
    <row r="1512" spans="1:14" x14ac:dyDescent="0.25">
      <c r="A1512">
        <v>930.65313700000002</v>
      </c>
      <c r="B1512" s="1">
        <f>DATE(2012,11,16) + TIME(15,40,31)</f>
        <v>41229.653136574074</v>
      </c>
      <c r="C1512">
        <v>80</v>
      </c>
      <c r="D1512">
        <v>78.070983886999997</v>
      </c>
      <c r="E1512">
        <v>50</v>
      </c>
      <c r="F1512">
        <v>49.982749939000001</v>
      </c>
      <c r="G1512">
        <v>1280.1110839999999</v>
      </c>
      <c r="H1512">
        <v>1256.2303466999999</v>
      </c>
      <c r="I1512">
        <v>1446.6013184000001</v>
      </c>
      <c r="J1512">
        <v>1410.4523925999999</v>
      </c>
      <c r="K1512">
        <v>0</v>
      </c>
      <c r="L1512">
        <v>2400</v>
      </c>
      <c r="M1512">
        <v>2400</v>
      </c>
      <c r="N1512">
        <v>0</v>
      </c>
    </row>
    <row r="1513" spans="1:14" x14ac:dyDescent="0.25">
      <c r="A1513">
        <v>931.49047700000006</v>
      </c>
      <c r="B1513" s="1">
        <f>DATE(2012,11,17) + TIME(11,46,17)</f>
        <v>41230.490474537037</v>
      </c>
      <c r="C1513">
        <v>80</v>
      </c>
      <c r="D1513">
        <v>77.986511230000005</v>
      </c>
      <c r="E1513">
        <v>50</v>
      </c>
      <c r="F1513">
        <v>49.982769011999999</v>
      </c>
      <c r="G1513">
        <v>1280.067749</v>
      </c>
      <c r="H1513">
        <v>1256.1779785000001</v>
      </c>
      <c r="I1513">
        <v>1446.4454346</v>
      </c>
      <c r="J1513">
        <v>1410.2918701000001</v>
      </c>
      <c r="K1513">
        <v>0</v>
      </c>
      <c r="L1513">
        <v>2400</v>
      </c>
      <c r="M1513">
        <v>2400</v>
      </c>
      <c r="N1513">
        <v>0</v>
      </c>
    </row>
    <row r="1514" spans="1:14" x14ac:dyDescent="0.25">
      <c r="A1514">
        <v>932.36776899999995</v>
      </c>
      <c r="B1514" s="1">
        <f>DATE(2012,11,18) + TIME(8,49,35)</f>
        <v>41231.367766203701</v>
      </c>
      <c r="C1514">
        <v>80</v>
      </c>
      <c r="D1514">
        <v>77.899421692000004</v>
      </c>
      <c r="E1514">
        <v>50</v>
      </c>
      <c r="F1514">
        <v>49.982788085999999</v>
      </c>
      <c r="G1514">
        <v>1280.0216064000001</v>
      </c>
      <c r="H1514">
        <v>1256.1223144999999</v>
      </c>
      <c r="I1514">
        <v>1446.2907714999999</v>
      </c>
      <c r="J1514">
        <v>1410.1325684000001</v>
      </c>
      <c r="K1514">
        <v>0</v>
      </c>
      <c r="L1514">
        <v>2400</v>
      </c>
      <c r="M1514">
        <v>2400</v>
      </c>
      <c r="N1514">
        <v>0</v>
      </c>
    </row>
    <row r="1515" spans="1:14" x14ac:dyDescent="0.25">
      <c r="A1515">
        <v>933.284764</v>
      </c>
      <c r="B1515" s="1">
        <f>DATE(2012,11,19) + TIME(6,50,3)</f>
        <v>41232.284756944442</v>
      </c>
      <c r="C1515">
        <v>80</v>
      </c>
      <c r="D1515">
        <v>77.809539795000006</v>
      </c>
      <c r="E1515">
        <v>50</v>
      </c>
      <c r="F1515">
        <v>49.982807158999996</v>
      </c>
      <c r="G1515">
        <v>1279.9726562000001</v>
      </c>
      <c r="H1515">
        <v>1256.0631103999999</v>
      </c>
      <c r="I1515">
        <v>1446.1373291</v>
      </c>
      <c r="J1515">
        <v>1409.9747314000001</v>
      </c>
      <c r="K1515">
        <v>0</v>
      </c>
      <c r="L1515">
        <v>2400</v>
      </c>
      <c r="M1515">
        <v>2400</v>
      </c>
      <c r="N1515">
        <v>0</v>
      </c>
    </row>
    <row r="1516" spans="1:14" x14ac:dyDescent="0.25">
      <c r="A1516">
        <v>934.22656300000006</v>
      </c>
      <c r="B1516" s="1">
        <f>DATE(2012,11,20) + TIME(5,26,15)</f>
        <v>41233.2265625</v>
      </c>
      <c r="C1516">
        <v>80</v>
      </c>
      <c r="D1516">
        <v>77.717346191000004</v>
      </c>
      <c r="E1516">
        <v>50</v>
      </c>
      <c r="F1516">
        <v>49.982826232999997</v>
      </c>
      <c r="G1516">
        <v>1279.9207764</v>
      </c>
      <c r="H1516">
        <v>1256.0003661999999</v>
      </c>
      <c r="I1516">
        <v>1445.9855957</v>
      </c>
      <c r="J1516">
        <v>1409.8186035000001</v>
      </c>
      <c r="K1516">
        <v>0</v>
      </c>
      <c r="L1516">
        <v>2400</v>
      </c>
      <c r="M1516">
        <v>2400</v>
      </c>
      <c r="N1516">
        <v>0</v>
      </c>
    </row>
    <row r="1517" spans="1:14" x14ac:dyDescent="0.25">
      <c r="A1517">
        <v>935.19525499999997</v>
      </c>
      <c r="B1517" s="1">
        <f>DATE(2012,11,21) + TIME(4,41,10)</f>
        <v>41234.195254629631</v>
      </c>
      <c r="C1517">
        <v>80</v>
      </c>
      <c r="D1517">
        <v>77.623535156000003</v>
      </c>
      <c r="E1517">
        <v>50</v>
      </c>
      <c r="F1517">
        <v>49.982845306000002</v>
      </c>
      <c r="G1517">
        <v>1279.8666992000001</v>
      </c>
      <c r="H1517">
        <v>1255.9348144999999</v>
      </c>
      <c r="I1517">
        <v>1445.8378906</v>
      </c>
      <c r="J1517">
        <v>1409.6668701000001</v>
      </c>
      <c r="K1517">
        <v>0</v>
      </c>
      <c r="L1517">
        <v>2400</v>
      </c>
      <c r="M1517">
        <v>2400</v>
      </c>
      <c r="N1517">
        <v>0</v>
      </c>
    </row>
    <row r="1518" spans="1:14" x14ac:dyDescent="0.25">
      <c r="A1518">
        <v>936.19231100000002</v>
      </c>
      <c r="B1518" s="1">
        <f>DATE(2012,11,22) + TIME(4,36,55)</f>
        <v>41235.192303240743</v>
      </c>
      <c r="C1518">
        <v>80</v>
      </c>
      <c r="D1518">
        <v>77.528251647999994</v>
      </c>
      <c r="E1518">
        <v>50</v>
      </c>
      <c r="F1518">
        <v>49.982868195000002</v>
      </c>
      <c r="G1518">
        <v>1279.8103027</v>
      </c>
      <c r="H1518">
        <v>1255.8662108999999</v>
      </c>
      <c r="I1518">
        <v>1445.6939697</v>
      </c>
      <c r="J1518">
        <v>1409.5189209</v>
      </c>
      <c r="K1518">
        <v>0</v>
      </c>
      <c r="L1518">
        <v>2400</v>
      </c>
      <c r="M1518">
        <v>2400</v>
      </c>
      <c r="N1518">
        <v>0</v>
      </c>
    </row>
    <row r="1519" spans="1:14" x14ac:dyDescent="0.25">
      <c r="A1519">
        <v>937.22711100000004</v>
      </c>
      <c r="B1519" s="1">
        <f>DATE(2012,11,23) + TIME(5,27,2)</f>
        <v>41236.227106481485</v>
      </c>
      <c r="C1519">
        <v>80</v>
      </c>
      <c r="D1519">
        <v>77.431274414000001</v>
      </c>
      <c r="E1519">
        <v>50</v>
      </c>
      <c r="F1519">
        <v>49.982887267999999</v>
      </c>
      <c r="G1519">
        <v>1279.7513428</v>
      </c>
      <c r="H1519">
        <v>1255.7943115</v>
      </c>
      <c r="I1519">
        <v>1445.5532227000001</v>
      </c>
      <c r="J1519">
        <v>1409.3745117000001</v>
      </c>
      <c r="K1519">
        <v>0</v>
      </c>
      <c r="L1519">
        <v>2400</v>
      </c>
      <c r="M1519">
        <v>2400</v>
      </c>
      <c r="N1519">
        <v>0</v>
      </c>
    </row>
    <row r="1520" spans="1:14" x14ac:dyDescent="0.25">
      <c r="A1520">
        <v>938.30822999999998</v>
      </c>
      <c r="B1520" s="1">
        <f>DATE(2012,11,24) + TIME(7,23,51)</f>
        <v>41237.308229166665</v>
      </c>
      <c r="C1520">
        <v>80</v>
      </c>
      <c r="D1520">
        <v>77.332023621000005</v>
      </c>
      <c r="E1520">
        <v>50</v>
      </c>
      <c r="F1520">
        <v>49.982910156000003</v>
      </c>
      <c r="G1520">
        <v>1279.6892089999999</v>
      </c>
      <c r="H1520">
        <v>1255.7182617000001</v>
      </c>
      <c r="I1520">
        <v>1445.4145507999999</v>
      </c>
      <c r="J1520">
        <v>1409.2321777</v>
      </c>
      <c r="K1520">
        <v>0</v>
      </c>
      <c r="L1520">
        <v>2400</v>
      </c>
      <c r="M1520">
        <v>2400</v>
      </c>
      <c r="N1520">
        <v>0</v>
      </c>
    </row>
    <row r="1521" spans="1:14" x14ac:dyDescent="0.25">
      <c r="A1521">
        <v>939.42934600000001</v>
      </c>
      <c r="B1521" s="1">
        <f>DATE(2012,11,25) + TIME(10,18,15)</f>
        <v>41238.429340277777</v>
      </c>
      <c r="C1521">
        <v>80</v>
      </c>
      <c r="D1521">
        <v>77.230224609000004</v>
      </c>
      <c r="E1521">
        <v>50</v>
      </c>
      <c r="F1521">
        <v>49.982933043999999</v>
      </c>
      <c r="G1521">
        <v>1279.6232910000001</v>
      </c>
      <c r="H1521">
        <v>1255.6374512</v>
      </c>
      <c r="I1521">
        <v>1445.2767334</v>
      </c>
      <c r="J1521">
        <v>1409.0909423999999</v>
      </c>
      <c r="K1521">
        <v>0</v>
      </c>
      <c r="L1521">
        <v>2400</v>
      </c>
      <c r="M1521">
        <v>2400</v>
      </c>
      <c r="N1521">
        <v>0</v>
      </c>
    </row>
    <row r="1522" spans="1:14" x14ac:dyDescent="0.25">
      <c r="A1522">
        <v>940.59372199999996</v>
      </c>
      <c r="B1522" s="1">
        <f>DATE(2012,11,26) + TIME(14,14,57)</f>
        <v>41239.593715277777</v>
      </c>
      <c r="C1522">
        <v>80</v>
      </c>
      <c r="D1522">
        <v>77.126060486</v>
      </c>
      <c r="E1522">
        <v>50</v>
      </c>
      <c r="F1522">
        <v>49.982955933</v>
      </c>
      <c r="G1522">
        <v>1279.5535889</v>
      </c>
      <c r="H1522">
        <v>1255.5518798999999</v>
      </c>
      <c r="I1522">
        <v>1445.1409911999999</v>
      </c>
      <c r="J1522">
        <v>1408.9517822</v>
      </c>
      <c r="K1522">
        <v>0</v>
      </c>
      <c r="L1522">
        <v>2400</v>
      </c>
      <c r="M1522">
        <v>2400</v>
      </c>
      <c r="N1522">
        <v>0</v>
      </c>
    </row>
    <row r="1523" spans="1:14" x14ac:dyDescent="0.25">
      <c r="A1523">
        <v>941.78897199999994</v>
      </c>
      <c r="B1523" s="1">
        <f>DATE(2012,11,27) + TIME(18,56,7)</f>
        <v>41240.788969907408</v>
      </c>
      <c r="C1523">
        <v>80</v>
      </c>
      <c r="D1523">
        <v>77.019821167000003</v>
      </c>
      <c r="E1523">
        <v>50</v>
      </c>
      <c r="F1523">
        <v>49.982978821000003</v>
      </c>
      <c r="G1523">
        <v>1279.4799805</v>
      </c>
      <c r="H1523">
        <v>1255.4611815999999</v>
      </c>
      <c r="I1523">
        <v>1445.0067139</v>
      </c>
      <c r="J1523">
        <v>1408.8144531</v>
      </c>
      <c r="K1523">
        <v>0</v>
      </c>
      <c r="L1523">
        <v>2400</v>
      </c>
      <c r="M1523">
        <v>2400</v>
      </c>
      <c r="N1523">
        <v>0</v>
      </c>
    </row>
    <row r="1524" spans="1:14" x14ac:dyDescent="0.25">
      <c r="A1524">
        <v>943.01437099999998</v>
      </c>
      <c r="B1524" s="1">
        <f>DATE(2012,11,29) + TIME(0,20,41)</f>
        <v>41242.014363425929</v>
      </c>
      <c r="C1524">
        <v>80</v>
      </c>
      <c r="D1524">
        <v>76.912185668999996</v>
      </c>
      <c r="E1524">
        <v>50</v>
      </c>
      <c r="F1524">
        <v>49.983001709</v>
      </c>
      <c r="G1524">
        <v>1279.4029541</v>
      </c>
      <c r="H1524">
        <v>1255.3660889</v>
      </c>
      <c r="I1524">
        <v>1444.8756103999999</v>
      </c>
      <c r="J1524">
        <v>1408.6802978999999</v>
      </c>
      <c r="K1524">
        <v>0</v>
      </c>
      <c r="L1524">
        <v>2400</v>
      </c>
      <c r="M1524">
        <v>2400</v>
      </c>
      <c r="N1524">
        <v>0</v>
      </c>
    </row>
    <row r="1525" spans="1:14" x14ac:dyDescent="0.25">
      <c r="A1525">
        <v>944.276926</v>
      </c>
      <c r="B1525" s="1">
        <f>DATE(2012,11,30) + TIME(6,38,46)</f>
        <v>41243.276921296296</v>
      </c>
      <c r="C1525">
        <v>80</v>
      </c>
      <c r="D1525">
        <v>76.803283691000004</v>
      </c>
      <c r="E1525">
        <v>50</v>
      </c>
      <c r="F1525">
        <v>49.983024596999996</v>
      </c>
      <c r="G1525">
        <v>1279.3225098</v>
      </c>
      <c r="H1525">
        <v>1255.2662353999999</v>
      </c>
      <c r="I1525">
        <v>1444.7475586</v>
      </c>
      <c r="J1525">
        <v>1408.5494385</v>
      </c>
      <c r="K1525">
        <v>0</v>
      </c>
      <c r="L1525">
        <v>2400</v>
      </c>
      <c r="M1525">
        <v>2400</v>
      </c>
      <c r="N1525">
        <v>0</v>
      </c>
    </row>
    <row r="1526" spans="1:14" x14ac:dyDescent="0.25">
      <c r="A1526">
        <v>945</v>
      </c>
      <c r="B1526" s="1">
        <f>DATE(2012,12,1) + TIME(0,0,0)</f>
        <v>41244</v>
      </c>
      <c r="C1526">
        <v>80</v>
      </c>
      <c r="D1526">
        <v>76.711593628000003</v>
      </c>
      <c r="E1526">
        <v>50</v>
      </c>
      <c r="F1526">
        <v>49.983036040999998</v>
      </c>
      <c r="G1526">
        <v>1279.2369385</v>
      </c>
      <c r="H1526">
        <v>1255.1641846</v>
      </c>
      <c r="I1526">
        <v>1444.6217041</v>
      </c>
      <c r="J1526">
        <v>1408.4208983999999</v>
      </c>
      <c r="K1526">
        <v>0</v>
      </c>
      <c r="L1526">
        <v>2400</v>
      </c>
      <c r="M1526">
        <v>2400</v>
      </c>
      <c r="N1526">
        <v>0</v>
      </c>
    </row>
    <row r="1527" spans="1:14" x14ac:dyDescent="0.25">
      <c r="A1527">
        <v>946.31412499999999</v>
      </c>
      <c r="B1527" s="1">
        <f>DATE(2012,12,2) + TIME(7,32,20)</f>
        <v>41245.314120370371</v>
      </c>
      <c r="C1527">
        <v>80</v>
      </c>
      <c r="D1527">
        <v>76.623016356999997</v>
      </c>
      <c r="E1527">
        <v>50</v>
      </c>
      <c r="F1527">
        <v>49.983062744000001</v>
      </c>
      <c r="G1527">
        <v>1279.1883545000001</v>
      </c>
      <c r="H1527">
        <v>1255.097168</v>
      </c>
      <c r="I1527">
        <v>1444.5526123</v>
      </c>
      <c r="J1527">
        <v>1408.3504639</v>
      </c>
      <c r="K1527">
        <v>0</v>
      </c>
      <c r="L1527">
        <v>2400</v>
      </c>
      <c r="M1527">
        <v>2400</v>
      </c>
      <c r="N1527">
        <v>0</v>
      </c>
    </row>
    <row r="1528" spans="1:14" x14ac:dyDescent="0.25">
      <c r="A1528">
        <v>947.69552099999999</v>
      </c>
      <c r="B1528" s="1">
        <f>DATE(2012,12,3) + TIME(16,41,32)</f>
        <v>41246.695509259262</v>
      </c>
      <c r="C1528">
        <v>80</v>
      </c>
      <c r="D1528">
        <v>76.515945435000006</v>
      </c>
      <c r="E1528">
        <v>50</v>
      </c>
      <c r="F1528">
        <v>49.983089446999998</v>
      </c>
      <c r="G1528">
        <v>1279.0977783000001</v>
      </c>
      <c r="H1528">
        <v>1254.9852295000001</v>
      </c>
      <c r="I1528">
        <v>1444.4310303</v>
      </c>
      <c r="J1528">
        <v>1408.2264404</v>
      </c>
      <c r="K1528">
        <v>0</v>
      </c>
      <c r="L1528">
        <v>2400</v>
      </c>
      <c r="M1528">
        <v>2400</v>
      </c>
      <c r="N1528">
        <v>0</v>
      </c>
    </row>
    <row r="1529" spans="1:14" x14ac:dyDescent="0.25">
      <c r="A1529">
        <v>949.10979999999995</v>
      </c>
      <c r="B1529" s="1">
        <f>DATE(2012,12,5) + TIME(2,38,6)</f>
        <v>41248.109791666669</v>
      </c>
      <c r="C1529">
        <v>80</v>
      </c>
      <c r="D1529">
        <v>76.401893615999995</v>
      </c>
      <c r="E1529">
        <v>50</v>
      </c>
      <c r="F1529">
        <v>49.983112335000001</v>
      </c>
      <c r="G1529">
        <v>1279.0002440999999</v>
      </c>
      <c r="H1529">
        <v>1254.8634033000001</v>
      </c>
      <c r="I1529">
        <v>1444.3087158000001</v>
      </c>
      <c r="J1529">
        <v>1408.1018065999999</v>
      </c>
      <c r="K1529">
        <v>0</v>
      </c>
      <c r="L1529">
        <v>2400</v>
      </c>
      <c r="M1529">
        <v>2400</v>
      </c>
      <c r="N1529">
        <v>0</v>
      </c>
    </row>
    <row r="1530" spans="1:14" x14ac:dyDescent="0.25">
      <c r="A1530">
        <v>950.57122900000002</v>
      </c>
      <c r="B1530" s="1">
        <f>DATE(2012,12,6) + TIME(13,42,34)</f>
        <v>41249.571226851855</v>
      </c>
      <c r="C1530">
        <v>80</v>
      </c>
      <c r="D1530">
        <v>76.285217285000002</v>
      </c>
      <c r="E1530">
        <v>50</v>
      </c>
      <c r="F1530">
        <v>49.983139037999997</v>
      </c>
      <c r="G1530">
        <v>1278.8980713000001</v>
      </c>
      <c r="H1530">
        <v>1254.7348632999999</v>
      </c>
      <c r="I1530">
        <v>1444.1890868999999</v>
      </c>
      <c r="J1530">
        <v>1407.9801024999999</v>
      </c>
      <c r="K1530">
        <v>0</v>
      </c>
      <c r="L1530">
        <v>2400</v>
      </c>
      <c r="M1530">
        <v>2400</v>
      </c>
      <c r="N1530">
        <v>0</v>
      </c>
    </row>
    <row r="1531" spans="1:14" x14ac:dyDescent="0.25">
      <c r="A1531">
        <v>952.06692599999997</v>
      </c>
      <c r="B1531" s="1">
        <f>DATE(2012,12,8) + TIME(1,36,22)</f>
        <v>41251.066921296297</v>
      </c>
      <c r="C1531">
        <v>80</v>
      </c>
      <c r="D1531">
        <v>76.166656493999994</v>
      </c>
      <c r="E1531">
        <v>50</v>
      </c>
      <c r="F1531">
        <v>49.983165741000001</v>
      </c>
      <c r="G1531">
        <v>1278.7901611</v>
      </c>
      <c r="H1531">
        <v>1254.5986327999999</v>
      </c>
      <c r="I1531">
        <v>1444.0709228999999</v>
      </c>
      <c r="J1531">
        <v>1407.8599853999999</v>
      </c>
      <c r="K1531">
        <v>0</v>
      </c>
      <c r="L1531">
        <v>2400</v>
      </c>
      <c r="M1531">
        <v>2400</v>
      </c>
      <c r="N1531">
        <v>0</v>
      </c>
    </row>
    <row r="1532" spans="1:14" x14ac:dyDescent="0.25">
      <c r="A1532">
        <v>953.61143700000002</v>
      </c>
      <c r="B1532" s="1">
        <f>DATE(2012,12,9) + TIME(14,40,28)</f>
        <v>41252.611435185187</v>
      </c>
      <c r="C1532">
        <v>80</v>
      </c>
      <c r="D1532">
        <v>76.046768188000001</v>
      </c>
      <c r="E1532">
        <v>50</v>
      </c>
      <c r="F1532">
        <v>49.983192443999997</v>
      </c>
      <c r="G1532">
        <v>1278.677124</v>
      </c>
      <c r="H1532">
        <v>1254.4552002</v>
      </c>
      <c r="I1532">
        <v>1443.9552002</v>
      </c>
      <c r="J1532">
        <v>1407.7424315999999</v>
      </c>
      <c r="K1532">
        <v>0</v>
      </c>
      <c r="L1532">
        <v>2400</v>
      </c>
      <c r="M1532">
        <v>2400</v>
      </c>
      <c r="N1532">
        <v>0</v>
      </c>
    </row>
    <row r="1533" spans="1:14" x14ac:dyDescent="0.25">
      <c r="A1533">
        <v>955.20421699999997</v>
      </c>
      <c r="B1533" s="1">
        <f>DATE(2012,12,11) + TIME(4,54,4)</f>
        <v>41254.204212962963</v>
      </c>
      <c r="C1533">
        <v>80</v>
      </c>
      <c r="D1533">
        <v>75.925117493000002</v>
      </c>
      <c r="E1533">
        <v>50</v>
      </c>
      <c r="F1533">
        <v>49.983222961000003</v>
      </c>
      <c r="G1533">
        <v>1278.5574951000001</v>
      </c>
      <c r="H1533">
        <v>1254.3029785000001</v>
      </c>
      <c r="I1533">
        <v>1443.8409423999999</v>
      </c>
      <c r="J1533">
        <v>1407.6263428</v>
      </c>
      <c r="K1533">
        <v>0</v>
      </c>
      <c r="L1533">
        <v>2400</v>
      </c>
      <c r="M1533">
        <v>2400</v>
      </c>
      <c r="N1533">
        <v>0</v>
      </c>
    </row>
    <row r="1534" spans="1:14" x14ac:dyDescent="0.25">
      <c r="A1534">
        <v>956.84270900000001</v>
      </c>
      <c r="B1534" s="1">
        <f>DATE(2012,12,12) + TIME(20,13,30)</f>
        <v>41255.84270833333</v>
      </c>
      <c r="C1534">
        <v>80</v>
      </c>
      <c r="D1534">
        <v>75.801727295000006</v>
      </c>
      <c r="E1534">
        <v>50</v>
      </c>
      <c r="F1534">
        <v>49.983249663999999</v>
      </c>
      <c r="G1534">
        <v>1278.4311522999999</v>
      </c>
      <c r="H1534">
        <v>1254.1416016000001</v>
      </c>
      <c r="I1534">
        <v>1443.7280272999999</v>
      </c>
      <c r="J1534">
        <v>1407.5118408000001</v>
      </c>
      <c r="K1534">
        <v>0</v>
      </c>
      <c r="L1534">
        <v>2400</v>
      </c>
      <c r="M1534">
        <v>2400</v>
      </c>
      <c r="N1534">
        <v>0</v>
      </c>
    </row>
    <row r="1535" spans="1:14" x14ac:dyDescent="0.25">
      <c r="A1535">
        <v>958.52446599999996</v>
      </c>
      <c r="B1535" s="1">
        <f>DATE(2012,12,14) + TIME(12,35,13)</f>
        <v>41257.524456018517</v>
      </c>
      <c r="C1535">
        <v>80</v>
      </c>
      <c r="D1535">
        <v>75.676803589000002</v>
      </c>
      <c r="E1535">
        <v>50</v>
      </c>
      <c r="F1535">
        <v>49.983280182000001</v>
      </c>
      <c r="G1535">
        <v>1278.2978516000001</v>
      </c>
      <c r="H1535">
        <v>1253.9707031</v>
      </c>
      <c r="I1535">
        <v>1443.6166992000001</v>
      </c>
      <c r="J1535">
        <v>1407.3991699000001</v>
      </c>
      <c r="K1535">
        <v>0</v>
      </c>
      <c r="L1535">
        <v>2400</v>
      </c>
      <c r="M1535">
        <v>2400</v>
      </c>
      <c r="N1535">
        <v>0</v>
      </c>
    </row>
    <row r="1536" spans="1:14" x14ac:dyDescent="0.25">
      <c r="A1536">
        <v>960.25606400000004</v>
      </c>
      <c r="B1536" s="1">
        <f>DATE(2012,12,16) + TIME(6,8,43)</f>
        <v>41259.256053240744</v>
      </c>
      <c r="C1536">
        <v>80</v>
      </c>
      <c r="D1536">
        <v>75.550437927000004</v>
      </c>
      <c r="E1536">
        <v>50</v>
      </c>
      <c r="F1536">
        <v>49.983306884999998</v>
      </c>
      <c r="G1536">
        <v>1278.1575928</v>
      </c>
      <c r="H1536">
        <v>1253.7900391000001</v>
      </c>
      <c r="I1536">
        <v>1443.5072021000001</v>
      </c>
      <c r="J1536">
        <v>1407.2883300999999</v>
      </c>
      <c r="K1536">
        <v>0</v>
      </c>
      <c r="L1536">
        <v>2400</v>
      </c>
      <c r="M1536">
        <v>2400</v>
      </c>
      <c r="N1536">
        <v>0</v>
      </c>
    </row>
    <row r="1537" spans="1:14" x14ac:dyDescent="0.25">
      <c r="A1537">
        <v>962.02532799999994</v>
      </c>
      <c r="B1537" s="1">
        <f>DATE(2012,12,18) + TIME(0,36,28)</f>
        <v>41261.025324074071</v>
      </c>
      <c r="C1537">
        <v>80</v>
      </c>
      <c r="D1537">
        <v>75.422561646000005</v>
      </c>
      <c r="E1537">
        <v>50</v>
      </c>
      <c r="F1537">
        <v>49.983337401999997</v>
      </c>
      <c r="G1537">
        <v>1278.0092772999999</v>
      </c>
      <c r="H1537">
        <v>1253.5985106999999</v>
      </c>
      <c r="I1537">
        <v>1443.3990478999999</v>
      </c>
      <c r="J1537">
        <v>1407.1789550999999</v>
      </c>
      <c r="K1537">
        <v>0</v>
      </c>
      <c r="L1537">
        <v>2400</v>
      </c>
      <c r="M1537">
        <v>2400</v>
      </c>
      <c r="N1537">
        <v>0</v>
      </c>
    </row>
    <row r="1538" spans="1:14" x14ac:dyDescent="0.25">
      <c r="A1538">
        <v>963.84279200000003</v>
      </c>
      <c r="B1538" s="1">
        <f>DATE(2012,12,19) + TIME(20,13,37)</f>
        <v>41262.842789351853</v>
      </c>
      <c r="C1538">
        <v>80</v>
      </c>
      <c r="D1538">
        <v>75.293540954999997</v>
      </c>
      <c r="E1538">
        <v>50</v>
      </c>
      <c r="F1538">
        <v>49.983367919999999</v>
      </c>
      <c r="G1538">
        <v>1277.8536377</v>
      </c>
      <c r="H1538">
        <v>1253.3964844</v>
      </c>
      <c r="I1538">
        <v>1443.2930908000001</v>
      </c>
      <c r="J1538">
        <v>1407.0717772999999</v>
      </c>
      <c r="K1538">
        <v>0</v>
      </c>
      <c r="L1538">
        <v>2400</v>
      </c>
      <c r="M1538">
        <v>2400</v>
      </c>
      <c r="N1538">
        <v>0</v>
      </c>
    </row>
    <row r="1539" spans="1:14" x14ac:dyDescent="0.25">
      <c r="A1539">
        <v>965.72008500000004</v>
      </c>
      <c r="B1539" s="1">
        <f>DATE(2012,12,21) + TIME(17,16,55)</f>
        <v>41264.720081018517</v>
      </c>
      <c r="C1539">
        <v>80</v>
      </c>
      <c r="D1539">
        <v>75.162826538000004</v>
      </c>
      <c r="E1539">
        <v>50</v>
      </c>
      <c r="F1539">
        <v>49.983398438000002</v>
      </c>
      <c r="G1539">
        <v>1277.6893310999999</v>
      </c>
      <c r="H1539">
        <v>1253.1824951000001</v>
      </c>
      <c r="I1539">
        <v>1443.1884766000001</v>
      </c>
      <c r="J1539">
        <v>1406.9663086</v>
      </c>
      <c r="K1539">
        <v>0</v>
      </c>
      <c r="L1539">
        <v>2400</v>
      </c>
      <c r="M1539">
        <v>2400</v>
      </c>
      <c r="N1539">
        <v>0</v>
      </c>
    </row>
    <row r="1540" spans="1:14" x14ac:dyDescent="0.25">
      <c r="A1540">
        <v>967.63027599999998</v>
      </c>
      <c r="B1540" s="1">
        <f>DATE(2012,12,23) + TIME(15,7,35)</f>
        <v>41266.630266203705</v>
      </c>
      <c r="C1540">
        <v>80</v>
      </c>
      <c r="D1540">
        <v>75.030174255000006</v>
      </c>
      <c r="E1540">
        <v>50</v>
      </c>
      <c r="F1540">
        <v>49.98343277</v>
      </c>
      <c r="G1540">
        <v>1277.5150146000001</v>
      </c>
      <c r="H1540">
        <v>1252.9547118999999</v>
      </c>
      <c r="I1540">
        <v>1443.0847168</v>
      </c>
      <c r="J1540">
        <v>1406.8615723</v>
      </c>
      <c r="K1540">
        <v>0</v>
      </c>
      <c r="L1540">
        <v>2400</v>
      </c>
      <c r="M1540">
        <v>2400</v>
      </c>
      <c r="N1540">
        <v>0</v>
      </c>
    </row>
    <row r="1541" spans="1:14" x14ac:dyDescent="0.25">
      <c r="A1541">
        <v>969.59798799999999</v>
      </c>
      <c r="B1541" s="1">
        <f>DATE(2012,12,25) + TIME(14,21,6)</f>
        <v>41268.597986111112</v>
      </c>
      <c r="C1541">
        <v>80</v>
      </c>
      <c r="D1541">
        <v>74.896347046000002</v>
      </c>
      <c r="E1541">
        <v>50</v>
      </c>
      <c r="F1541">
        <v>49.983463286999999</v>
      </c>
      <c r="G1541">
        <v>1277.3326416</v>
      </c>
      <c r="H1541">
        <v>1252.7149658000001</v>
      </c>
      <c r="I1541">
        <v>1442.9832764</v>
      </c>
      <c r="J1541">
        <v>1406.7593993999999</v>
      </c>
      <c r="K1541">
        <v>0</v>
      </c>
      <c r="L1541">
        <v>2400</v>
      </c>
      <c r="M1541">
        <v>2400</v>
      </c>
      <c r="N1541">
        <v>0</v>
      </c>
    </row>
    <row r="1542" spans="1:14" x14ac:dyDescent="0.25">
      <c r="A1542">
        <v>971.61592900000005</v>
      </c>
      <c r="B1542" s="1">
        <f>DATE(2012,12,27) + TIME(14,46,56)</f>
        <v>41270.615925925929</v>
      </c>
      <c r="C1542">
        <v>80</v>
      </c>
      <c r="D1542">
        <v>74.760307311999995</v>
      </c>
      <c r="E1542">
        <v>50</v>
      </c>
      <c r="F1542">
        <v>49.983497620000001</v>
      </c>
      <c r="G1542">
        <v>1277.1394043</v>
      </c>
      <c r="H1542">
        <v>1252.4603271000001</v>
      </c>
      <c r="I1542">
        <v>1442.8826904</v>
      </c>
      <c r="J1542">
        <v>1406.6582031</v>
      </c>
      <c r="K1542">
        <v>0</v>
      </c>
      <c r="L1542">
        <v>2400</v>
      </c>
      <c r="M1542">
        <v>2400</v>
      </c>
      <c r="N1542">
        <v>0</v>
      </c>
    </row>
    <row r="1543" spans="1:14" x14ac:dyDescent="0.25">
      <c r="A1543">
        <v>973.68140300000005</v>
      </c>
      <c r="B1543" s="1">
        <f>DATE(2012,12,29) + TIME(16,21,13)</f>
        <v>41272.681400462963</v>
      </c>
      <c r="C1543">
        <v>80</v>
      </c>
      <c r="D1543">
        <v>74.622085571</v>
      </c>
      <c r="E1543">
        <v>50</v>
      </c>
      <c r="F1543">
        <v>49.983528137</v>
      </c>
      <c r="G1543">
        <v>1276.9355469</v>
      </c>
      <c r="H1543">
        <v>1252.1904297000001</v>
      </c>
      <c r="I1543">
        <v>1442.7835693</v>
      </c>
      <c r="J1543">
        <v>1406.5584716999999</v>
      </c>
      <c r="K1543">
        <v>0</v>
      </c>
      <c r="L1543">
        <v>2400</v>
      </c>
      <c r="M1543">
        <v>2400</v>
      </c>
      <c r="N1543">
        <v>0</v>
      </c>
    </row>
    <row r="1544" spans="1:14" x14ac:dyDescent="0.25">
      <c r="A1544">
        <v>975.79538000000002</v>
      </c>
      <c r="B1544" s="1">
        <f>DATE(2012,12,31) + TIME(19,5,20)</f>
        <v>41274.795370370368</v>
      </c>
      <c r="C1544">
        <v>80</v>
      </c>
      <c r="D1544">
        <v>74.481689453000001</v>
      </c>
      <c r="E1544">
        <v>50</v>
      </c>
      <c r="F1544">
        <v>49.983562468999999</v>
      </c>
      <c r="G1544">
        <v>1276.7208252</v>
      </c>
      <c r="H1544">
        <v>1251.9049072</v>
      </c>
      <c r="I1544">
        <v>1442.6859131000001</v>
      </c>
      <c r="J1544">
        <v>1406.4604492000001</v>
      </c>
      <c r="K1544">
        <v>0</v>
      </c>
      <c r="L1544">
        <v>2400</v>
      </c>
      <c r="M1544">
        <v>2400</v>
      </c>
      <c r="N1544">
        <v>0</v>
      </c>
    </row>
    <row r="1545" spans="1:14" x14ac:dyDescent="0.25">
      <c r="A1545">
        <v>976</v>
      </c>
      <c r="B1545" s="1">
        <f>DATE(2013,1,1) + TIME(0,0,0)</f>
        <v>41275</v>
      </c>
      <c r="C1545">
        <v>80</v>
      </c>
      <c r="D1545">
        <v>74.427490234000004</v>
      </c>
      <c r="E1545">
        <v>50</v>
      </c>
      <c r="F1545">
        <v>49.983558655000003</v>
      </c>
      <c r="G1545">
        <v>1276.5090332</v>
      </c>
      <c r="H1545">
        <v>1251.6530762</v>
      </c>
      <c r="I1545">
        <v>1442.5915527</v>
      </c>
      <c r="J1545">
        <v>1406.3657227000001</v>
      </c>
      <c r="K1545">
        <v>0</v>
      </c>
      <c r="L1545">
        <v>2400</v>
      </c>
      <c r="M1545">
        <v>2400</v>
      </c>
      <c r="N1545">
        <v>0</v>
      </c>
    </row>
    <row r="1546" spans="1:14" x14ac:dyDescent="0.25">
      <c r="A1546">
        <v>978.15464699999995</v>
      </c>
      <c r="B1546" s="1">
        <f>DATE(2013,1,3) + TIME(3,42,41)</f>
        <v>41277.154641203706</v>
      </c>
      <c r="C1546">
        <v>80</v>
      </c>
      <c r="D1546">
        <v>74.318214416999993</v>
      </c>
      <c r="E1546">
        <v>50</v>
      </c>
      <c r="F1546">
        <v>49.983600615999997</v>
      </c>
      <c r="G1546">
        <v>1276.4692382999999</v>
      </c>
      <c r="H1546">
        <v>1251.5657959</v>
      </c>
      <c r="I1546">
        <v>1442.5804443</v>
      </c>
      <c r="J1546">
        <v>1406.3544922000001</v>
      </c>
      <c r="K1546">
        <v>0</v>
      </c>
      <c r="L1546">
        <v>2400</v>
      </c>
      <c r="M1546">
        <v>2400</v>
      </c>
      <c r="N1546">
        <v>0</v>
      </c>
    </row>
    <row r="1547" spans="1:14" x14ac:dyDescent="0.25">
      <c r="A1547">
        <v>980.37962900000002</v>
      </c>
      <c r="B1547" s="1">
        <f>DATE(2013,1,5) + TIME(9,6,39)</f>
        <v>41279.379618055558</v>
      </c>
      <c r="C1547">
        <v>80</v>
      </c>
      <c r="D1547">
        <v>74.178680420000006</v>
      </c>
      <c r="E1547">
        <v>50</v>
      </c>
      <c r="F1547">
        <v>49.983634948999999</v>
      </c>
      <c r="G1547">
        <v>1276.2338867000001</v>
      </c>
      <c r="H1547">
        <v>1251.2526855000001</v>
      </c>
      <c r="I1547">
        <v>1442.4865723</v>
      </c>
      <c r="J1547">
        <v>1406.2602539</v>
      </c>
      <c r="K1547">
        <v>0</v>
      </c>
      <c r="L1547">
        <v>2400</v>
      </c>
      <c r="M1547">
        <v>2400</v>
      </c>
      <c r="N1547">
        <v>0</v>
      </c>
    </row>
    <row r="1548" spans="1:14" x14ac:dyDescent="0.25">
      <c r="A1548">
        <v>982.66696300000001</v>
      </c>
      <c r="B1548" s="1">
        <f>DATE(2013,1,7) + TIME(16,0,25)</f>
        <v>41281.666956018518</v>
      </c>
      <c r="C1548">
        <v>80</v>
      </c>
      <c r="D1548">
        <v>74.030204772999994</v>
      </c>
      <c r="E1548">
        <v>50</v>
      </c>
      <c r="F1548">
        <v>49.983673095999997</v>
      </c>
      <c r="G1548">
        <v>1275.9815673999999</v>
      </c>
      <c r="H1548">
        <v>1250.9133300999999</v>
      </c>
      <c r="I1548">
        <v>1442.3928223</v>
      </c>
      <c r="J1548">
        <v>1406.1663818</v>
      </c>
      <c r="K1548">
        <v>0</v>
      </c>
      <c r="L1548">
        <v>2400</v>
      </c>
      <c r="M1548">
        <v>2400</v>
      </c>
      <c r="N1548">
        <v>0</v>
      </c>
    </row>
    <row r="1549" spans="1:14" x14ac:dyDescent="0.25">
      <c r="A1549">
        <v>984.99000799999999</v>
      </c>
      <c r="B1549" s="1">
        <f>DATE(2013,1,9) + TIME(23,45,36)</f>
        <v>41283.99</v>
      </c>
      <c r="C1549">
        <v>80</v>
      </c>
      <c r="D1549">
        <v>73.876754761000001</v>
      </c>
      <c r="E1549">
        <v>50</v>
      </c>
      <c r="F1549">
        <v>49.983707428000002</v>
      </c>
      <c r="G1549">
        <v>1275.7141113</v>
      </c>
      <c r="H1549">
        <v>1250.5518798999999</v>
      </c>
      <c r="I1549">
        <v>1442.2999268000001</v>
      </c>
      <c r="J1549">
        <v>1406.0733643000001</v>
      </c>
      <c r="K1549">
        <v>0</v>
      </c>
      <c r="L1549">
        <v>2400</v>
      </c>
      <c r="M1549">
        <v>2400</v>
      </c>
      <c r="N1549">
        <v>0</v>
      </c>
    </row>
    <row r="1550" spans="1:14" x14ac:dyDescent="0.25">
      <c r="A1550">
        <v>987.36403600000006</v>
      </c>
      <c r="B1550" s="1">
        <f>DATE(2013,1,12) + TIME(8,44,12)</f>
        <v>41286.364027777781</v>
      </c>
      <c r="C1550">
        <v>80</v>
      </c>
      <c r="D1550">
        <v>73.719673157000003</v>
      </c>
      <c r="E1550">
        <v>50</v>
      </c>
      <c r="F1550">
        <v>49.983745575</v>
      </c>
      <c r="G1550">
        <v>1275.4343262</v>
      </c>
      <c r="H1550">
        <v>1250.1719971</v>
      </c>
      <c r="I1550">
        <v>1442.2089844</v>
      </c>
      <c r="J1550">
        <v>1405.9824219</v>
      </c>
      <c r="K1550">
        <v>0</v>
      </c>
      <c r="L1550">
        <v>2400</v>
      </c>
      <c r="M1550">
        <v>2400</v>
      </c>
      <c r="N1550">
        <v>0</v>
      </c>
    </row>
    <row r="1551" spans="1:14" x14ac:dyDescent="0.25">
      <c r="A1551">
        <v>989.78510500000004</v>
      </c>
      <c r="B1551" s="1">
        <f>DATE(2013,1,14) + TIME(18,50,33)</f>
        <v>41288.785104166665</v>
      </c>
      <c r="C1551">
        <v>80</v>
      </c>
      <c r="D1551">
        <v>73.558029175000001</v>
      </c>
      <c r="E1551">
        <v>50</v>
      </c>
      <c r="F1551">
        <v>49.983779906999999</v>
      </c>
      <c r="G1551">
        <v>1275.1401367000001</v>
      </c>
      <c r="H1551">
        <v>1249.770874</v>
      </c>
      <c r="I1551">
        <v>1442.1192627</v>
      </c>
      <c r="J1551">
        <v>1405.8927002</v>
      </c>
      <c r="K1551">
        <v>0</v>
      </c>
      <c r="L1551">
        <v>2400</v>
      </c>
      <c r="M1551">
        <v>2400</v>
      </c>
      <c r="N1551">
        <v>0</v>
      </c>
    </row>
    <row r="1552" spans="1:14" x14ac:dyDescent="0.25">
      <c r="A1552">
        <v>992.26251400000001</v>
      </c>
      <c r="B1552" s="1">
        <f>DATE(2013,1,17) + TIME(6,18,1)</f>
        <v>41291.262511574074</v>
      </c>
      <c r="C1552">
        <v>80</v>
      </c>
      <c r="D1552">
        <v>73.391258239999999</v>
      </c>
      <c r="E1552">
        <v>50</v>
      </c>
      <c r="F1552">
        <v>49.983818053999997</v>
      </c>
      <c r="G1552">
        <v>1274.8312988</v>
      </c>
      <c r="H1552">
        <v>1249.3480225000001</v>
      </c>
      <c r="I1552">
        <v>1442.0308838000001</v>
      </c>
      <c r="J1552">
        <v>1405.8044434000001</v>
      </c>
      <c r="K1552">
        <v>0</v>
      </c>
      <c r="L1552">
        <v>2400</v>
      </c>
      <c r="M1552">
        <v>2400</v>
      </c>
      <c r="N1552">
        <v>0</v>
      </c>
    </row>
    <row r="1553" spans="1:14" x14ac:dyDescent="0.25">
      <c r="A1553">
        <v>994.82586400000002</v>
      </c>
      <c r="B1553" s="1">
        <f>DATE(2013,1,19) + TIME(19,49,14)</f>
        <v>41293.825856481482</v>
      </c>
      <c r="C1553">
        <v>80</v>
      </c>
      <c r="D1553">
        <v>73.217903136999993</v>
      </c>
      <c r="E1553">
        <v>50</v>
      </c>
      <c r="F1553">
        <v>49.983856201000002</v>
      </c>
      <c r="G1553">
        <v>1274.5061035000001</v>
      </c>
      <c r="H1553">
        <v>1248.901001</v>
      </c>
      <c r="I1553">
        <v>1441.9436035000001</v>
      </c>
      <c r="J1553">
        <v>1405.7174072</v>
      </c>
      <c r="K1553">
        <v>0</v>
      </c>
      <c r="L1553">
        <v>2400</v>
      </c>
      <c r="M1553">
        <v>2400</v>
      </c>
      <c r="N1553">
        <v>0</v>
      </c>
    </row>
    <row r="1554" spans="1:14" x14ac:dyDescent="0.25">
      <c r="A1554">
        <v>997.42790500000001</v>
      </c>
      <c r="B1554" s="1">
        <f>DATE(2013,1,22) + TIME(10,16,10)</f>
        <v>41296.427893518521</v>
      </c>
      <c r="C1554">
        <v>80</v>
      </c>
      <c r="D1554">
        <v>73.036041260000005</v>
      </c>
      <c r="E1554">
        <v>50</v>
      </c>
      <c r="F1554">
        <v>49.983894348</v>
      </c>
      <c r="G1554">
        <v>1274.1602783000001</v>
      </c>
      <c r="H1554">
        <v>1248.4239502</v>
      </c>
      <c r="I1554">
        <v>1441.8563231999999</v>
      </c>
      <c r="J1554">
        <v>1405.630249</v>
      </c>
      <c r="K1554">
        <v>0</v>
      </c>
      <c r="L1554">
        <v>2400</v>
      </c>
      <c r="M1554">
        <v>2400</v>
      </c>
      <c r="N1554">
        <v>0</v>
      </c>
    </row>
    <row r="1555" spans="1:14" x14ac:dyDescent="0.25">
      <c r="A1555">
        <v>1000.067435</v>
      </c>
      <c r="B1555" s="1">
        <f>DATE(2013,1,25) + TIME(1,37,6)</f>
        <v>41299.067430555559</v>
      </c>
      <c r="C1555">
        <v>80</v>
      </c>
      <c r="D1555">
        <v>72.846931458</v>
      </c>
      <c r="E1555">
        <v>50</v>
      </c>
      <c r="F1555">
        <v>49.983932494999998</v>
      </c>
      <c r="G1555">
        <v>1273.7989502</v>
      </c>
      <c r="H1555">
        <v>1247.9233397999999</v>
      </c>
      <c r="I1555">
        <v>1441.7706298999999</v>
      </c>
      <c r="J1555">
        <v>1405.5449219</v>
      </c>
      <c r="K1555">
        <v>0</v>
      </c>
      <c r="L1555">
        <v>2400</v>
      </c>
      <c r="M1555">
        <v>2400</v>
      </c>
      <c r="N1555">
        <v>0</v>
      </c>
    </row>
    <row r="1556" spans="1:14" x14ac:dyDescent="0.25">
      <c r="A1556">
        <v>1002.745242</v>
      </c>
      <c r="B1556" s="1">
        <f>DATE(2013,1,27) + TIME(17,53,8)</f>
        <v>41301.74523148148</v>
      </c>
      <c r="C1556">
        <v>80</v>
      </c>
      <c r="D1556">
        <v>72.650085449000002</v>
      </c>
      <c r="E1556">
        <v>50</v>
      </c>
      <c r="F1556">
        <v>49.983974457000002</v>
      </c>
      <c r="G1556">
        <v>1273.4219971</v>
      </c>
      <c r="H1556">
        <v>1247.3989257999999</v>
      </c>
      <c r="I1556">
        <v>1441.6866454999999</v>
      </c>
      <c r="J1556">
        <v>1405.4611815999999</v>
      </c>
      <c r="K1556">
        <v>0</v>
      </c>
      <c r="L1556">
        <v>2400</v>
      </c>
      <c r="M1556">
        <v>2400</v>
      </c>
      <c r="N1556">
        <v>0</v>
      </c>
    </row>
    <row r="1557" spans="1:14" x14ac:dyDescent="0.25">
      <c r="A1557">
        <v>1005.4914659999999</v>
      </c>
      <c r="B1557" s="1">
        <f>DATE(2013,1,30) + TIME(11,47,42)</f>
        <v>41304.49145833333</v>
      </c>
      <c r="C1557">
        <v>80</v>
      </c>
      <c r="D1557">
        <v>72.444190978999998</v>
      </c>
      <c r="E1557">
        <v>50</v>
      </c>
      <c r="F1557">
        <v>49.984012604</v>
      </c>
      <c r="G1557">
        <v>1273.0289307</v>
      </c>
      <c r="H1557">
        <v>1246.8498535000001</v>
      </c>
      <c r="I1557">
        <v>1441.6040039</v>
      </c>
      <c r="J1557">
        <v>1405.3790283000001</v>
      </c>
      <c r="K1557">
        <v>0</v>
      </c>
      <c r="L1557">
        <v>2400</v>
      </c>
      <c r="M1557">
        <v>2400</v>
      </c>
      <c r="N1557">
        <v>0</v>
      </c>
    </row>
    <row r="1558" spans="1:14" x14ac:dyDescent="0.25">
      <c r="A1558">
        <v>1007</v>
      </c>
      <c r="B1558" s="1">
        <f>DATE(2013,2,1) + TIME(0,0,0)</f>
        <v>41306</v>
      </c>
      <c r="C1558">
        <v>80</v>
      </c>
      <c r="D1558">
        <v>72.249061584000003</v>
      </c>
      <c r="E1558">
        <v>50</v>
      </c>
      <c r="F1558">
        <v>49.984031676999997</v>
      </c>
      <c r="G1558">
        <v>1272.6199951000001</v>
      </c>
      <c r="H1558">
        <v>1246.2867432</v>
      </c>
      <c r="I1558">
        <v>1441.5218506000001</v>
      </c>
      <c r="J1558">
        <v>1405.2972411999999</v>
      </c>
      <c r="K1558">
        <v>0</v>
      </c>
      <c r="L1558">
        <v>2400</v>
      </c>
      <c r="M1558">
        <v>2400</v>
      </c>
      <c r="N1558">
        <v>0</v>
      </c>
    </row>
    <row r="1559" spans="1:14" x14ac:dyDescent="0.25">
      <c r="A1559">
        <v>1009.836398</v>
      </c>
      <c r="B1559" s="1">
        <f>DATE(2013,2,3) + TIME(20,4,24)</f>
        <v>41308.836388888885</v>
      </c>
      <c r="C1559">
        <v>80</v>
      </c>
      <c r="D1559">
        <v>72.092086792000003</v>
      </c>
      <c r="E1559">
        <v>50</v>
      </c>
      <c r="F1559">
        <v>49.984077454000001</v>
      </c>
      <c r="G1559">
        <v>1272.3751221</v>
      </c>
      <c r="H1559">
        <v>1245.9251709</v>
      </c>
      <c r="I1559">
        <v>1441.4781493999999</v>
      </c>
      <c r="J1559">
        <v>1405.2539062000001</v>
      </c>
      <c r="K1559">
        <v>0</v>
      </c>
      <c r="L1559">
        <v>2400</v>
      </c>
      <c r="M1559">
        <v>2400</v>
      </c>
      <c r="N1559">
        <v>0</v>
      </c>
    </row>
    <row r="1560" spans="1:14" x14ac:dyDescent="0.25">
      <c r="A1560">
        <v>1012.73742</v>
      </c>
      <c r="B1560" s="1">
        <f>DATE(2013,2,6) + TIME(17,41,53)</f>
        <v>41311.73741898148</v>
      </c>
      <c r="C1560">
        <v>80</v>
      </c>
      <c r="D1560">
        <v>71.863578795999999</v>
      </c>
      <c r="E1560">
        <v>50</v>
      </c>
      <c r="F1560">
        <v>49.984115600999999</v>
      </c>
      <c r="G1560">
        <v>1271.9365233999999</v>
      </c>
      <c r="H1560">
        <v>1245.3123779</v>
      </c>
      <c r="I1560">
        <v>1441.3975829999999</v>
      </c>
      <c r="J1560">
        <v>1405.1738281</v>
      </c>
      <c r="K1560">
        <v>0</v>
      </c>
      <c r="L1560">
        <v>2400</v>
      </c>
      <c r="M1560">
        <v>2400</v>
      </c>
      <c r="N1560">
        <v>0</v>
      </c>
    </row>
    <row r="1561" spans="1:14" x14ac:dyDescent="0.25">
      <c r="A1561">
        <v>1015.671861</v>
      </c>
      <c r="B1561" s="1">
        <f>DATE(2013,2,9) + TIME(16,7,28)</f>
        <v>41314.671851851854</v>
      </c>
      <c r="C1561">
        <v>80</v>
      </c>
      <c r="D1561">
        <v>71.611854553000001</v>
      </c>
      <c r="E1561">
        <v>50</v>
      </c>
      <c r="F1561">
        <v>49.984157562</v>
      </c>
      <c r="G1561">
        <v>1271.4704589999999</v>
      </c>
      <c r="H1561">
        <v>1244.6533202999999</v>
      </c>
      <c r="I1561">
        <v>1441.3175048999999</v>
      </c>
      <c r="J1561">
        <v>1405.0943603999999</v>
      </c>
      <c r="K1561">
        <v>0</v>
      </c>
      <c r="L1561">
        <v>2400</v>
      </c>
      <c r="M1561">
        <v>2400</v>
      </c>
      <c r="N1561">
        <v>0</v>
      </c>
    </row>
    <row r="1562" spans="1:14" x14ac:dyDescent="0.25">
      <c r="A1562">
        <v>1018.66824</v>
      </c>
      <c r="B1562" s="1">
        <f>DATE(2013,2,12) + TIME(16,2,15)</f>
        <v>41317.668229166666</v>
      </c>
      <c r="C1562">
        <v>80</v>
      </c>
      <c r="D1562">
        <v>71.345222473000007</v>
      </c>
      <c r="E1562">
        <v>50</v>
      </c>
      <c r="F1562">
        <v>49.984199523999997</v>
      </c>
      <c r="G1562">
        <v>1270.9862060999999</v>
      </c>
      <c r="H1562">
        <v>1243.9649658000001</v>
      </c>
      <c r="I1562">
        <v>1441.2390137</v>
      </c>
      <c r="J1562">
        <v>1405.0164795000001</v>
      </c>
      <c r="K1562">
        <v>0</v>
      </c>
      <c r="L1562">
        <v>2400</v>
      </c>
      <c r="M1562">
        <v>2400</v>
      </c>
      <c r="N1562">
        <v>0</v>
      </c>
    </row>
    <row r="1563" spans="1:14" x14ac:dyDescent="0.25">
      <c r="A1563">
        <v>1021.689309</v>
      </c>
      <c r="B1563" s="1">
        <f>DATE(2013,2,15) + TIME(16,32,36)</f>
        <v>41320.689305555556</v>
      </c>
      <c r="C1563">
        <v>80</v>
      </c>
      <c r="D1563">
        <v>71.060737610000004</v>
      </c>
      <c r="E1563">
        <v>50</v>
      </c>
      <c r="F1563">
        <v>49.984241486000002</v>
      </c>
      <c r="G1563">
        <v>1270.4794922000001</v>
      </c>
      <c r="H1563">
        <v>1243.2421875</v>
      </c>
      <c r="I1563">
        <v>1441.1611327999999</v>
      </c>
      <c r="J1563">
        <v>1404.9393310999999</v>
      </c>
      <c r="K1563">
        <v>0</v>
      </c>
      <c r="L1563">
        <v>2400</v>
      </c>
      <c r="M1563">
        <v>2400</v>
      </c>
      <c r="N1563">
        <v>0</v>
      </c>
    </row>
    <row r="1564" spans="1:14" x14ac:dyDescent="0.25">
      <c r="A1564">
        <v>1024.738544</v>
      </c>
      <c r="B1564" s="1">
        <f>DATE(2013,2,18) + TIME(17,43,30)</f>
        <v>41323.738541666666</v>
      </c>
      <c r="C1564">
        <v>80</v>
      </c>
      <c r="D1564">
        <v>70.761245728000006</v>
      </c>
      <c r="E1564">
        <v>50</v>
      </c>
      <c r="F1564">
        <v>49.984283447000003</v>
      </c>
      <c r="G1564">
        <v>1269.9564209</v>
      </c>
      <c r="H1564">
        <v>1242.4931641000001</v>
      </c>
      <c r="I1564">
        <v>1441.0849608999999</v>
      </c>
      <c r="J1564">
        <v>1404.8636475000001</v>
      </c>
      <c r="K1564">
        <v>0</v>
      </c>
      <c r="L1564">
        <v>2400</v>
      </c>
      <c r="M1564">
        <v>2400</v>
      </c>
      <c r="N1564">
        <v>0</v>
      </c>
    </row>
    <row r="1565" spans="1:14" x14ac:dyDescent="0.25">
      <c r="A1565">
        <v>1027.8082669999999</v>
      </c>
      <c r="B1565" s="1">
        <f>DATE(2013,2,21) + TIME(19,23,54)</f>
        <v>41326.808263888888</v>
      </c>
      <c r="C1565">
        <v>80</v>
      </c>
      <c r="D1565">
        <v>70.443672179999993</v>
      </c>
      <c r="E1565">
        <v>50</v>
      </c>
      <c r="F1565">
        <v>49.984325409</v>
      </c>
      <c r="G1565">
        <v>1269.4158935999999</v>
      </c>
      <c r="H1565">
        <v>1241.7159423999999</v>
      </c>
      <c r="I1565">
        <v>1441.0101318</v>
      </c>
      <c r="J1565">
        <v>1404.7895507999999</v>
      </c>
      <c r="K1565">
        <v>0</v>
      </c>
      <c r="L1565">
        <v>2400</v>
      </c>
      <c r="M1565">
        <v>2400</v>
      </c>
      <c r="N1565">
        <v>0</v>
      </c>
    </row>
    <row r="1566" spans="1:14" x14ac:dyDescent="0.25">
      <c r="A1566">
        <v>1030.9020780000001</v>
      </c>
      <c r="B1566" s="1">
        <f>DATE(2013,2,24) + TIME(21,38,59)</f>
        <v>41329.902071759258</v>
      </c>
      <c r="C1566">
        <v>80</v>
      </c>
      <c r="D1566">
        <v>70.110786438000005</v>
      </c>
      <c r="E1566">
        <v>50</v>
      </c>
      <c r="F1566">
        <v>49.984363555999998</v>
      </c>
      <c r="G1566">
        <v>1268.8599853999999</v>
      </c>
      <c r="H1566">
        <v>1240.9143065999999</v>
      </c>
      <c r="I1566">
        <v>1440.9367675999999</v>
      </c>
      <c r="J1566">
        <v>1404.7170410000001</v>
      </c>
      <c r="K1566">
        <v>0</v>
      </c>
      <c r="L1566">
        <v>2400</v>
      </c>
      <c r="M1566">
        <v>2400</v>
      </c>
      <c r="N1566">
        <v>0</v>
      </c>
    </row>
    <row r="1567" spans="1:14" x14ac:dyDescent="0.25">
      <c r="A1567">
        <v>1034.0169149999999</v>
      </c>
      <c r="B1567" s="1">
        <f>DATE(2013,2,28) + TIME(0,24,21)</f>
        <v>41333.016909722224</v>
      </c>
      <c r="C1567">
        <v>80</v>
      </c>
      <c r="D1567">
        <v>69.757278442</v>
      </c>
      <c r="E1567">
        <v>50</v>
      </c>
      <c r="F1567">
        <v>49.984405518000003</v>
      </c>
      <c r="G1567">
        <v>1268.2869873</v>
      </c>
      <c r="H1567">
        <v>1240.0842285000001</v>
      </c>
      <c r="I1567">
        <v>1440.8648682</v>
      </c>
      <c r="J1567">
        <v>1404.6457519999999</v>
      </c>
      <c r="K1567">
        <v>0</v>
      </c>
      <c r="L1567">
        <v>2400</v>
      </c>
      <c r="M1567">
        <v>2400</v>
      </c>
      <c r="N1567">
        <v>0</v>
      </c>
    </row>
    <row r="1568" spans="1:14" x14ac:dyDescent="0.25">
      <c r="A1568">
        <v>1035</v>
      </c>
      <c r="B1568" s="1">
        <f>DATE(2013,3,1) + TIME(0,0,0)</f>
        <v>41334</v>
      </c>
      <c r="C1568">
        <v>80</v>
      </c>
      <c r="D1568">
        <v>69.464668274000005</v>
      </c>
      <c r="E1568">
        <v>50</v>
      </c>
      <c r="F1568">
        <v>49.984416961999997</v>
      </c>
      <c r="G1568">
        <v>1267.7137451000001</v>
      </c>
      <c r="H1568">
        <v>1239.2882079999999</v>
      </c>
      <c r="I1568">
        <v>1440.7939452999999</v>
      </c>
      <c r="J1568">
        <v>1404.5756836</v>
      </c>
      <c r="K1568">
        <v>0</v>
      </c>
      <c r="L1568">
        <v>2400</v>
      </c>
      <c r="M1568">
        <v>2400</v>
      </c>
      <c r="N1568">
        <v>0</v>
      </c>
    </row>
    <row r="1569" spans="1:14" x14ac:dyDescent="0.25">
      <c r="A1569">
        <v>1038.140744</v>
      </c>
      <c r="B1569" s="1">
        <f>DATE(2013,3,4) + TIME(3,22,40)</f>
        <v>41337.140740740739</v>
      </c>
      <c r="C1569">
        <v>80</v>
      </c>
      <c r="D1569">
        <v>69.243858337000006</v>
      </c>
      <c r="E1569">
        <v>50</v>
      </c>
      <c r="F1569">
        <v>49.984462737999998</v>
      </c>
      <c r="G1569">
        <v>1267.4973144999999</v>
      </c>
      <c r="H1569">
        <v>1238.9224853999999</v>
      </c>
      <c r="I1569">
        <v>1440.7722168</v>
      </c>
      <c r="J1569">
        <v>1404.5541992000001</v>
      </c>
      <c r="K1569">
        <v>0</v>
      </c>
      <c r="L1569">
        <v>2400</v>
      </c>
      <c r="M1569">
        <v>2400</v>
      </c>
      <c r="N1569">
        <v>0</v>
      </c>
    </row>
    <row r="1570" spans="1:14" x14ac:dyDescent="0.25">
      <c r="A1570">
        <v>1041.3250290000001</v>
      </c>
      <c r="B1570" s="1">
        <f>DATE(2013,3,7) + TIME(7,48,2)</f>
        <v>41340.325023148151</v>
      </c>
      <c r="C1570">
        <v>80</v>
      </c>
      <c r="D1570">
        <v>68.864288329999994</v>
      </c>
      <c r="E1570">
        <v>50</v>
      </c>
      <c r="F1570">
        <v>49.984500885000003</v>
      </c>
      <c r="G1570">
        <v>1266.9006348</v>
      </c>
      <c r="H1570">
        <v>1238.0632324000001</v>
      </c>
      <c r="I1570">
        <v>1440.7033690999999</v>
      </c>
      <c r="J1570">
        <v>1404.4862060999999</v>
      </c>
      <c r="K1570">
        <v>0</v>
      </c>
      <c r="L1570">
        <v>2400</v>
      </c>
      <c r="M1570">
        <v>2400</v>
      </c>
      <c r="N1570">
        <v>0</v>
      </c>
    </row>
    <row r="1571" spans="1:14" x14ac:dyDescent="0.25">
      <c r="A1571">
        <v>1044.537652</v>
      </c>
      <c r="B1571" s="1">
        <f>DATE(2013,3,10) + TIME(12,54,13)</f>
        <v>41343.53765046296</v>
      </c>
      <c r="C1571">
        <v>80</v>
      </c>
      <c r="D1571">
        <v>68.446853637999993</v>
      </c>
      <c r="E1571">
        <v>50</v>
      </c>
      <c r="F1571">
        <v>49.984542847</v>
      </c>
      <c r="G1571">
        <v>1266.2744141000001</v>
      </c>
      <c r="H1571">
        <v>1237.1478271000001</v>
      </c>
      <c r="I1571">
        <v>1440.6351318</v>
      </c>
      <c r="J1571">
        <v>1404.4187012</v>
      </c>
      <c r="K1571">
        <v>0</v>
      </c>
      <c r="L1571">
        <v>2400</v>
      </c>
      <c r="M1571">
        <v>2400</v>
      </c>
      <c r="N1571">
        <v>0</v>
      </c>
    </row>
    <row r="1572" spans="1:14" x14ac:dyDescent="0.25">
      <c r="A1572">
        <v>1047.777969</v>
      </c>
      <c r="B1572" s="1">
        <f>DATE(2013,3,13) + TIME(18,40,16)</f>
        <v>41346.777962962966</v>
      </c>
      <c r="C1572">
        <v>80</v>
      </c>
      <c r="D1572">
        <v>68.002540588000002</v>
      </c>
      <c r="E1572">
        <v>50</v>
      </c>
      <c r="F1572">
        <v>49.984584808000001</v>
      </c>
      <c r="G1572">
        <v>1265.6296387</v>
      </c>
      <c r="H1572">
        <v>1236.1998291</v>
      </c>
      <c r="I1572">
        <v>1440.5678711</v>
      </c>
      <c r="J1572">
        <v>1404.3521728999999</v>
      </c>
      <c r="K1572">
        <v>0</v>
      </c>
      <c r="L1572">
        <v>2400</v>
      </c>
      <c r="M1572">
        <v>2400</v>
      </c>
      <c r="N1572">
        <v>0</v>
      </c>
    </row>
    <row r="1573" spans="1:14" x14ac:dyDescent="0.25">
      <c r="A1573">
        <v>1051.052025</v>
      </c>
      <c r="B1573" s="1">
        <f>DATE(2013,3,17) + TIME(1,14,54)</f>
        <v>41350.05201388889</v>
      </c>
      <c r="C1573">
        <v>80</v>
      </c>
      <c r="D1573">
        <v>67.540435790999993</v>
      </c>
      <c r="E1573">
        <v>50</v>
      </c>
      <c r="F1573">
        <v>49.984626769999998</v>
      </c>
      <c r="G1573">
        <v>1264.9689940999999</v>
      </c>
      <c r="H1573">
        <v>1235.2266846</v>
      </c>
      <c r="I1573">
        <v>1440.5014647999999</v>
      </c>
      <c r="J1573">
        <v>1404.2866211</v>
      </c>
      <c r="K1573">
        <v>0</v>
      </c>
      <c r="L1573">
        <v>2400</v>
      </c>
      <c r="M1573">
        <v>2400</v>
      </c>
      <c r="N1573">
        <v>0</v>
      </c>
    </row>
    <row r="1574" spans="1:14" x14ac:dyDescent="0.25">
      <c r="A1574">
        <v>1054.3658849999999</v>
      </c>
      <c r="B1574" s="1">
        <f>DATE(2013,3,20) + TIME(8,46,52)</f>
        <v>41353.365879629629</v>
      </c>
      <c r="C1574">
        <v>80</v>
      </c>
      <c r="D1574">
        <v>67.045791625999996</v>
      </c>
      <c r="E1574">
        <v>50</v>
      </c>
      <c r="F1574">
        <v>49.984668732000003</v>
      </c>
      <c r="G1574">
        <v>1264.2894286999999</v>
      </c>
      <c r="H1574">
        <v>1234.2197266000001</v>
      </c>
      <c r="I1574">
        <v>1440.4357910000001</v>
      </c>
      <c r="J1574">
        <v>1404.2219238</v>
      </c>
      <c r="K1574">
        <v>0</v>
      </c>
      <c r="L1574">
        <v>2400</v>
      </c>
      <c r="M1574">
        <v>2400</v>
      </c>
      <c r="N1574">
        <v>0</v>
      </c>
    </row>
    <row r="1575" spans="1:14" x14ac:dyDescent="0.25">
      <c r="A1575">
        <v>1056.0323920000001</v>
      </c>
      <c r="B1575" s="1">
        <f>DATE(2013,3,22) + TIME(0,46,38)</f>
        <v>41355.032384259262</v>
      </c>
      <c r="C1575">
        <v>80</v>
      </c>
      <c r="D1575">
        <v>66.592300414999997</v>
      </c>
      <c r="E1575">
        <v>50</v>
      </c>
      <c r="F1575">
        <v>49.984687805</v>
      </c>
      <c r="G1575">
        <v>1263.5965576000001</v>
      </c>
      <c r="H1575">
        <v>1233.2169189000001</v>
      </c>
      <c r="I1575">
        <v>1440.3706055</v>
      </c>
      <c r="J1575">
        <v>1404.1574707</v>
      </c>
      <c r="K1575">
        <v>0</v>
      </c>
      <c r="L1575">
        <v>2400</v>
      </c>
      <c r="M1575">
        <v>2400</v>
      </c>
      <c r="N1575">
        <v>0</v>
      </c>
    </row>
    <row r="1576" spans="1:14" x14ac:dyDescent="0.25">
      <c r="A1576">
        <v>1056.993825</v>
      </c>
      <c r="B1576" s="1">
        <f>DATE(2013,3,22) + TIME(23,51,6)</f>
        <v>41355.993819444448</v>
      </c>
      <c r="C1576">
        <v>80</v>
      </c>
      <c r="D1576">
        <v>66.316978454999997</v>
      </c>
      <c r="E1576">
        <v>50</v>
      </c>
      <c r="F1576">
        <v>49.984699249000002</v>
      </c>
      <c r="G1576">
        <v>1263.2347411999999</v>
      </c>
      <c r="H1576">
        <v>1232.6751709</v>
      </c>
      <c r="I1576">
        <v>1440.3381348</v>
      </c>
      <c r="J1576">
        <v>1404.1254882999999</v>
      </c>
      <c r="K1576">
        <v>0</v>
      </c>
      <c r="L1576">
        <v>2400</v>
      </c>
      <c r="M1576">
        <v>2400</v>
      </c>
      <c r="N1576">
        <v>0</v>
      </c>
    </row>
    <row r="1577" spans="1:14" x14ac:dyDescent="0.25">
      <c r="A1577">
        <v>1057.9552570000001</v>
      </c>
      <c r="B1577" s="1">
        <f>DATE(2013,3,23) + TIME(22,55,34)</f>
        <v>41356.955254629633</v>
      </c>
      <c r="C1577">
        <v>80</v>
      </c>
      <c r="D1577">
        <v>66.126152039000004</v>
      </c>
      <c r="E1577">
        <v>50</v>
      </c>
      <c r="F1577">
        <v>49.984710692999997</v>
      </c>
      <c r="G1577">
        <v>1263.0207519999999</v>
      </c>
      <c r="H1577">
        <v>1232.3376464999999</v>
      </c>
      <c r="I1577">
        <v>1440.3195800999999</v>
      </c>
      <c r="J1577">
        <v>1404.1071777</v>
      </c>
      <c r="K1577">
        <v>0</v>
      </c>
      <c r="L1577">
        <v>2400</v>
      </c>
      <c r="M1577">
        <v>2400</v>
      </c>
      <c r="N1577">
        <v>0</v>
      </c>
    </row>
    <row r="1578" spans="1:14" x14ac:dyDescent="0.25">
      <c r="A1578">
        <v>1059.878123</v>
      </c>
      <c r="B1578" s="1">
        <f>DATE(2013,3,25) + TIME(21,4,29)</f>
        <v>41358.878113425926</v>
      </c>
      <c r="C1578">
        <v>80</v>
      </c>
      <c r="D1578">
        <v>65.928176879999995</v>
      </c>
      <c r="E1578">
        <v>50</v>
      </c>
      <c r="F1578">
        <v>49.984737396</v>
      </c>
      <c r="G1578">
        <v>1262.8142089999999</v>
      </c>
      <c r="H1578">
        <v>1232.0124512</v>
      </c>
      <c r="I1578">
        <v>1440.3013916</v>
      </c>
      <c r="J1578">
        <v>1404.0893555</v>
      </c>
      <c r="K1578">
        <v>0</v>
      </c>
      <c r="L1578">
        <v>2400</v>
      </c>
      <c r="M1578">
        <v>2400</v>
      </c>
      <c r="N1578">
        <v>0</v>
      </c>
    </row>
    <row r="1579" spans="1:14" x14ac:dyDescent="0.25">
      <c r="A1579">
        <v>1061.8176089999999</v>
      </c>
      <c r="B1579" s="1">
        <f>DATE(2013,3,27) + TIME(19,37,21)</f>
        <v>41360.817604166667</v>
      </c>
      <c r="C1579">
        <v>80</v>
      </c>
      <c r="D1579">
        <v>65.627609253000003</v>
      </c>
      <c r="E1579">
        <v>50</v>
      </c>
      <c r="F1579">
        <v>49.984760283999996</v>
      </c>
      <c r="G1579">
        <v>1262.3975829999999</v>
      </c>
      <c r="H1579">
        <v>1231.3969727000001</v>
      </c>
      <c r="I1579">
        <v>1440.2652588000001</v>
      </c>
      <c r="J1579">
        <v>1404.0535889</v>
      </c>
      <c r="K1579">
        <v>0</v>
      </c>
      <c r="L1579">
        <v>2400</v>
      </c>
      <c r="M1579">
        <v>2400</v>
      </c>
      <c r="N1579">
        <v>0</v>
      </c>
    </row>
    <row r="1580" spans="1:14" x14ac:dyDescent="0.25">
      <c r="A1580">
        <v>1063.378121</v>
      </c>
      <c r="B1580" s="1">
        <f>DATE(2013,3,29) + TIME(9,4,29)</f>
        <v>41362.378113425926</v>
      </c>
      <c r="C1580">
        <v>80</v>
      </c>
      <c r="D1580">
        <v>65.315032959000007</v>
      </c>
      <c r="E1580">
        <v>50</v>
      </c>
      <c r="F1580">
        <v>49.984779357999997</v>
      </c>
      <c r="G1580">
        <v>1261.9787598</v>
      </c>
      <c r="H1580">
        <v>1230.7785644999999</v>
      </c>
      <c r="I1580">
        <v>1440.2288818</v>
      </c>
      <c r="J1580">
        <v>1404.0178223</v>
      </c>
      <c r="K1580">
        <v>0</v>
      </c>
      <c r="L1580">
        <v>2400</v>
      </c>
      <c r="M1580">
        <v>2400</v>
      </c>
      <c r="N1580">
        <v>0</v>
      </c>
    </row>
    <row r="1581" spans="1:14" x14ac:dyDescent="0.25">
      <c r="A1581">
        <v>1064.689061</v>
      </c>
      <c r="B1581" s="1">
        <f>DATE(2013,3,30) + TIME(16,32,14)</f>
        <v>41363.689050925925</v>
      </c>
      <c r="C1581">
        <v>80</v>
      </c>
      <c r="D1581">
        <v>65.046096801999994</v>
      </c>
      <c r="E1581">
        <v>50</v>
      </c>
      <c r="F1581">
        <v>49.984794616999999</v>
      </c>
      <c r="G1581">
        <v>1261.6381836</v>
      </c>
      <c r="H1581">
        <v>1230.2689209</v>
      </c>
      <c r="I1581">
        <v>1440.1999512</v>
      </c>
      <c r="J1581">
        <v>1403.9892577999999</v>
      </c>
      <c r="K1581">
        <v>0</v>
      </c>
      <c r="L1581">
        <v>2400</v>
      </c>
      <c r="M1581">
        <v>2400</v>
      </c>
      <c r="N1581">
        <v>0</v>
      </c>
    </row>
    <row r="1582" spans="1:14" x14ac:dyDescent="0.25">
      <c r="A1582">
        <v>1066</v>
      </c>
      <c r="B1582" s="1">
        <f>DATE(2013,4,1) + TIME(0,0,0)</f>
        <v>41365</v>
      </c>
      <c r="C1582">
        <v>80</v>
      </c>
      <c r="D1582">
        <v>64.806472778</v>
      </c>
      <c r="E1582">
        <v>50</v>
      </c>
      <c r="F1582">
        <v>49.984809875000003</v>
      </c>
      <c r="G1582">
        <v>1261.3562012</v>
      </c>
      <c r="H1582">
        <v>1229.8439940999999</v>
      </c>
      <c r="I1582">
        <v>1440.1757812000001</v>
      </c>
      <c r="J1582">
        <v>1403.9654541</v>
      </c>
      <c r="K1582">
        <v>0</v>
      </c>
      <c r="L1582">
        <v>2400</v>
      </c>
      <c r="M1582">
        <v>2400</v>
      </c>
      <c r="N1582">
        <v>0</v>
      </c>
    </row>
    <row r="1583" spans="1:14" x14ac:dyDescent="0.25">
      <c r="A1583">
        <v>1068.621879</v>
      </c>
      <c r="B1583" s="1">
        <f>DATE(2013,4,3) + TIME(14,55,30)</f>
        <v>41367.621874999997</v>
      </c>
      <c r="C1583">
        <v>80</v>
      </c>
      <c r="D1583">
        <v>64.540550232000001</v>
      </c>
      <c r="E1583">
        <v>50</v>
      </c>
      <c r="F1583">
        <v>49.984844207999998</v>
      </c>
      <c r="G1583">
        <v>1261.0561522999999</v>
      </c>
      <c r="H1583">
        <v>1229.3720702999999</v>
      </c>
      <c r="I1583">
        <v>1440.1522216999999</v>
      </c>
      <c r="J1583">
        <v>1403.9421387</v>
      </c>
      <c r="K1583">
        <v>0</v>
      </c>
      <c r="L1583">
        <v>2400</v>
      </c>
      <c r="M1583">
        <v>2400</v>
      </c>
      <c r="N1583">
        <v>0</v>
      </c>
    </row>
    <row r="1584" spans="1:14" x14ac:dyDescent="0.25">
      <c r="A1584">
        <v>1070.3429900000001</v>
      </c>
      <c r="B1584" s="1">
        <f>DATE(2013,4,5) + TIME(8,13,54)</f>
        <v>41369.342986111114</v>
      </c>
      <c r="C1584">
        <v>80</v>
      </c>
      <c r="D1584">
        <v>64.126640320000007</v>
      </c>
      <c r="E1584">
        <v>50</v>
      </c>
      <c r="F1584">
        <v>49.984863281000003</v>
      </c>
      <c r="G1584">
        <v>1260.4837646000001</v>
      </c>
      <c r="H1584">
        <v>1228.5390625</v>
      </c>
      <c r="I1584">
        <v>1440.1048584</v>
      </c>
      <c r="J1584">
        <v>1403.8953856999999</v>
      </c>
      <c r="K1584">
        <v>0</v>
      </c>
      <c r="L1584">
        <v>2400</v>
      </c>
      <c r="M1584">
        <v>2400</v>
      </c>
      <c r="N1584">
        <v>0</v>
      </c>
    </row>
    <row r="1585" spans="1:14" x14ac:dyDescent="0.25">
      <c r="A1585">
        <v>1071.6113789999999</v>
      </c>
      <c r="B1585" s="1">
        <f>DATE(2013,4,6) + TIME(14,40,23)</f>
        <v>41370.611377314817</v>
      </c>
      <c r="C1585">
        <v>80</v>
      </c>
      <c r="D1585">
        <v>63.813594817999999</v>
      </c>
      <c r="E1585">
        <v>50</v>
      </c>
      <c r="F1585">
        <v>49.984878539999997</v>
      </c>
      <c r="G1585">
        <v>1260.0983887</v>
      </c>
      <c r="H1585">
        <v>1227.958374</v>
      </c>
      <c r="I1585">
        <v>1440.0739745999999</v>
      </c>
      <c r="J1585">
        <v>1403.8649902</v>
      </c>
      <c r="K1585">
        <v>0</v>
      </c>
      <c r="L1585">
        <v>2400</v>
      </c>
      <c r="M1585">
        <v>2400</v>
      </c>
      <c r="N1585">
        <v>0</v>
      </c>
    </row>
    <row r="1586" spans="1:14" x14ac:dyDescent="0.25">
      <c r="A1586">
        <v>1072.8797669999999</v>
      </c>
      <c r="B1586" s="1">
        <f>DATE(2013,4,7) + TIME(21,6,51)</f>
        <v>41371.879756944443</v>
      </c>
      <c r="C1586">
        <v>80</v>
      </c>
      <c r="D1586">
        <v>63.559864044000001</v>
      </c>
      <c r="E1586">
        <v>50</v>
      </c>
      <c r="F1586">
        <v>49.984893798999998</v>
      </c>
      <c r="G1586">
        <v>1259.8099365</v>
      </c>
      <c r="H1586">
        <v>1227.5119629000001</v>
      </c>
      <c r="I1586">
        <v>1440.0513916</v>
      </c>
      <c r="J1586">
        <v>1403.8427733999999</v>
      </c>
      <c r="K1586">
        <v>0</v>
      </c>
      <c r="L1586">
        <v>2400</v>
      </c>
      <c r="M1586">
        <v>2400</v>
      </c>
      <c r="N1586">
        <v>0</v>
      </c>
    </row>
    <row r="1587" spans="1:14" x14ac:dyDescent="0.25">
      <c r="A1587">
        <v>1074.1481550000001</v>
      </c>
      <c r="B1587" s="1">
        <f>DATE(2013,4,9) + TIME(3,33,20)</f>
        <v>41373.148148148146</v>
      </c>
      <c r="C1587">
        <v>80</v>
      </c>
      <c r="D1587">
        <v>63.318733215000002</v>
      </c>
      <c r="E1587">
        <v>50</v>
      </c>
      <c r="F1587">
        <v>49.984909058</v>
      </c>
      <c r="G1587">
        <v>1259.5239257999999</v>
      </c>
      <c r="H1587">
        <v>1227.0766602000001</v>
      </c>
      <c r="I1587">
        <v>1440.0290527</v>
      </c>
      <c r="J1587">
        <v>1403.8208007999999</v>
      </c>
      <c r="K1587">
        <v>0</v>
      </c>
      <c r="L1587">
        <v>2400</v>
      </c>
      <c r="M1587">
        <v>2400</v>
      </c>
      <c r="N1587">
        <v>0</v>
      </c>
    </row>
    <row r="1588" spans="1:14" x14ac:dyDescent="0.25">
      <c r="A1588">
        <v>1075.4165439999999</v>
      </c>
      <c r="B1588" s="1">
        <f>DATE(2013,4,10) + TIME(9,59,49)</f>
        <v>41374.416539351849</v>
      </c>
      <c r="C1588">
        <v>80</v>
      </c>
      <c r="D1588">
        <v>63.079177856000001</v>
      </c>
      <c r="E1588">
        <v>50</v>
      </c>
      <c r="F1588">
        <v>49.984924315999997</v>
      </c>
      <c r="G1588">
        <v>1259.2376709</v>
      </c>
      <c r="H1588">
        <v>1226.6427002</v>
      </c>
      <c r="I1588">
        <v>1440.0068358999999</v>
      </c>
      <c r="J1588">
        <v>1403.7988281</v>
      </c>
      <c r="K1588">
        <v>0</v>
      </c>
      <c r="L1588">
        <v>2400</v>
      </c>
      <c r="M1588">
        <v>2400</v>
      </c>
      <c r="N1588">
        <v>0</v>
      </c>
    </row>
    <row r="1589" spans="1:14" x14ac:dyDescent="0.25">
      <c r="A1589">
        <v>1076.6849319999999</v>
      </c>
      <c r="B1589" s="1">
        <f>DATE(2013,4,11) + TIME(16,26,18)</f>
        <v>41375.684930555559</v>
      </c>
      <c r="C1589">
        <v>80</v>
      </c>
      <c r="D1589">
        <v>62.838592529000003</v>
      </c>
      <c r="E1589">
        <v>50</v>
      </c>
      <c r="F1589">
        <v>49.984939574999999</v>
      </c>
      <c r="G1589">
        <v>1258.9509277</v>
      </c>
      <c r="H1589">
        <v>1226.2076416</v>
      </c>
      <c r="I1589">
        <v>1439.9848632999999</v>
      </c>
      <c r="J1589">
        <v>1403.7770995999999</v>
      </c>
      <c r="K1589">
        <v>0</v>
      </c>
      <c r="L1589">
        <v>2400</v>
      </c>
      <c r="M1589">
        <v>2400</v>
      </c>
      <c r="N1589">
        <v>0</v>
      </c>
    </row>
    <row r="1590" spans="1:14" x14ac:dyDescent="0.25">
      <c r="A1590">
        <v>1077.9533200000001</v>
      </c>
      <c r="B1590" s="1">
        <f>DATE(2013,4,12) + TIME(22,52,46)</f>
        <v>41376.953310185185</v>
      </c>
      <c r="C1590">
        <v>80</v>
      </c>
      <c r="D1590">
        <v>62.596405029000003</v>
      </c>
      <c r="E1590">
        <v>50</v>
      </c>
      <c r="F1590">
        <v>49.984954834</v>
      </c>
      <c r="G1590">
        <v>1258.6632079999999</v>
      </c>
      <c r="H1590">
        <v>1225.7709961</v>
      </c>
      <c r="I1590">
        <v>1439.9628906</v>
      </c>
      <c r="J1590">
        <v>1403.7554932</v>
      </c>
      <c r="K1590">
        <v>0</v>
      </c>
      <c r="L1590">
        <v>2400</v>
      </c>
      <c r="M1590">
        <v>2400</v>
      </c>
      <c r="N1590">
        <v>0</v>
      </c>
    </row>
    <row r="1591" spans="1:14" x14ac:dyDescent="0.25">
      <c r="A1591">
        <v>1079.221708</v>
      </c>
      <c r="B1591" s="1">
        <f>DATE(2013,4,14) + TIME(5,19,15)</f>
        <v>41378.221701388888</v>
      </c>
      <c r="C1591">
        <v>80</v>
      </c>
      <c r="D1591">
        <v>62.352531433000003</v>
      </c>
      <c r="E1591">
        <v>50</v>
      </c>
      <c r="F1591">
        <v>49.984970093000001</v>
      </c>
      <c r="G1591">
        <v>1258.3747559000001</v>
      </c>
      <c r="H1591">
        <v>1225.3327637</v>
      </c>
      <c r="I1591">
        <v>1439.9410399999999</v>
      </c>
      <c r="J1591">
        <v>1403.7340088000001</v>
      </c>
      <c r="K1591">
        <v>0</v>
      </c>
      <c r="L1591">
        <v>2400</v>
      </c>
      <c r="M1591">
        <v>2400</v>
      </c>
      <c r="N1591">
        <v>0</v>
      </c>
    </row>
    <row r="1592" spans="1:14" x14ac:dyDescent="0.25">
      <c r="A1592">
        <v>1080.4900970000001</v>
      </c>
      <c r="B1592" s="1">
        <f>DATE(2013,4,15) + TIME(11,45,44)</f>
        <v>41379.49009259259</v>
      </c>
      <c r="C1592">
        <v>80</v>
      </c>
      <c r="D1592">
        <v>62.107006073000001</v>
      </c>
      <c r="E1592">
        <v>50</v>
      </c>
      <c r="F1592">
        <v>49.984985352000002</v>
      </c>
      <c r="G1592">
        <v>1258.0855713000001</v>
      </c>
      <c r="H1592">
        <v>1224.8929443</v>
      </c>
      <c r="I1592">
        <v>1439.9194336</v>
      </c>
      <c r="J1592">
        <v>1403.7126464999999</v>
      </c>
      <c r="K1592">
        <v>0</v>
      </c>
      <c r="L1592">
        <v>2400</v>
      </c>
      <c r="M1592">
        <v>2400</v>
      </c>
      <c r="N1592">
        <v>0</v>
      </c>
    </row>
    <row r="1593" spans="1:14" x14ac:dyDescent="0.25">
      <c r="A1593">
        <v>1081.7584850000001</v>
      </c>
      <c r="B1593" s="1">
        <f>DATE(2013,4,16) + TIME(18,12,13)</f>
        <v>41380.758483796293</v>
      </c>
      <c r="C1593">
        <v>80</v>
      </c>
      <c r="D1593">
        <v>61.859889983999999</v>
      </c>
      <c r="E1593">
        <v>50</v>
      </c>
      <c r="F1593">
        <v>49.98500061</v>
      </c>
      <c r="G1593">
        <v>1257.7956543</v>
      </c>
      <c r="H1593">
        <v>1224.4515381000001</v>
      </c>
      <c r="I1593">
        <v>1439.8978271000001</v>
      </c>
      <c r="J1593">
        <v>1403.6914062000001</v>
      </c>
      <c r="K1593">
        <v>0</v>
      </c>
      <c r="L1593">
        <v>2400</v>
      </c>
      <c r="M1593">
        <v>2400</v>
      </c>
      <c r="N1593">
        <v>0</v>
      </c>
    </row>
    <row r="1594" spans="1:14" x14ac:dyDescent="0.25">
      <c r="A1594">
        <v>1083.026873</v>
      </c>
      <c r="B1594" s="1">
        <f>DATE(2013,4,18) + TIME(0,38,41)</f>
        <v>41382.026863425926</v>
      </c>
      <c r="C1594">
        <v>80</v>
      </c>
      <c r="D1594">
        <v>61.611255645999996</v>
      </c>
      <c r="E1594">
        <v>50</v>
      </c>
      <c r="F1594">
        <v>49.985012054000002</v>
      </c>
      <c r="G1594">
        <v>1257.5050048999999</v>
      </c>
      <c r="H1594">
        <v>1224.0085449000001</v>
      </c>
      <c r="I1594">
        <v>1439.8763428</v>
      </c>
      <c r="J1594">
        <v>1403.6702881000001</v>
      </c>
      <c r="K1594">
        <v>0</v>
      </c>
      <c r="L1594">
        <v>2400</v>
      </c>
      <c r="M1594">
        <v>2400</v>
      </c>
      <c r="N1594">
        <v>0</v>
      </c>
    </row>
    <row r="1595" spans="1:14" x14ac:dyDescent="0.25">
      <c r="A1595">
        <v>1084.2952620000001</v>
      </c>
      <c r="B1595" s="1">
        <f>DATE(2013,4,19) + TIME(7,5,10)</f>
        <v>41383.295254629629</v>
      </c>
      <c r="C1595">
        <v>80</v>
      </c>
      <c r="D1595">
        <v>61.361179352000001</v>
      </c>
      <c r="E1595">
        <v>50</v>
      </c>
      <c r="F1595">
        <v>49.985027313000003</v>
      </c>
      <c r="G1595">
        <v>1257.2137451000001</v>
      </c>
      <c r="H1595">
        <v>1223.5640868999999</v>
      </c>
      <c r="I1595">
        <v>1439.8551024999999</v>
      </c>
      <c r="J1595">
        <v>1403.6492920000001</v>
      </c>
      <c r="K1595">
        <v>0</v>
      </c>
      <c r="L1595">
        <v>2400</v>
      </c>
      <c r="M1595">
        <v>2400</v>
      </c>
      <c r="N1595">
        <v>0</v>
      </c>
    </row>
    <row r="1596" spans="1:14" x14ac:dyDescent="0.25">
      <c r="A1596">
        <v>1085.5636500000001</v>
      </c>
      <c r="B1596" s="1">
        <f>DATE(2013,4,20) + TIME(13,31,39)</f>
        <v>41384.563645833332</v>
      </c>
      <c r="C1596">
        <v>80</v>
      </c>
      <c r="D1596">
        <v>61.109737396</v>
      </c>
      <c r="E1596">
        <v>50</v>
      </c>
      <c r="F1596">
        <v>49.985042571999998</v>
      </c>
      <c r="G1596">
        <v>1256.921875</v>
      </c>
      <c r="H1596">
        <v>1223.1182861</v>
      </c>
      <c r="I1596">
        <v>1439.8338623</v>
      </c>
      <c r="J1596">
        <v>1403.628418</v>
      </c>
      <c r="K1596">
        <v>0</v>
      </c>
      <c r="L1596">
        <v>2400</v>
      </c>
      <c r="M1596">
        <v>2400</v>
      </c>
      <c r="N1596">
        <v>0</v>
      </c>
    </row>
    <row r="1597" spans="1:14" x14ac:dyDescent="0.25">
      <c r="A1597">
        <v>1086.832038</v>
      </c>
      <c r="B1597" s="1">
        <f>DATE(2013,4,21) + TIME(19,58,8)</f>
        <v>41385.832037037035</v>
      </c>
      <c r="C1597">
        <v>80</v>
      </c>
      <c r="D1597">
        <v>60.857013702000003</v>
      </c>
      <c r="E1597">
        <v>50</v>
      </c>
      <c r="F1597">
        <v>49.985057830999999</v>
      </c>
      <c r="G1597">
        <v>1256.6293945</v>
      </c>
      <c r="H1597">
        <v>1222.6710204999999</v>
      </c>
      <c r="I1597">
        <v>1439.8127440999999</v>
      </c>
      <c r="J1597">
        <v>1403.6076660000001</v>
      </c>
      <c r="K1597">
        <v>0</v>
      </c>
      <c r="L1597">
        <v>2400</v>
      </c>
      <c r="M1597">
        <v>2400</v>
      </c>
      <c r="N1597">
        <v>0</v>
      </c>
    </row>
    <row r="1598" spans="1:14" x14ac:dyDescent="0.25">
      <c r="A1598">
        <v>1088.1004270000001</v>
      </c>
      <c r="B1598" s="1">
        <f>DATE(2013,4,23) + TIME(2,24,36)</f>
        <v>41387.100416666668</v>
      </c>
      <c r="C1598">
        <v>80</v>
      </c>
      <c r="D1598">
        <v>60.603103638</v>
      </c>
      <c r="E1598">
        <v>50</v>
      </c>
      <c r="F1598">
        <v>49.98507309</v>
      </c>
      <c r="G1598">
        <v>1256.3363036999999</v>
      </c>
      <c r="H1598">
        <v>1222.2225341999999</v>
      </c>
      <c r="I1598">
        <v>1439.7917480000001</v>
      </c>
      <c r="J1598">
        <v>1403.5869141000001</v>
      </c>
      <c r="K1598">
        <v>0</v>
      </c>
      <c r="L1598">
        <v>2400</v>
      </c>
      <c r="M1598">
        <v>2400</v>
      </c>
      <c r="N1598">
        <v>0</v>
      </c>
    </row>
    <row r="1599" spans="1:14" x14ac:dyDescent="0.25">
      <c r="A1599">
        <v>1089.368815</v>
      </c>
      <c r="B1599" s="1">
        <f>DATE(2013,4,24) + TIME(8,51,5)</f>
        <v>41388.368807870371</v>
      </c>
      <c r="C1599">
        <v>80</v>
      </c>
      <c r="D1599">
        <v>60.348136902</v>
      </c>
      <c r="E1599">
        <v>50</v>
      </c>
      <c r="F1599">
        <v>49.985088347999998</v>
      </c>
      <c r="G1599">
        <v>1256.0426024999999</v>
      </c>
      <c r="H1599">
        <v>1221.7728271000001</v>
      </c>
      <c r="I1599">
        <v>1439.770874</v>
      </c>
      <c r="J1599">
        <v>1403.5664062000001</v>
      </c>
      <c r="K1599">
        <v>0</v>
      </c>
      <c r="L1599">
        <v>2400</v>
      </c>
      <c r="M1599">
        <v>2400</v>
      </c>
      <c r="N1599">
        <v>0</v>
      </c>
    </row>
    <row r="1600" spans="1:14" x14ac:dyDescent="0.25">
      <c r="A1600">
        <v>1090.637203</v>
      </c>
      <c r="B1600" s="1">
        <f>DATE(2013,4,25) + TIME(15,17,34)</f>
        <v>41389.637199074074</v>
      </c>
      <c r="C1600">
        <v>80</v>
      </c>
      <c r="D1600">
        <v>60.092128754000001</v>
      </c>
      <c r="E1600">
        <v>50</v>
      </c>
      <c r="F1600">
        <v>49.985099792</v>
      </c>
      <c r="G1600">
        <v>1255.7485352000001</v>
      </c>
      <c r="H1600">
        <v>1221.3218993999999</v>
      </c>
      <c r="I1600">
        <v>1439.7501221</v>
      </c>
      <c r="J1600">
        <v>1403.5458983999999</v>
      </c>
      <c r="K1600">
        <v>0</v>
      </c>
      <c r="L1600">
        <v>2400</v>
      </c>
      <c r="M1600">
        <v>2400</v>
      </c>
      <c r="N1600">
        <v>0</v>
      </c>
    </row>
    <row r="1601" spans="1:14" x14ac:dyDescent="0.25">
      <c r="A1601">
        <v>1091.905591</v>
      </c>
      <c r="B1601" s="1">
        <f>DATE(2013,4,26) + TIME(21,44,3)</f>
        <v>41390.905590277776</v>
      </c>
      <c r="C1601">
        <v>80</v>
      </c>
      <c r="D1601">
        <v>59.834850310999997</v>
      </c>
      <c r="E1601">
        <v>50</v>
      </c>
      <c r="F1601">
        <v>49.985115051000001</v>
      </c>
      <c r="G1601">
        <v>1255.4539795000001</v>
      </c>
      <c r="H1601">
        <v>1220.869751</v>
      </c>
      <c r="I1601">
        <v>1439.7294922000001</v>
      </c>
      <c r="J1601">
        <v>1403.5256348</v>
      </c>
      <c r="K1601">
        <v>0</v>
      </c>
      <c r="L1601">
        <v>2400</v>
      </c>
      <c r="M1601">
        <v>2400</v>
      </c>
      <c r="N1601">
        <v>0</v>
      </c>
    </row>
    <row r="1602" spans="1:14" x14ac:dyDescent="0.25">
      <c r="A1602">
        <v>1093.17398</v>
      </c>
      <c r="B1602" s="1">
        <f>DATE(2013,4,28) + TIME(4,10,31)</f>
        <v>41392.17396990741</v>
      </c>
      <c r="C1602">
        <v>80</v>
      </c>
      <c r="D1602">
        <v>59.576580047999997</v>
      </c>
      <c r="E1602">
        <v>50</v>
      </c>
      <c r="F1602">
        <v>49.985130310000002</v>
      </c>
      <c r="G1602">
        <v>1255.1589355000001</v>
      </c>
      <c r="H1602">
        <v>1220.4163818</v>
      </c>
      <c r="I1602">
        <v>1439.7089844</v>
      </c>
      <c r="J1602">
        <v>1403.5053711</v>
      </c>
      <c r="K1602">
        <v>0</v>
      </c>
      <c r="L1602">
        <v>2400</v>
      </c>
      <c r="M1602">
        <v>2400</v>
      </c>
      <c r="N1602">
        <v>0</v>
      </c>
    </row>
    <row r="1603" spans="1:14" x14ac:dyDescent="0.25">
      <c r="A1603">
        <v>1094.442368</v>
      </c>
      <c r="B1603" s="1">
        <f>DATE(2013,4,29) + TIME(10,37,0)</f>
        <v>41393.442361111112</v>
      </c>
      <c r="C1603">
        <v>80</v>
      </c>
      <c r="D1603">
        <v>59.317283629999999</v>
      </c>
      <c r="E1603">
        <v>50</v>
      </c>
      <c r="F1603">
        <v>49.985145568999997</v>
      </c>
      <c r="G1603">
        <v>1254.8634033000001</v>
      </c>
      <c r="H1603">
        <v>1219.9620361</v>
      </c>
      <c r="I1603">
        <v>1439.6884766000001</v>
      </c>
      <c r="J1603">
        <v>1403.4852295000001</v>
      </c>
      <c r="K1603">
        <v>0</v>
      </c>
      <c r="L1603">
        <v>2400</v>
      </c>
      <c r="M1603">
        <v>2400</v>
      </c>
      <c r="N1603">
        <v>0</v>
      </c>
    </row>
    <row r="1604" spans="1:14" x14ac:dyDescent="0.25">
      <c r="A1604">
        <v>1096</v>
      </c>
      <c r="B1604" s="1">
        <f>DATE(2013,5,1) + TIME(0,0,0)</f>
        <v>41395</v>
      </c>
      <c r="C1604">
        <v>80</v>
      </c>
      <c r="D1604">
        <v>59.045131683000001</v>
      </c>
      <c r="E1604">
        <v>50</v>
      </c>
      <c r="F1604">
        <v>49.985160827999998</v>
      </c>
      <c r="G1604">
        <v>1254.5756836</v>
      </c>
      <c r="H1604">
        <v>1219.5162353999999</v>
      </c>
      <c r="I1604">
        <v>1439.6680908000001</v>
      </c>
      <c r="J1604">
        <v>1403.4652100000001</v>
      </c>
      <c r="K1604">
        <v>0</v>
      </c>
      <c r="L1604">
        <v>2400</v>
      </c>
      <c r="M1604">
        <v>2400</v>
      </c>
      <c r="N1604">
        <v>0</v>
      </c>
    </row>
    <row r="1605" spans="1:14" x14ac:dyDescent="0.25">
      <c r="A1605">
        <v>1096.0000010000001</v>
      </c>
      <c r="B1605" s="1">
        <f>DATE(2013,5,1) + TIME(0,0,0)</f>
        <v>41395</v>
      </c>
      <c r="C1605">
        <v>80</v>
      </c>
      <c r="D1605">
        <v>59.045444488999998</v>
      </c>
      <c r="E1605">
        <v>50</v>
      </c>
      <c r="F1605">
        <v>49.984943389999998</v>
      </c>
      <c r="G1605">
        <v>1295.6054687999999</v>
      </c>
      <c r="H1605">
        <v>1256.5203856999999</v>
      </c>
      <c r="I1605">
        <v>1401.7160644999999</v>
      </c>
      <c r="J1605">
        <v>1361.2384033000001</v>
      </c>
      <c r="K1605">
        <v>2400</v>
      </c>
      <c r="L1605">
        <v>0</v>
      </c>
      <c r="M1605">
        <v>0</v>
      </c>
      <c r="N1605">
        <v>2400</v>
      </c>
    </row>
    <row r="1606" spans="1:14" x14ac:dyDescent="0.25">
      <c r="A1606">
        <v>1096.000004</v>
      </c>
      <c r="B1606" s="1">
        <f>DATE(2013,5,1) + TIME(0,0,0)</f>
        <v>41395</v>
      </c>
      <c r="C1606">
        <v>80</v>
      </c>
      <c r="D1606">
        <v>59.046283721999998</v>
      </c>
      <c r="E1606">
        <v>50</v>
      </c>
      <c r="F1606">
        <v>49.984352112000003</v>
      </c>
      <c r="G1606">
        <v>1300.2840576000001</v>
      </c>
      <c r="H1606">
        <v>1261.5981445</v>
      </c>
      <c r="I1606">
        <v>1397.0512695</v>
      </c>
      <c r="J1606">
        <v>1356.5842285000001</v>
      </c>
      <c r="K1606">
        <v>2400</v>
      </c>
      <c r="L1606">
        <v>0</v>
      </c>
      <c r="M1606">
        <v>0</v>
      </c>
      <c r="N1606">
        <v>2400</v>
      </c>
    </row>
    <row r="1607" spans="1:14" x14ac:dyDescent="0.25">
      <c r="A1607">
        <v>1096.0000130000001</v>
      </c>
      <c r="B1607" s="1">
        <f>DATE(2013,5,1) + TIME(0,0,1)</f>
        <v>41395.000011574077</v>
      </c>
      <c r="C1607">
        <v>80</v>
      </c>
      <c r="D1607">
        <v>59.048236846999998</v>
      </c>
      <c r="E1607">
        <v>50</v>
      </c>
      <c r="F1607">
        <v>49.983036040999998</v>
      </c>
      <c r="G1607">
        <v>1310.6408690999999</v>
      </c>
      <c r="H1607">
        <v>1272.5300293</v>
      </c>
      <c r="I1607">
        <v>1386.5980225000001</v>
      </c>
      <c r="J1607">
        <v>1346.1955565999999</v>
      </c>
      <c r="K1607">
        <v>2400</v>
      </c>
      <c r="L1607">
        <v>0</v>
      </c>
      <c r="M1607">
        <v>0</v>
      </c>
      <c r="N1607">
        <v>2400</v>
      </c>
    </row>
    <row r="1608" spans="1:14" x14ac:dyDescent="0.25">
      <c r="A1608">
        <v>1096.0000399999999</v>
      </c>
      <c r="B1608" s="1">
        <f>DATE(2013,5,1) + TIME(0,0,3)</f>
        <v>41395.000034722223</v>
      </c>
      <c r="C1608">
        <v>80</v>
      </c>
      <c r="D1608">
        <v>59.052055359000001</v>
      </c>
      <c r="E1608">
        <v>50</v>
      </c>
      <c r="F1608">
        <v>49.980842590000002</v>
      </c>
      <c r="G1608">
        <v>1327.5809326000001</v>
      </c>
      <c r="H1608">
        <v>1289.8601074000001</v>
      </c>
      <c r="I1608">
        <v>1369.2056885</v>
      </c>
      <c r="J1608">
        <v>1329.0296631000001</v>
      </c>
      <c r="K1608">
        <v>2400</v>
      </c>
      <c r="L1608">
        <v>0</v>
      </c>
      <c r="M1608">
        <v>0</v>
      </c>
      <c r="N1608">
        <v>2400</v>
      </c>
    </row>
    <row r="1609" spans="1:14" x14ac:dyDescent="0.25">
      <c r="A1609">
        <v>1096.000121</v>
      </c>
      <c r="B1609" s="1">
        <f>DATE(2013,5,1) + TIME(0,0,10)</f>
        <v>41395.000115740739</v>
      </c>
      <c r="C1609">
        <v>80</v>
      </c>
      <c r="D1609">
        <v>59.059333801000001</v>
      </c>
      <c r="E1609">
        <v>50</v>
      </c>
      <c r="F1609">
        <v>49.978195190000001</v>
      </c>
      <c r="G1609">
        <v>1347.6862793</v>
      </c>
      <c r="H1609">
        <v>1310.1943358999999</v>
      </c>
      <c r="I1609">
        <v>1348.2530518000001</v>
      </c>
      <c r="J1609">
        <v>1308.5874022999999</v>
      </c>
      <c r="K1609">
        <v>2400</v>
      </c>
      <c r="L1609">
        <v>0</v>
      </c>
      <c r="M1609">
        <v>0</v>
      </c>
      <c r="N1609">
        <v>2400</v>
      </c>
    </row>
    <row r="1610" spans="1:14" x14ac:dyDescent="0.25">
      <c r="A1610">
        <v>1096.000364</v>
      </c>
      <c r="B1610" s="1">
        <f>DATE(2013,5,1) + TIME(0,0,31)</f>
        <v>41395.000358796293</v>
      </c>
      <c r="C1610">
        <v>80</v>
      </c>
      <c r="D1610">
        <v>59.075660706000001</v>
      </c>
      <c r="E1610">
        <v>50</v>
      </c>
      <c r="F1610">
        <v>49.975536345999998</v>
      </c>
      <c r="G1610">
        <v>1367.5534668</v>
      </c>
      <c r="H1610">
        <v>1330.5273437999999</v>
      </c>
      <c r="I1610">
        <v>1327.3680420000001</v>
      </c>
      <c r="J1610">
        <v>1288.5913086</v>
      </c>
      <c r="K1610">
        <v>2400</v>
      </c>
      <c r="L1610">
        <v>0</v>
      </c>
      <c r="M1610">
        <v>0</v>
      </c>
      <c r="N1610">
        <v>2400</v>
      </c>
    </row>
    <row r="1611" spans="1:14" x14ac:dyDescent="0.25">
      <c r="A1611">
        <v>1096.0010930000001</v>
      </c>
      <c r="B1611" s="1">
        <f>DATE(2013,5,1) + TIME(0,1,34)</f>
        <v>41395.001087962963</v>
      </c>
      <c r="C1611">
        <v>80</v>
      </c>
      <c r="D1611">
        <v>59.118297577</v>
      </c>
      <c r="E1611">
        <v>50</v>
      </c>
      <c r="F1611">
        <v>49.973003386999999</v>
      </c>
      <c r="G1611">
        <v>1386.1176757999999</v>
      </c>
      <c r="H1611">
        <v>1349.8334961</v>
      </c>
      <c r="I1611">
        <v>1307.958374</v>
      </c>
      <c r="J1611">
        <v>1270.369751</v>
      </c>
      <c r="K1611">
        <v>2400</v>
      </c>
      <c r="L1611">
        <v>0</v>
      </c>
      <c r="M1611">
        <v>0</v>
      </c>
      <c r="N1611">
        <v>2400</v>
      </c>
    </row>
    <row r="1612" spans="1:14" x14ac:dyDescent="0.25">
      <c r="A1612">
        <v>1096.0032799999999</v>
      </c>
      <c r="B1612" s="1">
        <f>DATE(2013,5,1) + TIME(0,4,43)</f>
        <v>41395.003275462965</v>
      </c>
      <c r="C1612">
        <v>80</v>
      </c>
      <c r="D1612">
        <v>59.238037108999997</v>
      </c>
      <c r="E1612">
        <v>50</v>
      </c>
      <c r="F1612">
        <v>49.970619202000002</v>
      </c>
      <c r="G1612">
        <v>1403.0689697</v>
      </c>
      <c r="H1612">
        <v>1367.5167236</v>
      </c>
      <c r="I1612">
        <v>1291.0339355000001</v>
      </c>
      <c r="J1612">
        <v>1254.4667969</v>
      </c>
      <c r="K1612">
        <v>2400</v>
      </c>
      <c r="L1612">
        <v>0</v>
      </c>
      <c r="M1612">
        <v>0</v>
      </c>
      <c r="N1612">
        <v>2400</v>
      </c>
    </row>
    <row r="1613" spans="1:14" x14ac:dyDescent="0.25">
      <c r="A1613">
        <v>1096.0098410000001</v>
      </c>
      <c r="B1613" s="1">
        <f>DATE(2013,5,1) + TIME(0,14,10)</f>
        <v>41395.009837962964</v>
      </c>
      <c r="C1613">
        <v>80</v>
      </c>
      <c r="D1613">
        <v>59.583019256999997</v>
      </c>
      <c r="E1613">
        <v>50</v>
      </c>
      <c r="F1613">
        <v>49.968048095999997</v>
      </c>
      <c r="G1613">
        <v>1418.3218993999999</v>
      </c>
      <c r="H1613">
        <v>1383.3104248</v>
      </c>
      <c r="I1613">
        <v>1276.6688231999999</v>
      </c>
      <c r="J1613">
        <v>1240.5665283000001</v>
      </c>
      <c r="K1613">
        <v>2400</v>
      </c>
      <c r="L1613">
        <v>0</v>
      </c>
      <c r="M1613">
        <v>0</v>
      </c>
      <c r="N1613">
        <v>2400</v>
      </c>
    </row>
    <row r="1614" spans="1:14" x14ac:dyDescent="0.25">
      <c r="A1614">
        <v>1096.0216129999999</v>
      </c>
      <c r="B1614" s="1">
        <f>DATE(2013,5,1) + TIME(0,31,7)</f>
        <v>41395.021608796298</v>
      </c>
      <c r="C1614">
        <v>80</v>
      </c>
      <c r="D1614">
        <v>60.179622649999999</v>
      </c>
      <c r="E1614">
        <v>50</v>
      </c>
      <c r="F1614">
        <v>49.965518951</v>
      </c>
      <c r="G1614">
        <v>1428.2198486</v>
      </c>
      <c r="H1614">
        <v>1393.6346435999999</v>
      </c>
      <c r="I1614">
        <v>1267.4020995999999</v>
      </c>
      <c r="J1614">
        <v>1231.3770752</v>
      </c>
      <c r="K1614">
        <v>2400</v>
      </c>
      <c r="L1614">
        <v>0</v>
      </c>
      <c r="M1614">
        <v>0</v>
      </c>
      <c r="N1614">
        <v>2400</v>
      </c>
    </row>
    <row r="1615" spans="1:14" x14ac:dyDescent="0.25">
      <c r="A1615">
        <v>1096.033643</v>
      </c>
      <c r="B1615" s="1">
        <f>DATE(2013,5,1) + TIME(0,48,26)</f>
        <v>41395.033634259256</v>
      </c>
      <c r="C1615">
        <v>80</v>
      </c>
      <c r="D1615">
        <v>60.769371032999999</v>
      </c>
      <c r="E1615">
        <v>50</v>
      </c>
      <c r="F1615">
        <v>49.963558196999998</v>
      </c>
      <c r="G1615">
        <v>1432.9375</v>
      </c>
      <c r="H1615">
        <v>1398.7075195</v>
      </c>
      <c r="I1615">
        <v>1262.940918</v>
      </c>
      <c r="J1615">
        <v>1226.9139404</v>
      </c>
      <c r="K1615">
        <v>2400</v>
      </c>
      <c r="L1615">
        <v>0</v>
      </c>
      <c r="M1615">
        <v>0</v>
      </c>
      <c r="N1615">
        <v>2400</v>
      </c>
    </row>
    <row r="1616" spans="1:14" x14ac:dyDescent="0.25">
      <c r="A1616">
        <v>1096.045963</v>
      </c>
      <c r="B1616" s="1">
        <f>DATE(2013,5,1) + TIME(1,6,11)</f>
        <v>41395.045960648145</v>
      </c>
      <c r="C1616">
        <v>80</v>
      </c>
      <c r="D1616">
        <v>61.353931426999999</v>
      </c>
      <c r="E1616">
        <v>50</v>
      </c>
      <c r="F1616">
        <v>49.961837768999999</v>
      </c>
      <c r="G1616">
        <v>1435.3466797000001</v>
      </c>
      <c r="H1616">
        <v>1401.4628906</v>
      </c>
      <c r="I1616">
        <v>1260.6125488</v>
      </c>
      <c r="J1616">
        <v>1224.5782471</v>
      </c>
      <c r="K1616">
        <v>2400</v>
      </c>
      <c r="L1616">
        <v>0</v>
      </c>
      <c r="M1616">
        <v>0</v>
      </c>
      <c r="N1616">
        <v>2400</v>
      </c>
    </row>
    <row r="1617" spans="1:14" x14ac:dyDescent="0.25">
      <c r="A1617">
        <v>1096.0585880000001</v>
      </c>
      <c r="B1617" s="1">
        <f>DATE(2013,5,1) + TIME(1,24,22)</f>
        <v>41395.058587962965</v>
      </c>
      <c r="C1617">
        <v>80</v>
      </c>
      <c r="D1617">
        <v>61.933353424000003</v>
      </c>
      <c r="E1617">
        <v>50</v>
      </c>
      <c r="F1617">
        <v>49.960224152000002</v>
      </c>
      <c r="G1617">
        <v>1436.5350341999999</v>
      </c>
      <c r="H1617">
        <v>1402.9936522999999</v>
      </c>
      <c r="I1617">
        <v>1259.3846435999999</v>
      </c>
      <c r="J1617">
        <v>1223.3452147999999</v>
      </c>
      <c r="K1617">
        <v>2400</v>
      </c>
      <c r="L1617">
        <v>0</v>
      </c>
      <c r="M1617">
        <v>0</v>
      </c>
      <c r="N1617">
        <v>2400</v>
      </c>
    </row>
    <row r="1618" spans="1:14" x14ac:dyDescent="0.25">
      <c r="A1618">
        <v>1096.0715339999999</v>
      </c>
      <c r="B1618" s="1">
        <f>DATE(2013,5,1) + TIME(1,43,0)</f>
        <v>41395.071527777778</v>
      </c>
      <c r="C1618">
        <v>80</v>
      </c>
      <c r="D1618">
        <v>62.507625580000003</v>
      </c>
      <c r="E1618">
        <v>50</v>
      </c>
      <c r="F1618">
        <v>49.958660125999998</v>
      </c>
      <c r="G1618">
        <v>1437.0292969</v>
      </c>
      <c r="H1618">
        <v>1403.8251952999999</v>
      </c>
      <c r="I1618">
        <v>1258.7512207</v>
      </c>
      <c r="J1618">
        <v>1222.7087402</v>
      </c>
      <c r="K1618">
        <v>2400</v>
      </c>
      <c r="L1618">
        <v>0</v>
      </c>
      <c r="M1618">
        <v>0</v>
      </c>
      <c r="N1618">
        <v>2400</v>
      </c>
    </row>
    <row r="1619" spans="1:14" x14ac:dyDescent="0.25">
      <c r="A1619">
        <v>1096.0848169999999</v>
      </c>
      <c r="B1619" s="1">
        <f>DATE(2013,5,1) + TIME(2,2,8)</f>
        <v>41395.084814814814</v>
      </c>
      <c r="C1619">
        <v>80</v>
      </c>
      <c r="D1619">
        <v>63.076789855999998</v>
      </c>
      <c r="E1619">
        <v>50</v>
      </c>
      <c r="F1619">
        <v>49.957103729000004</v>
      </c>
      <c r="G1619">
        <v>1437.1171875</v>
      </c>
      <c r="H1619">
        <v>1404.2441406</v>
      </c>
      <c r="I1619">
        <v>1258.4401855000001</v>
      </c>
      <c r="J1619">
        <v>1222.3959961</v>
      </c>
      <c r="K1619">
        <v>2400</v>
      </c>
      <c r="L1619">
        <v>0</v>
      </c>
      <c r="M1619">
        <v>0</v>
      </c>
      <c r="N1619">
        <v>2400</v>
      </c>
    </row>
    <row r="1620" spans="1:14" x14ac:dyDescent="0.25">
      <c r="A1620">
        <v>1096.098461</v>
      </c>
      <c r="B1620" s="1">
        <f>DATE(2013,5,1) + TIME(2,21,47)</f>
        <v>41395.098460648151</v>
      </c>
      <c r="C1620">
        <v>80</v>
      </c>
      <c r="D1620">
        <v>63.64094162</v>
      </c>
      <c r="E1620">
        <v>50</v>
      </c>
      <c r="F1620">
        <v>49.955543517999999</v>
      </c>
      <c r="G1620">
        <v>1436.9645995999999</v>
      </c>
      <c r="H1620">
        <v>1404.4158935999999</v>
      </c>
      <c r="I1620">
        <v>1258.3010254000001</v>
      </c>
      <c r="J1620">
        <v>1222.2557373</v>
      </c>
      <c r="K1620">
        <v>2400</v>
      </c>
      <c r="L1620">
        <v>0</v>
      </c>
      <c r="M1620">
        <v>0</v>
      </c>
      <c r="N1620">
        <v>2400</v>
      </c>
    </row>
    <row r="1621" spans="1:14" x14ac:dyDescent="0.25">
      <c r="A1621">
        <v>1096.1124930000001</v>
      </c>
      <c r="B1621" s="1">
        <f>DATE(2013,5,1) + TIME(2,41,59)</f>
        <v>41395.112488425926</v>
      </c>
      <c r="C1621">
        <v>80</v>
      </c>
      <c r="D1621">
        <v>64.200393676999994</v>
      </c>
      <c r="E1621">
        <v>50</v>
      </c>
      <c r="F1621">
        <v>49.953964233000001</v>
      </c>
      <c r="G1621">
        <v>1436.6697998</v>
      </c>
      <c r="H1621">
        <v>1404.4383545000001</v>
      </c>
      <c r="I1621">
        <v>1258.2501221</v>
      </c>
      <c r="J1621">
        <v>1222.2043457</v>
      </c>
      <c r="K1621">
        <v>2400</v>
      </c>
      <c r="L1621">
        <v>0</v>
      </c>
      <c r="M1621">
        <v>0</v>
      </c>
      <c r="N1621">
        <v>2400</v>
      </c>
    </row>
    <row r="1622" spans="1:14" x14ac:dyDescent="0.25">
      <c r="A1622">
        <v>1096.126937</v>
      </c>
      <c r="B1622" s="1">
        <f>DATE(2013,5,1) + TIME(3,2,47)</f>
        <v>41395.126932870371</v>
      </c>
      <c r="C1622">
        <v>80</v>
      </c>
      <c r="D1622">
        <v>64.755195618000002</v>
      </c>
      <c r="E1622">
        <v>50</v>
      </c>
      <c r="F1622">
        <v>49.952354431000003</v>
      </c>
      <c r="G1622">
        <v>1436.2913818</v>
      </c>
      <c r="H1622">
        <v>1404.3702393000001</v>
      </c>
      <c r="I1622">
        <v>1258.2420654</v>
      </c>
      <c r="J1622">
        <v>1222.1958007999999</v>
      </c>
      <c r="K1622">
        <v>2400</v>
      </c>
      <c r="L1622">
        <v>0</v>
      </c>
      <c r="M1622">
        <v>0</v>
      </c>
      <c r="N1622">
        <v>2400</v>
      </c>
    </row>
    <row r="1623" spans="1:14" x14ac:dyDescent="0.25">
      <c r="A1623">
        <v>1096.1418229999999</v>
      </c>
      <c r="B1623" s="1">
        <f>DATE(2013,5,1) + TIME(3,24,13)</f>
        <v>41395.141817129632</v>
      </c>
      <c r="C1623">
        <v>80</v>
      </c>
      <c r="D1623">
        <v>65.305496215999995</v>
      </c>
      <c r="E1623">
        <v>50</v>
      </c>
      <c r="F1623">
        <v>49.950710297000001</v>
      </c>
      <c r="G1623">
        <v>1435.8647461</v>
      </c>
      <c r="H1623">
        <v>1404.2468262</v>
      </c>
      <c r="I1623">
        <v>1258.2523193</v>
      </c>
      <c r="J1623">
        <v>1222.2056885</v>
      </c>
      <c r="K1623">
        <v>2400</v>
      </c>
      <c r="L1623">
        <v>0</v>
      </c>
      <c r="M1623">
        <v>0</v>
      </c>
      <c r="N1623">
        <v>2400</v>
      </c>
    </row>
    <row r="1624" spans="1:14" x14ac:dyDescent="0.25">
      <c r="A1624">
        <v>1096.157183</v>
      </c>
      <c r="B1624" s="1">
        <f>DATE(2013,5,1) + TIME(3,46,20)</f>
        <v>41395.157175925924</v>
      </c>
      <c r="C1624">
        <v>80</v>
      </c>
      <c r="D1624">
        <v>65.851440429999997</v>
      </c>
      <c r="E1624">
        <v>50</v>
      </c>
      <c r="F1624">
        <v>49.949028015000003</v>
      </c>
      <c r="G1624">
        <v>1435.4112548999999</v>
      </c>
      <c r="H1624">
        <v>1404.0897216999999</v>
      </c>
      <c r="I1624">
        <v>1258.2686768000001</v>
      </c>
      <c r="J1624">
        <v>1222.2218018000001</v>
      </c>
      <c r="K1624">
        <v>2400</v>
      </c>
      <c r="L1624">
        <v>0</v>
      </c>
      <c r="M1624">
        <v>0</v>
      </c>
      <c r="N1624">
        <v>2400</v>
      </c>
    </row>
    <row r="1625" spans="1:14" x14ac:dyDescent="0.25">
      <c r="A1625">
        <v>1096.173055</v>
      </c>
      <c r="B1625" s="1">
        <f>DATE(2013,5,1) + TIME(4,9,11)</f>
        <v>41395.173043981478</v>
      </c>
      <c r="C1625">
        <v>80</v>
      </c>
      <c r="D1625">
        <v>66.393135071000003</v>
      </c>
      <c r="E1625">
        <v>50</v>
      </c>
      <c r="F1625">
        <v>49.947307586999997</v>
      </c>
      <c r="G1625">
        <v>1434.9439697</v>
      </c>
      <c r="H1625">
        <v>1403.9121094</v>
      </c>
      <c r="I1625">
        <v>1258.2852783000001</v>
      </c>
      <c r="J1625">
        <v>1222.2380370999999</v>
      </c>
      <c r="K1625">
        <v>2400</v>
      </c>
      <c r="L1625">
        <v>0</v>
      </c>
      <c r="M1625">
        <v>0</v>
      </c>
      <c r="N1625">
        <v>2400</v>
      </c>
    </row>
    <row r="1626" spans="1:14" x14ac:dyDescent="0.25">
      <c r="A1626">
        <v>1096.18948</v>
      </c>
      <c r="B1626" s="1">
        <f>DATE(2013,5,1) + TIME(4,32,51)</f>
        <v>41395.189479166664</v>
      </c>
      <c r="C1626">
        <v>80</v>
      </c>
      <c r="D1626">
        <v>66.930725097999996</v>
      </c>
      <c r="E1626">
        <v>50</v>
      </c>
      <c r="F1626">
        <v>49.945537567000002</v>
      </c>
      <c r="G1626">
        <v>1434.4707031</v>
      </c>
      <c r="H1626">
        <v>1403.722168</v>
      </c>
      <c r="I1626">
        <v>1258.2995605000001</v>
      </c>
      <c r="J1626">
        <v>1222.2520752</v>
      </c>
      <c r="K1626">
        <v>2400</v>
      </c>
      <c r="L1626">
        <v>0</v>
      </c>
      <c r="M1626">
        <v>0</v>
      </c>
      <c r="N1626">
        <v>2400</v>
      </c>
    </row>
    <row r="1627" spans="1:14" x14ac:dyDescent="0.25">
      <c r="A1627">
        <v>1096.206504</v>
      </c>
      <c r="B1627" s="1">
        <f>DATE(2013,5,1) + TIME(4,57,21)</f>
        <v>41395.206493055557</v>
      </c>
      <c r="C1627">
        <v>80</v>
      </c>
      <c r="D1627">
        <v>67.464370728000006</v>
      </c>
      <c r="E1627">
        <v>50</v>
      </c>
      <c r="F1627">
        <v>49.943721771</v>
      </c>
      <c r="G1627">
        <v>1433.9962158000001</v>
      </c>
      <c r="H1627">
        <v>1403.5249022999999</v>
      </c>
      <c r="I1627">
        <v>1258.3109131000001</v>
      </c>
      <c r="J1627">
        <v>1222.2631836</v>
      </c>
      <c r="K1627">
        <v>2400</v>
      </c>
      <c r="L1627">
        <v>0</v>
      </c>
      <c r="M1627">
        <v>0</v>
      </c>
      <c r="N1627">
        <v>2400</v>
      </c>
    </row>
    <row r="1628" spans="1:14" x14ac:dyDescent="0.25">
      <c r="A1628">
        <v>1096.224179</v>
      </c>
      <c r="B1628" s="1">
        <f>DATE(2013,5,1) + TIME(5,22,49)</f>
        <v>41395.224178240744</v>
      </c>
      <c r="C1628">
        <v>80</v>
      </c>
      <c r="D1628">
        <v>67.994209290000001</v>
      </c>
      <c r="E1628">
        <v>50</v>
      </c>
      <c r="F1628">
        <v>49.941852570000002</v>
      </c>
      <c r="G1628">
        <v>1433.5236815999999</v>
      </c>
      <c r="H1628">
        <v>1403.3234863</v>
      </c>
      <c r="I1628">
        <v>1258.3194579999999</v>
      </c>
      <c r="J1628">
        <v>1222.2714844</v>
      </c>
      <c r="K1628">
        <v>2400</v>
      </c>
      <c r="L1628">
        <v>0</v>
      </c>
      <c r="M1628">
        <v>0</v>
      </c>
      <c r="N1628">
        <v>2400</v>
      </c>
    </row>
    <row r="1629" spans="1:14" x14ac:dyDescent="0.25">
      <c r="A1629">
        <v>1096.2425639999999</v>
      </c>
      <c r="B1629" s="1">
        <f>DATE(2013,5,1) + TIME(5,49,17)</f>
        <v>41395.24255787037</v>
      </c>
      <c r="C1629">
        <v>80</v>
      </c>
      <c r="D1629">
        <v>68.520401000999996</v>
      </c>
      <c r="E1629">
        <v>50</v>
      </c>
      <c r="F1629">
        <v>49.939922332999998</v>
      </c>
      <c r="G1629">
        <v>1433.0546875</v>
      </c>
      <c r="H1629">
        <v>1403.1199951000001</v>
      </c>
      <c r="I1629">
        <v>1258.3256836</v>
      </c>
      <c r="J1629">
        <v>1222.2773437999999</v>
      </c>
      <c r="K1629">
        <v>2400</v>
      </c>
      <c r="L1629">
        <v>0</v>
      </c>
      <c r="M1629">
        <v>0</v>
      </c>
      <c r="N1629">
        <v>2400</v>
      </c>
    </row>
    <row r="1630" spans="1:14" x14ac:dyDescent="0.25">
      <c r="A1630">
        <v>1096.261726</v>
      </c>
      <c r="B1630" s="1">
        <f>DATE(2013,5,1) + TIME(6,16,53)</f>
        <v>41395.261724537035</v>
      </c>
      <c r="C1630">
        <v>80</v>
      </c>
      <c r="D1630">
        <v>69.043067932</v>
      </c>
      <c r="E1630">
        <v>50</v>
      </c>
      <c r="F1630">
        <v>49.937931061</v>
      </c>
      <c r="G1630">
        <v>1432.5904541</v>
      </c>
      <c r="H1630">
        <v>1402.9156493999999</v>
      </c>
      <c r="I1630">
        <v>1258.3299560999999</v>
      </c>
      <c r="J1630">
        <v>1222.2813721</v>
      </c>
      <c r="K1630">
        <v>2400</v>
      </c>
      <c r="L1630">
        <v>0</v>
      </c>
      <c r="M1630">
        <v>0</v>
      </c>
      <c r="N1630">
        <v>2400</v>
      </c>
    </row>
    <row r="1631" spans="1:14" x14ac:dyDescent="0.25">
      <c r="A1631">
        <v>1096.2817460000001</v>
      </c>
      <c r="B1631" s="1">
        <f>DATE(2013,5,1) + TIME(6,45,42)</f>
        <v>41395.281736111108</v>
      </c>
      <c r="C1631">
        <v>80</v>
      </c>
      <c r="D1631">
        <v>69.562477111999996</v>
      </c>
      <c r="E1631">
        <v>50</v>
      </c>
      <c r="F1631">
        <v>49.935867309999999</v>
      </c>
      <c r="G1631">
        <v>1432.1313477000001</v>
      </c>
      <c r="H1631">
        <v>1402.7113036999999</v>
      </c>
      <c r="I1631">
        <v>1258.3326416</v>
      </c>
      <c r="J1631">
        <v>1222.2838135</v>
      </c>
      <c r="K1631">
        <v>2400</v>
      </c>
      <c r="L1631">
        <v>0</v>
      </c>
      <c r="M1631">
        <v>0</v>
      </c>
      <c r="N1631">
        <v>2400</v>
      </c>
    </row>
    <row r="1632" spans="1:14" x14ac:dyDescent="0.25">
      <c r="A1632">
        <v>1096.3027159999999</v>
      </c>
      <c r="B1632" s="1">
        <f>DATE(2013,5,1) + TIME(7,15,54)</f>
        <v>41395.302708333336</v>
      </c>
      <c r="C1632">
        <v>80</v>
      </c>
      <c r="D1632">
        <v>70.078819275000001</v>
      </c>
      <c r="E1632">
        <v>50</v>
      </c>
      <c r="F1632">
        <v>49.933731078999998</v>
      </c>
      <c r="G1632">
        <v>1431.6773682</v>
      </c>
      <c r="H1632">
        <v>1402.5070800999999</v>
      </c>
      <c r="I1632">
        <v>1258.3344727000001</v>
      </c>
      <c r="J1632">
        <v>1222.2852783000001</v>
      </c>
      <c r="K1632">
        <v>2400</v>
      </c>
      <c r="L1632">
        <v>0</v>
      </c>
      <c r="M1632">
        <v>0</v>
      </c>
      <c r="N1632">
        <v>2400</v>
      </c>
    </row>
    <row r="1633" spans="1:14" x14ac:dyDescent="0.25">
      <c r="A1633">
        <v>1096.32473</v>
      </c>
      <c r="B1633" s="1">
        <f>DATE(2013,5,1) + TIME(7,47,36)</f>
        <v>41395.32472222222</v>
      </c>
      <c r="C1633">
        <v>80</v>
      </c>
      <c r="D1633">
        <v>70.591728209999999</v>
      </c>
      <c r="E1633">
        <v>50</v>
      </c>
      <c r="F1633">
        <v>49.931503296000002</v>
      </c>
      <c r="G1633">
        <v>1431.2290039</v>
      </c>
      <c r="H1633">
        <v>1402.3034668</v>
      </c>
      <c r="I1633">
        <v>1258.3353271000001</v>
      </c>
      <c r="J1633">
        <v>1222.2858887</v>
      </c>
      <c r="K1633">
        <v>2400</v>
      </c>
      <c r="L1633">
        <v>0</v>
      </c>
      <c r="M1633">
        <v>0</v>
      </c>
      <c r="N1633">
        <v>2400</v>
      </c>
    </row>
    <row r="1634" spans="1:14" x14ac:dyDescent="0.25">
      <c r="A1634">
        <v>1096.3479030000001</v>
      </c>
      <c r="B1634" s="1">
        <f>DATE(2013,5,1) + TIME(8,20,58)</f>
        <v>41395.347893518519</v>
      </c>
      <c r="C1634">
        <v>80</v>
      </c>
      <c r="D1634">
        <v>71.101615906000006</v>
      </c>
      <c r="E1634">
        <v>50</v>
      </c>
      <c r="F1634">
        <v>49.929187775000003</v>
      </c>
      <c r="G1634">
        <v>1430.7858887</v>
      </c>
      <c r="H1634">
        <v>1402.1003418</v>
      </c>
      <c r="I1634">
        <v>1258.3356934000001</v>
      </c>
      <c r="J1634">
        <v>1222.2858887</v>
      </c>
      <c r="K1634">
        <v>2400</v>
      </c>
      <c r="L1634">
        <v>0</v>
      </c>
      <c r="M1634">
        <v>0</v>
      </c>
      <c r="N1634">
        <v>2400</v>
      </c>
    </row>
    <row r="1635" spans="1:14" x14ac:dyDescent="0.25">
      <c r="A1635">
        <v>1096.3723749999999</v>
      </c>
      <c r="B1635" s="1">
        <f>DATE(2013,5,1) + TIME(8,56,13)</f>
        <v>41395.372372685182</v>
      </c>
      <c r="C1635">
        <v>80</v>
      </c>
      <c r="D1635">
        <v>71.608581543</v>
      </c>
      <c r="E1635">
        <v>50</v>
      </c>
      <c r="F1635">
        <v>49.926765441999997</v>
      </c>
      <c r="G1635">
        <v>1430.3477783000001</v>
      </c>
      <c r="H1635">
        <v>1401.8978271000001</v>
      </c>
      <c r="I1635">
        <v>1258.3356934000001</v>
      </c>
      <c r="J1635">
        <v>1222.2855225000001</v>
      </c>
      <c r="K1635">
        <v>2400</v>
      </c>
      <c r="L1635">
        <v>0</v>
      </c>
      <c r="M1635">
        <v>0</v>
      </c>
      <c r="N1635">
        <v>2400</v>
      </c>
    </row>
    <row r="1636" spans="1:14" x14ac:dyDescent="0.25">
      <c r="A1636">
        <v>1096.3983049999999</v>
      </c>
      <c r="B1636" s="1">
        <f>DATE(2013,5,1) + TIME(9,33,33)</f>
        <v>41395.398298611108</v>
      </c>
      <c r="C1636">
        <v>80</v>
      </c>
      <c r="D1636">
        <v>72.112724303999997</v>
      </c>
      <c r="E1636">
        <v>50</v>
      </c>
      <c r="F1636">
        <v>49.924224854000002</v>
      </c>
      <c r="G1636">
        <v>1429.9143065999999</v>
      </c>
      <c r="H1636">
        <v>1401.6956786999999</v>
      </c>
      <c r="I1636">
        <v>1258.3354492000001</v>
      </c>
      <c r="J1636">
        <v>1222.2849120999999</v>
      </c>
      <c r="K1636">
        <v>2400</v>
      </c>
      <c r="L1636">
        <v>0</v>
      </c>
      <c r="M1636">
        <v>0</v>
      </c>
      <c r="N1636">
        <v>2400</v>
      </c>
    </row>
    <row r="1637" spans="1:14" x14ac:dyDescent="0.25">
      <c r="A1637">
        <v>1096.4258830000001</v>
      </c>
      <c r="B1637" s="1">
        <f>DATE(2013,5,1) + TIME(10,13,16)</f>
        <v>41395.425879629627</v>
      </c>
      <c r="C1637">
        <v>80</v>
      </c>
      <c r="D1637">
        <v>72.614006042</v>
      </c>
      <c r="E1637">
        <v>50</v>
      </c>
      <c r="F1637">
        <v>49.921554565000001</v>
      </c>
      <c r="G1637">
        <v>1429.4852295000001</v>
      </c>
      <c r="H1637">
        <v>1401.4936522999999</v>
      </c>
      <c r="I1637">
        <v>1258.3349608999999</v>
      </c>
      <c r="J1637">
        <v>1222.2839355000001</v>
      </c>
      <c r="K1637">
        <v>2400</v>
      </c>
      <c r="L1637">
        <v>0</v>
      </c>
      <c r="M1637">
        <v>0</v>
      </c>
      <c r="N1637">
        <v>2400</v>
      </c>
    </row>
    <row r="1638" spans="1:14" x14ac:dyDescent="0.25">
      <c r="A1638">
        <v>1096.455346</v>
      </c>
      <c r="B1638" s="1">
        <f>DATE(2013,5,1) + TIME(10,55,41)</f>
        <v>41395.455335648148</v>
      </c>
      <c r="C1638">
        <v>80</v>
      </c>
      <c r="D1638">
        <v>73.112594603999995</v>
      </c>
      <c r="E1638">
        <v>50</v>
      </c>
      <c r="F1638">
        <v>49.918731688999998</v>
      </c>
      <c r="G1638">
        <v>1429.0599365</v>
      </c>
      <c r="H1638">
        <v>1401.2915039</v>
      </c>
      <c r="I1638">
        <v>1258.3342285000001</v>
      </c>
      <c r="J1638">
        <v>1222.2828368999999</v>
      </c>
      <c r="K1638">
        <v>2400</v>
      </c>
      <c r="L1638">
        <v>0</v>
      </c>
      <c r="M1638">
        <v>0</v>
      </c>
      <c r="N1638">
        <v>2400</v>
      </c>
    </row>
    <row r="1639" spans="1:14" x14ac:dyDescent="0.25">
      <c r="A1639">
        <v>1096.4869779999999</v>
      </c>
      <c r="B1639" s="1">
        <f>DATE(2013,5,1) + TIME(11,41,14)</f>
        <v>41395.486967592595</v>
      </c>
      <c r="C1639">
        <v>80</v>
      </c>
      <c r="D1639">
        <v>73.608512877999999</v>
      </c>
      <c r="E1639">
        <v>50</v>
      </c>
      <c r="F1639">
        <v>49.915740966999998</v>
      </c>
      <c r="G1639">
        <v>1428.6379394999999</v>
      </c>
      <c r="H1639">
        <v>1401.0887451000001</v>
      </c>
      <c r="I1639">
        <v>1258.3334961</v>
      </c>
      <c r="J1639">
        <v>1222.2816161999999</v>
      </c>
      <c r="K1639">
        <v>2400</v>
      </c>
      <c r="L1639">
        <v>0</v>
      </c>
      <c r="M1639">
        <v>0</v>
      </c>
      <c r="N1639">
        <v>2400</v>
      </c>
    </row>
    <row r="1640" spans="1:14" x14ac:dyDescent="0.25">
      <c r="A1640">
        <v>1096.5211280000001</v>
      </c>
      <c r="B1640" s="1">
        <f>DATE(2013,5,1) + TIME(12,30,25)</f>
        <v>41395.521122685182</v>
      </c>
      <c r="C1640">
        <v>80</v>
      </c>
      <c r="D1640">
        <v>74.101753235000004</v>
      </c>
      <c r="E1640">
        <v>50</v>
      </c>
      <c r="F1640">
        <v>49.912551880000002</v>
      </c>
      <c r="G1640">
        <v>1428.2186279</v>
      </c>
      <c r="H1640">
        <v>1400.8848877</v>
      </c>
      <c r="I1640">
        <v>1258.3325195</v>
      </c>
      <c r="J1640">
        <v>1222.2802733999999</v>
      </c>
      <c r="K1640">
        <v>2400</v>
      </c>
      <c r="L1640">
        <v>0</v>
      </c>
      <c r="M1640">
        <v>0</v>
      </c>
      <c r="N1640">
        <v>2400</v>
      </c>
    </row>
    <row r="1641" spans="1:14" x14ac:dyDescent="0.25">
      <c r="A1641">
        <v>1096.5582360000001</v>
      </c>
      <c r="B1641" s="1">
        <f>DATE(2013,5,1) + TIME(13,23,51)</f>
        <v>41395.558229166665</v>
      </c>
      <c r="C1641">
        <v>80</v>
      </c>
      <c r="D1641">
        <v>74.592262267999999</v>
      </c>
      <c r="E1641">
        <v>50</v>
      </c>
      <c r="F1641">
        <v>49.909130095999998</v>
      </c>
      <c r="G1641">
        <v>1427.8013916</v>
      </c>
      <c r="H1641">
        <v>1400.6795654</v>
      </c>
      <c r="I1641">
        <v>1258.331543</v>
      </c>
      <c r="J1641">
        <v>1222.2788086</v>
      </c>
      <c r="K1641">
        <v>2400</v>
      </c>
      <c r="L1641">
        <v>0</v>
      </c>
      <c r="M1641">
        <v>0</v>
      </c>
      <c r="N1641">
        <v>2400</v>
      </c>
    </row>
    <row r="1642" spans="1:14" x14ac:dyDescent="0.25">
      <c r="A1642">
        <v>1096.598882</v>
      </c>
      <c r="B1642" s="1">
        <f>DATE(2013,5,1) + TIME(14,22,23)</f>
        <v>41395.598877314813</v>
      </c>
      <c r="C1642">
        <v>80</v>
      </c>
      <c r="D1642">
        <v>75.080085753999995</v>
      </c>
      <c r="E1642">
        <v>50</v>
      </c>
      <c r="F1642">
        <v>49.905441283999998</v>
      </c>
      <c r="G1642">
        <v>1427.3852539</v>
      </c>
      <c r="H1642">
        <v>1400.4719238</v>
      </c>
      <c r="I1642">
        <v>1258.3304443</v>
      </c>
      <c r="J1642">
        <v>1222.2770995999999</v>
      </c>
      <c r="K1642">
        <v>2400</v>
      </c>
      <c r="L1642">
        <v>0</v>
      </c>
      <c r="M1642">
        <v>0</v>
      </c>
      <c r="N1642">
        <v>2400</v>
      </c>
    </row>
    <row r="1643" spans="1:14" x14ac:dyDescent="0.25">
      <c r="A1643">
        <v>1096.643787</v>
      </c>
      <c r="B1643" s="1">
        <f>DATE(2013,5,1) + TIME(15,27,3)</f>
        <v>41395.643784722219</v>
      </c>
      <c r="C1643">
        <v>80</v>
      </c>
      <c r="D1643">
        <v>75.564628600999995</v>
      </c>
      <c r="E1643">
        <v>50</v>
      </c>
      <c r="F1643">
        <v>49.901424407999997</v>
      </c>
      <c r="G1643">
        <v>1426.9693603999999</v>
      </c>
      <c r="H1643">
        <v>1400.2612305</v>
      </c>
      <c r="I1643">
        <v>1258.3292236</v>
      </c>
      <c r="J1643">
        <v>1222.2752685999999</v>
      </c>
      <c r="K1643">
        <v>2400</v>
      </c>
      <c r="L1643">
        <v>0</v>
      </c>
      <c r="M1643">
        <v>0</v>
      </c>
      <c r="N1643">
        <v>2400</v>
      </c>
    </row>
    <row r="1644" spans="1:14" x14ac:dyDescent="0.25">
      <c r="A1644">
        <v>1096.693912</v>
      </c>
      <c r="B1644" s="1">
        <f>DATE(2013,5,1) + TIME(16,39,14)</f>
        <v>41395.693912037037</v>
      </c>
      <c r="C1644">
        <v>80</v>
      </c>
      <c r="D1644">
        <v>76.045692443999997</v>
      </c>
      <c r="E1644">
        <v>50</v>
      </c>
      <c r="F1644">
        <v>49.897018433</v>
      </c>
      <c r="G1644">
        <v>1426.5527344</v>
      </c>
      <c r="H1644">
        <v>1400.0465088000001</v>
      </c>
      <c r="I1644">
        <v>1258.3277588000001</v>
      </c>
      <c r="J1644">
        <v>1222.2733154</v>
      </c>
      <c r="K1644">
        <v>2400</v>
      </c>
      <c r="L1644">
        <v>0</v>
      </c>
      <c r="M1644">
        <v>0</v>
      </c>
      <c r="N1644">
        <v>2400</v>
      </c>
    </row>
    <row r="1645" spans="1:14" x14ac:dyDescent="0.25">
      <c r="A1645">
        <v>1096.7468759999999</v>
      </c>
      <c r="B1645" s="1">
        <f>DATE(2013,5,1) + TIME(17,55,30)</f>
        <v>41395.746874999997</v>
      </c>
      <c r="C1645">
        <v>80</v>
      </c>
      <c r="D1645">
        <v>76.495132446</v>
      </c>
      <c r="E1645">
        <v>50</v>
      </c>
      <c r="F1645">
        <v>49.892417907999999</v>
      </c>
      <c r="G1645">
        <v>1426.1546631000001</v>
      </c>
      <c r="H1645">
        <v>1399.8354492000001</v>
      </c>
      <c r="I1645">
        <v>1258.3261719</v>
      </c>
      <c r="J1645">
        <v>1222.2711182</v>
      </c>
      <c r="K1645">
        <v>2400</v>
      </c>
      <c r="L1645">
        <v>0</v>
      </c>
      <c r="M1645">
        <v>0</v>
      </c>
      <c r="N1645">
        <v>2400</v>
      </c>
    </row>
    <row r="1646" spans="1:14" x14ac:dyDescent="0.25">
      <c r="A1646">
        <v>1096.8000039999999</v>
      </c>
      <c r="B1646" s="1">
        <f>DATE(2013,5,1) + TIME(19,12,0)</f>
        <v>41395.800000000003</v>
      </c>
      <c r="C1646">
        <v>80</v>
      </c>
      <c r="D1646">
        <v>76.893707274999997</v>
      </c>
      <c r="E1646">
        <v>50</v>
      </c>
      <c r="F1646">
        <v>49.887825012</v>
      </c>
      <c r="G1646">
        <v>1425.7913818</v>
      </c>
      <c r="H1646">
        <v>1399.6368408000001</v>
      </c>
      <c r="I1646">
        <v>1258.3244629000001</v>
      </c>
      <c r="J1646">
        <v>1222.2687988</v>
      </c>
      <c r="K1646">
        <v>2400</v>
      </c>
      <c r="L1646">
        <v>0</v>
      </c>
      <c r="M1646">
        <v>0</v>
      </c>
      <c r="N1646">
        <v>2400</v>
      </c>
    </row>
    <row r="1647" spans="1:14" x14ac:dyDescent="0.25">
      <c r="A1647">
        <v>1096.8536710000001</v>
      </c>
      <c r="B1647" s="1">
        <f>DATE(2013,5,1) + TIME(20,29,17)</f>
        <v>41395.853668981479</v>
      </c>
      <c r="C1647">
        <v>80</v>
      </c>
      <c r="D1647">
        <v>77.249336243000002</v>
      </c>
      <c r="E1647">
        <v>50</v>
      </c>
      <c r="F1647">
        <v>49.883216857999997</v>
      </c>
      <c r="G1647">
        <v>1425.4597168</v>
      </c>
      <c r="H1647">
        <v>1399.4520264</v>
      </c>
      <c r="I1647">
        <v>1258.3227539</v>
      </c>
      <c r="J1647">
        <v>1222.2663574000001</v>
      </c>
      <c r="K1647">
        <v>2400</v>
      </c>
      <c r="L1647">
        <v>0</v>
      </c>
      <c r="M1647">
        <v>0</v>
      </c>
      <c r="N1647">
        <v>2400</v>
      </c>
    </row>
    <row r="1648" spans="1:14" x14ac:dyDescent="0.25">
      <c r="A1648">
        <v>1096.908095</v>
      </c>
      <c r="B1648" s="1">
        <f>DATE(2013,5,1) + TIME(21,47,39)</f>
        <v>41395.908090277779</v>
      </c>
      <c r="C1648">
        <v>80</v>
      </c>
      <c r="D1648">
        <v>77.567428589000002</v>
      </c>
      <c r="E1648">
        <v>50</v>
      </c>
      <c r="F1648">
        <v>49.878570557000003</v>
      </c>
      <c r="G1648">
        <v>1425.1551514</v>
      </c>
      <c r="H1648">
        <v>1399.2784423999999</v>
      </c>
      <c r="I1648">
        <v>1258.3209228999999</v>
      </c>
      <c r="J1648">
        <v>1222.2640381000001</v>
      </c>
      <c r="K1648">
        <v>2400</v>
      </c>
      <c r="L1648">
        <v>0</v>
      </c>
      <c r="M1648">
        <v>0</v>
      </c>
      <c r="N1648">
        <v>2400</v>
      </c>
    </row>
    <row r="1649" spans="1:14" x14ac:dyDescent="0.25">
      <c r="A1649">
        <v>1096.9634900000001</v>
      </c>
      <c r="B1649" s="1">
        <f>DATE(2013,5,1) + TIME(23,7,25)</f>
        <v>41395.963483796295</v>
      </c>
      <c r="C1649">
        <v>80</v>
      </c>
      <c r="D1649">
        <v>77.852447510000005</v>
      </c>
      <c r="E1649">
        <v>50</v>
      </c>
      <c r="F1649">
        <v>49.873870850000003</v>
      </c>
      <c r="G1649">
        <v>1424.8736572</v>
      </c>
      <c r="H1649">
        <v>1399.114624</v>
      </c>
      <c r="I1649">
        <v>1258.3192139</v>
      </c>
      <c r="J1649">
        <v>1222.2617187999999</v>
      </c>
      <c r="K1649">
        <v>2400</v>
      </c>
      <c r="L1649">
        <v>0</v>
      </c>
      <c r="M1649">
        <v>0</v>
      </c>
      <c r="N1649">
        <v>2400</v>
      </c>
    </row>
    <row r="1650" spans="1:14" x14ac:dyDescent="0.25">
      <c r="A1650">
        <v>1097.0200709999999</v>
      </c>
      <c r="B1650" s="1">
        <f>DATE(2013,5,2) + TIME(0,28,54)</f>
        <v>41396.020069444443</v>
      </c>
      <c r="C1650">
        <v>80</v>
      </c>
      <c r="D1650">
        <v>78.108131408999995</v>
      </c>
      <c r="E1650">
        <v>50</v>
      </c>
      <c r="F1650">
        <v>49.869102478000002</v>
      </c>
      <c r="G1650">
        <v>1424.6121826000001</v>
      </c>
      <c r="H1650">
        <v>1398.9591064000001</v>
      </c>
      <c r="I1650">
        <v>1258.3173827999999</v>
      </c>
      <c r="J1650">
        <v>1222.2592772999999</v>
      </c>
      <c r="K1650">
        <v>2400</v>
      </c>
      <c r="L1650">
        <v>0</v>
      </c>
      <c r="M1650">
        <v>0</v>
      </c>
      <c r="N1650">
        <v>2400</v>
      </c>
    </row>
    <row r="1651" spans="1:14" x14ac:dyDescent="0.25">
      <c r="A1651">
        <v>1097.0780540000001</v>
      </c>
      <c r="B1651" s="1">
        <f>DATE(2013,5,2) + TIME(1,52,23)</f>
        <v>41396.078043981484</v>
      </c>
      <c r="C1651">
        <v>80</v>
      </c>
      <c r="D1651">
        <v>78.337593079000001</v>
      </c>
      <c r="E1651">
        <v>50</v>
      </c>
      <c r="F1651">
        <v>49.864250183000003</v>
      </c>
      <c r="G1651">
        <v>1424.3681641000001</v>
      </c>
      <c r="H1651">
        <v>1398.8106689000001</v>
      </c>
      <c r="I1651">
        <v>1258.3154297000001</v>
      </c>
      <c r="J1651">
        <v>1222.2567139</v>
      </c>
      <c r="K1651">
        <v>2400</v>
      </c>
      <c r="L1651">
        <v>0</v>
      </c>
      <c r="M1651">
        <v>0</v>
      </c>
      <c r="N1651">
        <v>2400</v>
      </c>
    </row>
    <row r="1652" spans="1:14" x14ac:dyDescent="0.25">
      <c r="A1652">
        <v>1097.1376660000001</v>
      </c>
      <c r="B1652" s="1">
        <f>DATE(2013,5,2) + TIME(3,18,14)</f>
        <v>41396.137662037036</v>
      </c>
      <c r="C1652">
        <v>80</v>
      </c>
      <c r="D1652">
        <v>78.543525696000003</v>
      </c>
      <c r="E1652">
        <v>50</v>
      </c>
      <c r="F1652">
        <v>49.859294890999998</v>
      </c>
      <c r="G1652">
        <v>1424.1391602000001</v>
      </c>
      <c r="H1652">
        <v>1398.6682129000001</v>
      </c>
      <c r="I1652">
        <v>1258.3135986</v>
      </c>
      <c r="J1652">
        <v>1222.2541504000001</v>
      </c>
      <c r="K1652">
        <v>2400</v>
      </c>
      <c r="L1652">
        <v>0</v>
      </c>
      <c r="M1652">
        <v>0</v>
      </c>
      <c r="N1652">
        <v>2400</v>
      </c>
    </row>
    <row r="1653" spans="1:14" x14ac:dyDescent="0.25">
      <c r="A1653">
        <v>1097.1991479999999</v>
      </c>
      <c r="B1653" s="1">
        <f>DATE(2013,5,2) + TIME(4,46,46)</f>
        <v>41396.199143518519</v>
      </c>
      <c r="C1653">
        <v>80</v>
      </c>
      <c r="D1653">
        <v>78.728210449000002</v>
      </c>
      <c r="E1653">
        <v>50</v>
      </c>
      <c r="F1653">
        <v>49.854221344000003</v>
      </c>
      <c r="G1653">
        <v>1423.9235839999999</v>
      </c>
      <c r="H1653">
        <v>1398.5308838000001</v>
      </c>
      <c r="I1653">
        <v>1258.3116454999999</v>
      </c>
      <c r="J1653">
        <v>1222.2515868999999</v>
      </c>
      <c r="K1653">
        <v>2400</v>
      </c>
      <c r="L1653">
        <v>0</v>
      </c>
      <c r="M1653">
        <v>0</v>
      </c>
      <c r="N1653">
        <v>2400</v>
      </c>
    </row>
    <row r="1654" spans="1:14" x14ac:dyDescent="0.25">
      <c r="A1654">
        <v>1097.2627910000001</v>
      </c>
      <c r="B1654" s="1">
        <f>DATE(2013,5,2) + TIME(6,18,25)</f>
        <v>41396.262789351851</v>
      </c>
      <c r="C1654">
        <v>80</v>
      </c>
      <c r="D1654">
        <v>78.893737793</v>
      </c>
      <c r="E1654">
        <v>50</v>
      </c>
      <c r="F1654">
        <v>49.849002837999997</v>
      </c>
      <c r="G1654">
        <v>1423.7193603999999</v>
      </c>
      <c r="H1654">
        <v>1398.3978271000001</v>
      </c>
      <c r="I1654">
        <v>1258.3095702999999</v>
      </c>
      <c r="J1654">
        <v>1222.2489014</v>
      </c>
      <c r="K1654">
        <v>2400</v>
      </c>
      <c r="L1654">
        <v>0</v>
      </c>
      <c r="M1654">
        <v>0</v>
      </c>
      <c r="N1654">
        <v>2400</v>
      </c>
    </row>
    <row r="1655" spans="1:14" x14ac:dyDescent="0.25">
      <c r="A1655">
        <v>1097.3288729999999</v>
      </c>
      <c r="B1655" s="1">
        <f>DATE(2013,5,2) + TIME(7,53,34)</f>
        <v>41396.328865740739</v>
      </c>
      <c r="C1655">
        <v>80</v>
      </c>
      <c r="D1655">
        <v>79.041801453000005</v>
      </c>
      <c r="E1655">
        <v>50</v>
      </c>
      <c r="F1655">
        <v>49.843627929999997</v>
      </c>
      <c r="G1655">
        <v>1423.5252685999999</v>
      </c>
      <c r="H1655">
        <v>1398.2684326000001</v>
      </c>
      <c r="I1655">
        <v>1258.3074951000001</v>
      </c>
      <c r="J1655">
        <v>1222.2460937999999</v>
      </c>
      <c r="K1655">
        <v>2400</v>
      </c>
      <c r="L1655">
        <v>0</v>
      </c>
      <c r="M1655">
        <v>0</v>
      </c>
      <c r="N1655">
        <v>2400</v>
      </c>
    </row>
    <row r="1656" spans="1:14" x14ac:dyDescent="0.25">
      <c r="A1656">
        <v>1097.397704</v>
      </c>
      <c r="B1656" s="1">
        <f>DATE(2013,5,2) + TIME(9,32,41)</f>
        <v>41396.397696759261</v>
      </c>
      <c r="C1656">
        <v>80</v>
      </c>
      <c r="D1656">
        <v>79.173942565999994</v>
      </c>
      <c r="E1656">
        <v>50</v>
      </c>
      <c r="F1656">
        <v>49.838069916000002</v>
      </c>
      <c r="G1656">
        <v>1423.3398437999999</v>
      </c>
      <c r="H1656">
        <v>1398.1419678</v>
      </c>
      <c r="I1656">
        <v>1258.3052978999999</v>
      </c>
      <c r="J1656">
        <v>1222.2431641000001</v>
      </c>
      <c r="K1656">
        <v>2400</v>
      </c>
      <c r="L1656">
        <v>0</v>
      </c>
      <c r="M1656">
        <v>0</v>
      </c>
      <c r="N1656">
        <v>2400</v>
      </c>
    </row>
    <row r="1657" spans="1:14" x14ac:dyDescent="0.25">
      <c r="A1657">
        <v>1097.4696510000001</v>
      </c>
      <c r="B1657" s="1">
        <f>DATE(2013,5,2) + TIME(11,16,17)</f>
        <v>41396.469641203701</v>
      </c>
      <c r="C1657">
        <v>80</v>
      </c>
      <c r="D1657">
        <v>79.291534424000005</v>
      </c>
      <c r="E1657">
        <v>50</v>
      </c>
      <c r="F1657">
        <v>49.832302093999999</v>
      </c>
      <c r="G1657">
        <v>1423.1621094</v>
      </c>
      <c r="H1657">
        <v>1398.0177002</v>
      </c>
      <c r="I1657">
        <v>1258.3029785000001</v>
      </c>
      <c r="J1657">
        <v>1222.2401123</v>
      </c>
      <c r="K1657">
        <v>2400</v>
      </c>
      <c r="L1657">
        <v>0</v>
      </c>
      <c r="M1657">
        <v>0</v>
      </c>
      <c r="N1657">
        <v>2400</v>
      </c>
    </row>
    <row r="1658" spans="1:14" x14ac:dyDescent="0.25">
      <c r="A1658">
        <v>1097.545136</v>
      </c>
      <c r="B1658" s="1">
        <f>DATE(2013,5,2) + TIME(13,4,59)</f>
        <v>41396.545127314814</v>
      </c>
      <c r="C1658">
        <v>80</v>
      </c>
      <c r="D1658">
        <v>79.395843506000006</v>
      </c>
      <c r="E1658">
        <v>50</v>
      </c>
      <c r="F1658">
        <v>49.826301575000002</v>
      </c>
      <c r="G1658">
        <v>1422.9906006000001</v>
      </c>
      <c r="H1658">
        <v>1397.8952637</v>
      </c>
      <c r="I1658">
        <v>1258.3005370999999</v>
      </c>
      <c r="J1658">
        <v>1222.2369385</v>
      </c>
      <c r="K1658">
        <v>2400</v>
      </c>
      <c r="L1658">
        <v>0</v>
      </c>
      <c r="M1658">
        <v>0</v>
      </c>
      <c r="N1658">
        <v>2400</v>
      </c>
    </row>
    <row r="1659" spans="1:14" x14ac:dyDescent="0.25">
      <c r="A1659">
        <v>1097.624636</v>
      </c>
      <c r="B1659" s="1">
        <f>DATE(2013,5,2) + TIME(14,59,28)</f>
        <v>41396.62462962963</v>
      </c>
      <c r="C1659">
        <v>80</v>
      </c>
      <c r="D1659">
        <v>79.487991332999997</v>
      </c>
      <c r="E1659">
        <v>50</v>
      </c>
      <c r="F1659">
        <v>49.820034026999998</v>
      </c>
      <c r="G1659">
        <v>1422.8245850000001</v>
      </c>
      <c r="H1659">
        <v>1397.7739257999999</v>
      </c>
      <c r="I1659">
        <v>1258.2979736</v>
      </c>
      <c r="J1659">
        <v>1222.2335204999999</v>
      </c>
      <c r="K1659">
        <v>2400</v>
      </c>
      <c r="L1659">
        <v>0</v>
      </c>
      <c r="M1659">
        <v>0</v>
      </c>
      <c r="N1659">
        <v>2400</v>
      </c>
    </row>
    <row r="1660" spans="1:14" x14ac:dyDescent="0.25">
      <c r="A1660">
        <v>1097.7087240000001</v>
      </c>
      <c r="B1660" s="1">
        <f>DATE(2013,5,2) + TIME(17,0,33)</f>
        <v>41396.708715277775</v>
      </c>
      <c r="C1660">
        <v>80</v>
      </c>
      <c r="D1660">
        <v>79.569000243999994</v>
      </c>
      <c r="E1660">
        <v>50</v>
      </c>
      <c r="F1660">
        <v>49.813457489000001</v>
      </c>
      <c r="G1660">
        <v>1422.6628418</v>
      </c>
      <c r="H1660">
        <v>1397.6530762</v>
      </c>
      <c r="I1660">
        <v>1258.2952881000001</v>
      </c>
      <c r="J1660">
        <v>1222.2299805</v>
      </c>
      <c r="K1660">
        <v>2400</v>
      </c>
      <c r="L1660">
        <v>0</v>
      </c>
      <c r="M1660">
        <v>0</v>
      </c>
      <c r="N1660">
        <v>2400</v>
      </c>
    </row>
    <row r="1661" spans="1:14" x14ac:dyDescent="0.25">
      <c r="A1661">
        <v>1097.7980889999999</v>
      </c>
      <c r="B1661" s="1">
        <f>DATE(2013,5,2) + TIME(19,9,14)</f>
        <v>41396.798078703701</v>
      </c>
      <c r="C1661">
        <v>80</v>
      </c>
      <c r="D1661">
        <v>79.639839171999995</v>
      </c>
      <c r="E1661">
        <v>50</v>
      </c>
      <c r="F1661">
        <v>49.806533813000001</v>
      </c>
      <c r="G1661">
        <v>1422.5043945</v>
      </c>
      <c r="H1661">
        <v>1397.5321045000001</v>
      </c>
      <c r="I1661">
        <v>1258.2924805</v>
      </c>
      <c r="J1661">
        <v>1222.2263184000001</v>
      </c>
      <c r="K1661">
        <v>2400</v>
      </c>
      <c r="L1661">
        <v>0</v>
      </c>
      <c r="M1661">
        <v>0</v>
      </c>
      <c r="N1661">
        <v>2400</v>
      </c>
    </row>
    <row r="1662" spans="1:14" x14ac:dyDescent="0.25">
      <c r="A1662">
        <v>1097.892998</v>
      </c>
      <c r="B1662" s="1">
        <f>DATE(2013,5,2) + TIME(21,25,55)</f>
        <v>41396.892997685187</v>
      </c>
      <c r="C1662">
        <v>80</v>
      </c>
      <c r="D1662">
        <v>79.701087951999995</v>
      </c>
      <c r="E1662">
        <v>50</v>
      </c>
      <c r="F1662">
        <v>49.799240112</v>
      </c>
      <c r="G1662">
        <v>1422.3483887</v>
      </c>
      <c r="H1662">
        <v>1397.4105225000001</v>
      </c>
      <c r="I1662">
        <v>1258.2894286999999</v>
      </c>
      <c r="J1662">
        <v>1222.2222899999999</v>
      </c>
      <c r="K1662">
        <v>2400</v>
      </c>
      <c r="L1662">
        <v>0</v>
      </c>
      <c r="M1662">
        <v>0</v>
      </c>
      <c r="N1662">
        <v>2400</v>
      </c>
    </row>
    <row r="1663" spans="1:14" x14ac:dyDescent="0.25">
      <c r="A1663">
        <v>1097.9938460000001</v>
      </c>
      <c r="B1663" s="1">
        <f>DATE(2013,5,2) + TIME(23,51,8)</f>
        <v>41396.993842592594</v>
      </c>
      <c r="C1663">
        <v>80</v>
      </c>
      <c r="D1663">
        <v>79.753486632999994</v>
      </c>
      <c r="E1663">
        <v>50</v>
      </c>
      <c r="F1663">
        <v>49.791553497000002</v>
      </c>
      <c r="G1663">
        <v>1422.1945800999999</v>
      </c>
      <c r="H1663">
        <v>1397.2882079999999</v>
      </c>
      <c r="I1663">
        <v>1258.2862548999999</v>
      </c>
      <c r="J1663">
        <v>1222.2181396000001</v>
      </c>
      <c r="K1663">
        <v>2400</v>
      </c>
      <c r="L1663">
        <v>0</v>
      </c>
      <c r="M1663">
        <v>0</v>
      </c>
      <c r="N1663">
        <v>2400</v>
      </c>
    </row>
    <row r="1664" spans="1:14" x14ac:dyDescent="0.25">
      <c r="A1664">
        <v>1098.1015689999999</v>
      </c>
      <c r="B1664" s="1">
        <f>DATE(2013,5,3) + TIME(2,26,15)</f>
        <v>41397.1015625</v>
      </c>
      <c r="C1664">
        <v>80</v>
      </c>
      <c r="D1664">
        <v>79.797981261999993</v>
      </c>
      <c r="E1664">
        <v>50</v>
      </c>
      <c r="F1664">
        <v>49.783416748</v>
      </c>
      <c r="G1664">
        <v>1422.0424805</v>
      </c>
      <c r="H1664">
        <v>1397.1650391000001</v>
      </c>
      <c r="I1664">
        <v>1258.2828368999999</v>
      </c>
      <c r="J1664">
        <v>1222.2136230000001</v>
      </c>
      <c r="K1664">
        <v>2400</v>
      </c>
      <c r="L1664">
        <v>0</v>
      </c>
      <c r="M1664">
        <v>0</v>
      </c>
      <c r="N1664">
        <v>2400</v>
      </c>
    </row>
    <row r="1665" spans="1:14" x14ac:dyDescent="0.25">
      <c r="A1665">
        <v>1098.2172760000001</v>
      </c>
      <c r="B1665" s="1">
        <f>DATE(2013,5,3) + TIME(5,12,52)</f>
        <v>41397.217268518521</v>
      </c>
      <c r="C1665">
        <v>80</v>
      </c>
      <c r="D1665">
        <v>79.835426330999994</v>
      </c>
      <c r="E1665">
        <v>50</v>
      </c>
      <c r="F1665">
        <v>49.774757385000001</v>
      </c>
      <c r="G1665">
        <v>1421.8909911999999</v>
      </c>
      <c r="H1665">
        <v>1397.0404053</v>
      </c>
      <c r="I1665">
        <v>1258.2791748</v>
      </c>
      <c r="J1665">
        <v>1222.2087402</v>
      </c>
      <c r="K1665">
        <v>2400</v>
      </c>
      <c r="L1665">
        <v>0</v>
      </c>
      <c r="M1665">
        <v>0</v>
      </c>
      <c r="N1665">
        <v>2400</v>
      </c>
    </row>
    <row r="1666" spans="1:14" x14ac:dyDescent="0.25">
      <c r="A1666">
        <v>1098.3386410000001</v>
      </c>
      <c r="B1666" s="1">
        <f>DATE(2013,5,3) + TIME(8,7,38)</f>
        <v>41397.338634259257</v>
      </c>
      <c r="C1666">
        <v>80</v>
      </c>
      <c r="D1666">
        <v>79.865898131999998</v>
      </c>
      <c r="E1666">
        <v>50</v>
      </c>
      <c r="F1666">
        <v>49.765712737999998</v>
      </c>
      <c r="G1666">
        <v>1421.7393798999999</v>
      </c>
      <c r="H1666">
        <v>1396.9134521000001</v>
      </c>
      <c r="I1666">
        <v>1258.2751464999999</v>
      </c>
      <c r="J1666">
        <v>1222.2036132999999</v>
      </c>
      <c r="K1666">
        <v>2400</v>
      </c>
      <c r="L1666">
        <v>0</v>
      </c>
      <c r="M1666">
        <v>0</v>
      </c>
      <c r="N1666">
        <v>2400</v>
      </c>
    </row>
    <row r="1667" spans="1:14" x14ac:dyDescent="0.25">
      <c r="A1667">
        <v>1098.4602440000001</v>
      </c>
      <c r="B1667" s="1">
        <f>DATE(2013,5,3) + TIME(11,2,45)</f>
        <v>41397.460243055553</v>
      </c>
      <c r="C1667">
        <v>80</v>
      </c>
      <c r="D1667">
        <v>79.889595032000003</v>
      </c>
      <c r="E1667">
        <v>50</v>
      </c>
      <c r="F1667">
        <v>49.756591796999999</v>
      </c>
      <c r="G1667">
        <v>1421.5911865</v>
      </c>
      <c r="H1667">
        <v>1396.7874756000001</v>
      </c>
      <c r="I1667">
        <v>1258.270874</v>
      </c>
      <c r="J1667">
        <v>1222.1983643000001</v>
      </c>
      <c r="K1667">
        <v>2400</v>
      </c>
      <c r="L1667">
        <v>0</v>
      </c>
      <c r="M1667">
        <v>0</v>
      </c>
      <c r="N1667">
        <v>2400</v>
      </c>
    </row>
    <row r="1668" spans="1:14" x14ac:dyDescent="0.25">
      <c r="A1668">
        <v>1098.5826509999999</v>
      </c>
      <c r="B1668" s="1">
        <f>DATE(2013,5,3) + TIME(13,59,1)</f>
        <v>41397.582650462966</v>
      </c>
      <c r="C1668">
        <v>80</v>
      </c>
      <c r="D1668">
        <v>79.908096313000001</v>
      </c>
      <c r="E1668">
        <v>50</v>
      </c>
      <c r="F1668">
        <v>49.747390746999997</v>
      </c>
      <c r="G1668">
        <v>1421.4511719</v>
      </c>
      <c r="H1668">
        <v>1396.6672363</v>
      </c>
      <c r="I1668">
        <v>1258.2666016000001</v>
      </c>
      <c r="J1668">
        <v>1222.1928711</v>
      </c>
      <c r="K1668">
        <v>2400</v>
      </c>
      <c r="L1668">
        <v>0</v>
      </c>
      <c r="M1668">
        <v>0</v>
      </c>
      <c r="N1668">
        <v>2400</v>
      </c>
    </row>
    <row r="1669" spans="1:14" x14ac:dyDescent="0.25">
      <c r="A1669">
        <v>1098.706398</v>
      </c>
      <c r="B1669" s="1">
        <f>DATE(2013,5,3) + TIME(16,57,12)</f>
        <v>41397.706388888888</v>
      </c>
      <c r="C1669">
        <v>80</v>
      </c>
      <c r="D1669">
        <v>79.922576903999996</v>
      </c>
      <c r="E1669">
        <v>50</v>
      </c>
      <c r="F1669">
        <v>49.738086699999997</v>
      </c>
      <c r="G1669">
        <v>1421.3181152</v>
      </c>
      <c r="H1669">
        <v>1396.5520019999999</v>
      </c>
      <c r="I1669">
        <v>1258.2623291</v>
      </c>
      <c r="J1669">
        <v>1222.1875</v>
      </c>
      <c r="K1669">
        <v>2400</v>
      </c>
      <c r="L1669">
        <v>0</v>
      </c>
      <c r="M1669">
        <v>0</v>
      </c>
      <c r="N1669">
        <v>2400</v>
      </c>
    </row>
    <row r="1670" spans="1:14" x14ac:dyDescent="0.25">
      <c r="A1670">
        <v>1098.8319859999999</v>
      </c>
      <c r="B1670" s="1">
        <f>DATE(2013,5,3) + TIME(19,58,3)</f>
        <v>41397.831979166665</v>
      </c>
      <c r="C1670">
        <v>80</v>
      </c>
      <c r="D1670">
        <v>79.933944702000005</v>
      </c>
      <c r="E1670">
        <v>50</v>
      </c>
      <c r="F1670">
        <v>49.728660583</v>
      </c>
      <c r="G1670">
        <v>1421.1904297000001</v>
      </c>
      <c r="H1670">
        <v>1396.4405518000001</v>
      </c>
      <c r="I1670">
        <v>1258.2579346</v>
      </c>
      <c r="J1670">
        <v>1222.1820068</v>
      </c>
      <c r="K1670">
        <v>2400</v>
      </c>
      <c r="L1670">
        <v>0</v>
      </c>
      <c r="M1670">
        <v>0</v>
      </c>
      <c r="N1670">
        <v>2400</v>
      </c>
    </row>
    <row r="1671" spans="1:14" x14ac:dyDescent="0.25">
      <c r="A1671">
        <v>1098.9599129999999</v>
      </c>
      <c r="B1671" s="1">
        <f>DATE(2013,5,3) + TIME(23,2,16)</f>
        <v>41397.959907407407</v>
      </c>
      <c r="C1671">
        <v>80</v>
      </c>
      <c r="D1671">
        <v>79.942855835000003</v>
      </c>
      <c r="E1671">
        <v>50</v>
      </c>
      <c r="F1671">
        <v>49.719089508000003</v>
      </c>
      <c r="G1671">
        <v>1421.0673827999999</v>
      </c>
      <c r="H1671">
        <v>1396.3323975000001</v>
      </c>
      <c r="I1671">
        <v>1258.2535399999999</v>
      </c>
      <c r="J1671">
        <v>1222.1763916</v>
      </c>
      <c r="K1671">
        <v>2400</v>
      </c>
      <c r="L1671">
        <v>0</v>
      </c>
      <c r="M1671">
        <v>0</v>
      </c>
      <c r="N1671">
        <v>2400</v>
      </c>
    </row>
    <row r="1672" spans="1:14" x14ac:dyDescent="0.25">
      <c r="A1672">
        <v>1099.0906789999999</v>
      </c>
      <c r="B1672" s="1">
        <f>DATE(2013,5,4) + TIME(2,10,34)</f>
        <v>41398.090671296297</v>
      </c>
      <c r="C1672">
        <v>80</v>
      </c>
      <c r="D1672">
        <v>79.949859618999994</v>
      </c>
      <c r="E1672">
        <v>50</v>
      </c>
      <c r="F1672">
        <v>49.709342956999997</v>
      </c>
      <c r="G1672">
        <v>1420.947876</v>
      </c>
      <c r="H1672">
        <v>1396.2269286999999</v>
      </c>
      <c r="I1672">
        <v>1258.2490233999999</v>
      </c>
      <c r="J1672">
        <v>1222.1706543</v>
      </c>
      <c r="K1672">
        <v>2400</v>
      </c>
      <c r="L1672">
        <v>0</v>
      </c>
      <c r="M1672">
        <v>0</v>
      </c>
      <c r="N1672">
        <v>2400</v>
      </c>
    </row>
    <row r="1673" spans="1:14" x14ac:dyDescent="0.25">
      <c r="A1673">
        <v>1099.2248609999999</v>
      </c>
      <c r="B1673" s="1">
        <f>DATE(2013,5,4) + TIME(5,23,48)</f>
        <v>41398.224861111114</v>
      </c>
      <c r="C1673">
        <v>80</v>
      </c>
      <c r="D1673">
        <v>79.955352782999995</v>
      </c>
      <c r="E1673">
        <v>50</v>
      </c>
      <c r="F1673">
        <v>49.699394226000003</v>
      </c>
      <c r="G1673">
        <v>1420.8312988</v>
      </c>
      <c r="H1673">
        <v>1396.1234131000001</v>
      </c>
      <c r="I1673">
        <v>1258.2445068</v>
      </c>
      <c r="J1673">
        <v>1222.1647949000001</v>
      </c>
      <c r="K1673">
        <v>2400</v>
      </c>
      <c r="L1673">
        <v>0</v>
      </c>
      <c r="M1673">
        <v>0</v>
      </c>
      <c r="N1673">
        <v>2400</v>
      </c>
    </row>
    <row r="1674" spans="1:14" x14ac:dyDescent="0.25">
      <c r="A1674">
        <v>1099.3630129999999</v>
      </c>
      <c r="B1674" s="1">
        <f>DATE(2013,5,4) + TIME(8,42,44)</f>
        <v>41398.363009259258</v>
      </c>
      <c r="C1674">
        <v>80</v>
      </c>
      <c r="D1674">
        <v>79.959655761999997</v>
      </c>
      <c r="E1674">
        <v>50</v>
      </c>
      <c r="F1674">
        <v>49.689212799000003</v>
      </c>
      <c r="G1674">
        <v>1420.7169189000001</v>
      </c>
      <c r="H1674">
        <v>1396.0214844</v>
      </c>
      <c r="I1674">
        <v>1258.2397461</v>
      </c>
      <c r="J1674">
        <v>1222.1588135</v>
      </c>
      <c r="K1674">
        <v>2400</v>
      </c>
      <c r="L1674">
        <v>0</v>
      </c>
      <c r="M1674">
        <v>0</v>
      </c>
      <c r="N1674">
        <v>2400</v>
      </c>
    </row>
    <row r="1675" spans="1:14" x14ac:dyDescent="0.25">
      <c r="A1675">
        <v>1099.505713</v>
      </c>
      <c r="B1675" s="1">
        <f>DATE(2013,5,4) + TIME(12,8,13)</f>
        <v>41398.505706018521</v>
      </c>
      <c r="C1675">
        <v>80</v>
      </c>
      <c r="D1675">
        <v>79.963020325000002</v>
      </c>
      <c r="E1675">
        <v>50</v>
      </c>
      <c r="F1675">
        <v>49.678760529000002</v>
      </c>
      <c r="G1675">
        <v>1420.6042480000001</v>
      </c>
      <c r="H1675">
        <v>1395.9207764</v>
      </c>
      <c r="I1675">
        <v>1258.2349853999999</v>
      </c>
      <c r="J1675">
        <v>1222.1525879000001</v>
      </c>
      <c r="K1675">
        <v>2400</v>
      </c>
      <c r="L1675">
        <v>0</v>
      </c>
      <c r="M1675">
        <v>0</v>
      </c>
      <c r="N1675">
        <v>2400</v>
      </c>
    </row>
    <row r="1676" spans="1:14" x14ac:dyDescent="0.25">
      <c r="A1676">
        <v>1099.6536450000001</v>
      </c>
      <c r="B1676" s="1">
        <f>DATE(2013,5,4) + TIME(15,41,14)</f>
        <v>41398.653634259259</v>
      </c>
      <c r="C1676">
        <v>80</v>
      </c>
      <c r="D1676">
        <v>79.965652465999995</v>
      </c>
      <c r="E1676">
        <v>50</v>
      </c>
      <c r="F1676">
        <v>49.667995453000003</v>
      </c>
      <c r="G1676">
        <v>1420.4927978999999</v>
      </c>
      <c r="H1676">
        <v>1395.8206786999999</v>
      </c>
      <c r="I1676">
        <v>1258.2299805</v>
      </c>
      <c r="J1676">
        <v>1222.1462402</v>
      </c>
      <c r="K1676">
        <v>2400</v>
      </c>
      <c r="L1676">
        <v>0</v>
      </c>
      <c r="M1676">
        <v>0</v>
      </c>
      <c r="N1676">
        <v>2400</v>
      </c>
    </row>
    <row r="1677" spans="1:14" x14ac:dyDescent="0.25">
      <c r="A1677">
        <v>1099.8075839999999</v>
      </c>
      <c r="B1677" s="1">
        <f>DATE(2013,5,4) + TIME(19,22,55)</f>
        <v>41398.807581018518</v>
      </c>
      <c r="C1677">
        <v>80</v>
      </c>
      <c r="D1677">
        <v>79.967697143999999</v>
      </c>
      <c r="E1677">
        <v>50</v>
      </c>
      <c r="F1677">
        <v>49.656879425</v>
      </c>
      <c r="G1677">
        <v>1420.3820800999999</v>
      </c>
      <c r="H1677">
        <v>1395.7210693</v>
      </c>
      <c r="I1677">
        <v>1258.2247314000001</v>
      </c>
      <c r="J1677">
        <v>1222.1396483999999</v>
      </c>
      <c r="K1677">
        <v>2400</v>
      </c>
      <c r="L1677">
        <v>0</v>
      </c>
      <c r="M1677">
        <v>0</v>
      </c>
      <c r="N1677">
        <v>2400</v>
      </c>
    </row>
    <row r="1678" spans="1:14" x14ac:dyDescent="0.25">
      <c r="A1678">
        <v>1099.968216</v>
      </c>
      <c r="B1678" s="1">
        <f>DATE(2013,5,4) + TIME(23,14,13)</f>
        <v>41398.968206018515</v>
      </c>
      <c r="C1678">
        <v>80</v>
      </c>
      <c r="D1678">
        <v>79.969284058</v>
      </c>
      <c r="E1678">
        <v>50</v>
      </c>
      <c r="F1678">
        <v>49.645362853999998</v>
      </c>
      <c r="G1678">
        <v>1420.2716064000001</v>
      </c>
      <c r="H1678">
        <v>1395.6214600000001</v>
      </c>
      <c r="I1678">
        <v>1258.2193603999999</v>
      </c>
      <c r="J1678">
        <v>1222.1326904</v>
      </c>
      <c r="K1678">
        <v>2400</v>
      </c>
      <c r="L1678">
        <v>0</v>
      </c>
      <c r="M1678">
        <v>0</v>
      </c>
      <c r="N1678">
        <v>2400</v>
      </c>
    </row>
    <row r="1679" spans="1:14" x14ac:dyDescent="0.25">
      <c r="A1679">
        <v>1100.1361460000001</v>
      </c>
      <c r="B1679" s="1">
        <f>DATE(2013,5,5) + TIME(3,16,2)</f>
        <v>41399.136134259257</v>
      </c>
      <c r="C1679">
        <v>80</v>
      </c>
      <c r="D1679">
        <v>79.970512389999996</v>
      </c>
      <c r="E1679">
        <v>50</v>
      </c>
      <c r="F1679">
        <v>49.633407593000001</v>
      </c>
      <c r="G1679">
        <v>1420.1610106999999</v>
      </c>
      <c r="H1679">
        <v>1395.5214844</v>
      </c>
      <c r="I1679">
        <v>1258.2136230000001</v>
      </c>
      <c r="J1679">
        <v>1222.1254882999999</v>
      </c>
      <c r="K1679">
        <v>2400</v>
      </c>
      <c r="L1679">
        <v>0</v>
      </c>
      <c r="M1679">
        <v>0</v>
      </c>
      <c r="N1679">
        <v>2400</v>
      </c>
    </row>
    <row r="1680" spans="1:14" x14ac:dyDescent="0.25">
      <c r="A1680">
        <v>1100.3124780000001</v>
      </c>
      <c r="B1680" s="1">
        <f>DATE(2013,5,5) + TIME(7,29,58)</f>
        <v>41399.312476851854</v>
      </c>
      <c r="C1680">
        <v>80</v>
      </c>
      <c r="D1680">
        <v>79.971466063999998</v>
      </c>
      <c r="E1680">
        <v>50</v>
      </c>
      <c r="F1680">
        <v>49.620956421000002</v>
      </c>
      <c r="G1680">
        <v>1420.0501709</v>
      </c>
      <c r="H1680">
        <v>1395.4210204999999</v>
      </c>
      <c r="I1680">
        <v>1258.2077637</v>
      </c>
      <c r="J1680">
        <v>1222.1179199000001</v>
      </c>
      <c r="K1680">
        <v>2400</v>
      </c>
      <c r="L1680">
        <v>0</v>
      </c>
      <c r="M1680">
        <v>0</v>
      </c>
      <c r="N1680">
        <v>2400</v>
      </c>
    </row>
    <row r="1681" spans="1:14" x14ac:dyDescent="0.25">
      <c r="A1681">
        <v>1100.498527</v>
      </c>
      <c r="B1681" s="1">
        <f>DATE(2013,5,5) + TIME(11,57,52)</f>
        <v>41399.498518518521</v>
      </c>
      <c r="C1681">
        <v>80</v>
      </c>
      <c r="D1681">
        <v>79.972198485999996</v>
      </c>
      <c r="E1681">
        <v>50</v>
      </c>
      <c r="F1681">
        <v>49.607933043999999</v>
      </c>
      <c r="G1681">
        <v>1419.9385986</v>
      </c>
      <c r="H1681">
        <v>1395.3197021000001</v>
      </c>
      <c r="I1681">
        <v>1258.2015381000001</v>
      </c>
      <c r="J1681">
        <v>1222.1099853999999</v>
      </c>
      <c r="K1681">
        <v>2400</v>
      </c>
      <c r="L1681">
        <v>0</v>
      </c>
      <c r="M1681">
        <v>0</v>
      </c>
      <c r="N1681">
        <v>2400</v>
      </c>
    </row>
    <row r="1682" spans="1:14" x14ac:dyDescent="0.25">
      <c r="A1682">
        <v>1100.6958529999999</v>
      </c>
      <c r="B1682" s="1">
        <f>DATE(2013,5,5) + TIME(16,42,1)</f>
        <v>41399.695844907408</v>
      </c>
      <c r="C1682">
        <v>80</v>
      </c>
      <c r="D1682">
        <v>79.972763061999999</v>
      </c>
      <c r="E1682">
        <v>50</v>
      </c>
      <c r="F1682">
        <v>49.594245911000002</v>
      </c>
      <c r="G1682">
        <v>1419.8258057</v>
      </c>
      <c r="H1682">
        <v>1395.2171631000001</v>
      </c>
      <c r="I1682">
        <v>1258.1949463000001</v>
      </c>
      <c r="J1682">
        <v>1222.1016846</v>
      </c>
      <c r="K1682">
        <v>2400</v>
      </c>
      <c r="L1682">
        <v>0</v>
      </c>
      <c r="M1682">
        <v>0</v>
      </c>
      <c r="N1682">
        <v>2400</v>
      </c>
    </row>
    <row r="1683" spans="1:14" x14ac:dyDescent="0.25">
      <c r="A1683">
        <v>1100.903519</v>
      </c>
      <c r="B1683" s="1">
        <f>DATE(2013,5,5) + TIME(21,41,4)</f>
        <v>41399.90351851852</v>
      </c>
      <c r="C1683">
        <v>80</v>
      </c>
      <c r="D1683">
        <v>79.973190308</v>
      </c>
      <c r="E1683">
        <v>50</v>
      </c>
      <c r="F1683">
        <v>49.579921722000002</v>
      </c>
      <c r="G1683">
        <v>1419.7110596</v>
      </c>
      <c r="H1683">
        <v>1395.1126709</v>
      </c>
      <c r="I1683">
        <v>1258.1879882999999</v>
      </c>
      <c r="J1683">
        <v>1222.0927733999999</v>
      </c>
      <c r="K1683">
        <v>2400</v>
      </c>
      <c r="L1683">
        <v>0</v>
      </c>
      <c r="M1683">
        <v>0</v>
      </c>
      <c r="N1683">
        <v>2400</v>
      </c>
    </row>
    <row r="1684" spans="1:14" x14ac:dyDescent="0.25">
      <c r="A1684">
        <v>1101.116626</v>
      </c>
      <c r="B1684" s="1">
        <f>DATE(2013,5,6) + TIME(2,47,56)</f>
        <v>41400.116620370369</v>
      </c>
      <c r="C1684">
        <v>80</v>
      </c>
      <c r="D1684">
        <v>79.973518372000001</v>
      </c>
      <c r="E1684">
        <v>50</v>
      </c>
      <c r="F1684">
        <v>49.565185546999999</v>
      </c>
      <c r="G1684">
        <v>1419.5955810999999</v>
      </c>
      <c r="H1684">
        <v>1395.0072021000001</v>
      </c>
      <c r="I1684">
        <v>1258.1805420000001</v>
      </c>
      <c r="J1684">
        <v>1222.0834961</v>
      </c>
      <c r="K1684">
        <v>2400</v>
      </c>
      <c r="L1684">
        <v>0</v>
      </c>
      <c r="M1684">
        <v>0</v>
      </c>
      <c r="N1684">
        <v>2400</v>
      </c>
    </row>
    <row r="1685" spans="1:14" x14ac:dyDescent="0.25">
      <c r="A1685">
        <v>1101.330387</v>
      </c>
      <c r="B1685" s="1">
        <f>DATE(2013,5,6) + TIME(7,55,45)</f>
        <v>41400.330381944441</v>
      </c>
      <c r="C1685">
        <v>80</v>
      </c>
      <c r="D1685">
        <v>79.973754882999998</v>
      </c>
      <c r="E1685">
        <v>50</v>
      </c>
      <c r="F1685">
        <v>49.550289153999998</v>
      </c>
      <c r="G1685">
        <v>1419.4820557</v>
      </c>
      <c r="H1685">
        <v>1394.9034423999999</v>
      </c>
      <c r="I1685">
        <v>1258.1727295000001</v>
      </c>
      <c r="J1685">
        <v>1222.0739745999999</v>
      </c>
      <c r="K1685">
        <v>2400</v>
      </c>
      <c r="L1685">
        <v>0</v>
      </c>
      <c r="M1685">
        <v>0</v>
      </c>
      <c r="N1685">
        <v>2400</v>
      </c>
    </row>
    <row r="1686" spans="1:14" x14ac:dyDescent="0.25">
      <c r="A1686">
        <v>1101.5457630000001</v>
      </c>
      <c r="B1686" s="1">
        <f>DATE(2013,5,6) + TIME(13,5,53)</f>
        <v>41400.545752314814</v>
      </c>
      <c r="C1686">
        <v>80</v>
      </c>
      <c r="D1686">
        <v>79.973937988000003</v>
      </c>
      <c r="E1686">
        <v>50</v>
      </c>
      <c r="F1686">
        <v>49.535251617</v>
      </c>
      <c r="G1686">
        <v>1419.3729248</v>
      </c>
      <c r="H1686">
        <v>1394.8035889</v>
      </c>
      <c r="I1686">
        <v>1258.1650391000001</v>
      </c>
      <c r="J1686">
        <v>1222.0643310999999</v>
      </c>
      <c r="K1686">
        <v>2400</v>
      </c>
      <c r="L1686">
        <v>0</v>
      </c>
      <c r="M1686">
        <v>0</v>
      </c>
      <c r="N1686">
        <v>2400</v>
      </c>
    </row>
    <row r="1687" spans="1:14" x14ac:dyDescent="0.25">
      <c r="A1687">
        <v>1101.7636749999999</v>
      </c>
      <c r="B1687" s="1">
        <f>DATE(2013,5,6) + TIME(18,19,41)</f>
        <v>41400.763668981483</v>
      </c>
      <c r="C1687">
        <v>80</v>
      </c>
      <c r="D1687">
        <v>79.974075317</v>
      </c>
      <c r="E1687">
        <v>50</v>
      </c>
      <c r="F1687">
        <v>49.520053863999998</v>
      </c>
      <c r="G1687">
        <v>1419.2674560999999</v>
      </c>
      <c r="H1687">
        <v>1394.7069091999999</v>
      </c>
      <c r="I1687">
        <v>1258.1573486</v>
      </c>
      <c r="J1687">
        <v>1222.0545654</v>
      </c>
      <c r="K1687">
        <v>2400</v>
      </c>
      <c r="L1687">
        <v>0</v>
      </c>
      <c r="M1687">
        <v>0</v>
      </c>
      <c r="N1687">
        <v>2400</v>
      </c>
    </row>
    <row r="1688" spans="1:14" x14ac:dyDescent="0.25">
      <c r="A1688">
        <v>1101.985017</v>
      </c>
      <c r="B1688" s="1">
        <f>DATE(2013,5,6) + TIME(23,38,25)</f>
        <v>41400.985011574077</v>
      </c>
      <c r="C1688">
        <v>80</v>
      </c>
      <c r="D1688">
        <v>79.974182128999999</v>
      </c>
      <c r="E1688">
        <v>50</v>
      </c>
      <c r="F1688">
        <v>49.504676818999997</v>
      </c>
      <c r="G1688">
        <v>1419.1650391000001</v>
      </c>
      <c r="H1688">
        <v>1394.612793</v>
      </c>
      <c r="I1688">
        <v>1258.1494141000001</v>
      </c>
      <c r="J1688">
        <v>1222.0447998</v>
      </c>
      <c r="K1688">
        <v>2400</v>
      </c>
      <c r="L1688">
        <v>0</v>
      </c>
      <c r="M1688">
        <v>0</v>
      </c>
      <c r="N1688">
        <v>2400</v>
      </c>
    </row>
    <row r="1689" spans="1:14" x14ac:dyDescent="0.25">
      <c r="A1689">
        <v>1102.2107370000001</v>
      </c>
      <c r="B1689" s="1">
        <f>DATE(2013,5,7) + TIME(5,3,27)</f>
        <v>41401.210729166669</v>
      </c>
      <c r="C1689">
        <v>80</v>
      </c>
      <c r="D1689">
        <v>79.974266052000004</v>
      </c>
      <c r="E1689">
        <v>50</v>
      </c>
      <c r="F1689">
        <v>49.489078522</v>
      </c>
      <c r="G1689">
        <v>1419.0648193</v>
      </c>
      <c r="H1689">
        <v>1394.5207519999999</v>
      </c>
      <c r="I1689">
        <v>1258.1414795000001</v>
      </c>
      <c r="J1689">
        <v>1222.034668</v>
      </c>
      <c r="K1689">
        <v>2400</v>
      </c>
      <c r="L1689">
        <v>0</v>
      </c>
      <c r="M1689">
        <v>0</v>
      </c>
      <c r="N1689">
        <v>2400</v>
      </c>
    </row>
    <row r="1690" spans="1:14" x14ac:dyDescent="0.25">
      <c r="A1690">
        <v>1102.441867</v>
      </c>
      <c r="B1690" s="1">
        <f>DATE(2013,5,7) + TIME(10,36,17)</f>
        <v>41401.441863425927</v>
      </c>
      <c r="C1690">
        <v>80</v>
      </c>
      <c r="D1690">
        <v>79.974327087000006</v>
      </c>
      <c r="E1690">
        <v>50</v>
      </c>
      <c r="F1690">
        <v>49.473213196000003</v>
      </c>
      <c r="G1690">
        <v>1418.9665527</v>
      </c>
      <c r="H1690">
        <v>1394.4301757999999</v>
      </c>
      <c r="I1690">
        <v>1258.1333007999999</v>
      </c>
      <c r="J1690">
        <v>1222.0244141000001</v>
      </c>
      <c r="K1690">
        <v>2400</v>
      </c>
      <c r="L1690">
        <v>0</v>
      </c>
      <c r="M1690">
        <v>0</v>
      </c>
      <c r="N1690">
        <v>2400</v>
      </c>
    </row>
    <row r="1691" spans="1:14" x14ac:dyDescent="0.25">
      <c r="A1691">
        <v>1102.6793070000001</v>
      </c>
      <c r="B1691" s="1">
        <f>DATE(2013,5,7) + TIME(16,18,12)</f>
        <v>41401.679305555554</v>
      </c>
      <c r="C1691">
        <v>80</v>
      </c>
      <c r="D1691">
        <v>79.974380492999998</v>
      </c>
      <c r="E1691">
        <v>50</v>
      </c>
      <c r="F1691">
        <v>49.457027435000001</v>
      </c>
      <c r="G1691">
        <v>1418.8695068</v>
      </c>
      <c r="H1691">
        <v>1394.3408202999999</v>
      </c>
      <c r="I1691">
        <v>1258.125</v>
      </c>
      <c r="J1691">
        <v>1222.0139160000001</v>
      </c>
      <c r="K1691">
        <v>2400</v>
      </c>
      <c r="L1691">
        <v>0</v>
      </c>
      <c r="M1691">
        <v>0</v>
      </c>
      <c r="N1691">
        <v>2400</v>
      </c>
    </row>
    <row r="1692" spans="1:14" x14ac:dyDescent="0.25">
      <c r="A1692">
        <v>1102.924158</v>
      </c>
      <c r="B1692" s="1">
        <f>DATE(2013,5,7) + TIME(22,10,47)</f>
        <v>41401.924155092594</v>
      </c>
      <c r="C1692">
        <v>80</v>
      </c>
      <c r="D1692">
        <v>79.974426269999995</v>
      </c>
      <c r="E1692">
        <v>50</v>
      </c>
      <c r="F1692">
        <v>49.440460205000001</v>
      </c>
      <c r="G1692">
        <v>1418.7735596</v>
      </c>
      <c r="H1692">
        <v>1394.2521973</v>
      </c>
      <c r="I1692">
        <v>1258.1164550999999</v>
      </c>
      <c r="J1692">
        <v>1222.0031738</v>
      </c>
      <c r="K1692">
        <v>2400</v>
      </c>
      <c r="L1692">
        <v>0</v>
      </c>
      <c r="M1692">
        <v>0</v>
      </c>
      <c r="N1692">
        <v>2400</v>
      </c>
    </row>
    <row r="1693" spans="1:14" x14ac:dyDescent="0.25">
      <c r="A1693">
        <v>1103.1762409999999</v>
      </c>
      <c r="B1693" s="1">
        <f>DATE(2013,5,8) + TIME(4,13,47)</f>
        <v>41402.176238425927</v>
      </c>
      <c r="C1693">
        <v>80</v>
      </c>
      <c r="D1693">
        <v>79.974456786999994</v>
      </c>
      <c r="E1693">
        <v>50</v>
      </c>
      <c r="F1693">
        <v>49.423511505</v>
      </c>
      <c r="G1693">
        <v>1418.6781006000001</v>
      </c>
      <c r="H1693">
        <v>1394.1640625</v>
      </c>
      <c r="I1693">
        <v>1258.1075439000001</v>
      </c>
      <c r="J1693">
        <v>1221.9919434000001</v>
      </c>
      <c r="K1693">
        <v>2400</v>
      </c>
      <c r="L1693">
        <v>0</v>
      </c>
      <c r="M1693">
        <v>0</v>
      </c>
      <c r="N1693">
        <v>2400</v>
      </c>
    </row>
    <row r="1694" spans="1:14" x14ac:dyDescent="0.25">
      <c r="A1694">
        <v>1103.4366259999999</v>
      </c>
      <c r="B1694" s="1">
        <f>DATE(2013,5,8) + TIME(10,28,44)</f>
        <v>41402.436620370368</v>
      </c>
      <c r="C1694">
        <v>80</v>
      </c>
      <c r="D1694">
        <v>79.974487304999997</v>
      </c>
      <c r="E1694">
        <v>50</v>
      </c>
      <c r="F1694">
        <v>49.406124114999997</v>
      </c>
      <c r="G1694">
        <v>1418.5832519999999</v>
      </c>
      <c r="H1694">
        <v>1394.0764160000001</v>
      </c>
      <c r="I1694">
        <v>1258.0983887</v>
      </c>
      <c r="J1694">
        <v>1221.9804687999999</v>
      </c>
      <c r="K1694">
        <v>2400</v>
      </c>
      <c r="L1694">
        <v>0</v>
      </c>
      <c r="M1694">
        <v>0</v>
      </c>
      <c r="N1694">
        <v>2400</v>
      </c>
    </row>
    <row r="1695" spans="1:14" x14ac:dyDescent="0.25">
      <c r="A1695">
        <v>1103.706625</v>
      </c>
      <c r="B1695" s="1">
        <f>DATE(2013,5,8) + TIME(16,57,32)</f>
        <v>41402.706620370373</v>
      </c>
      <c r="C1695">
        <v>80</v>
      </c>
      <c r="D1695">
        <v>79.974510193</v>
      </c>
      <c r="E1695">
        <v>50</v>
      </c>
      <c r="F1695">
        <v>49.388229369999998</v>
      </c>
      <c r="G1695">
        <v>1418.4888916</v>
      </c>
      <c r="H1695">
        <v>1393.9890137</v>
      </c>
      <c r="I1695">
        <v>1258.0888672000001</v>
      </c>
      <c r="J1695">
        <v>1221.9686279</v>
      </c>
      <c r="K1695">
        <v>2400</v>
      </c>
      <c r="L1695">
        <v>0</v>
      </c>
      <c r="M1695">
        <v>0</v>
      </c>
      <c r="N1695">
        <v>2400</v>
      </c>
    </row>
    <row r="1696" spans="1:14" x14ac:dyDescent="0.25">
      <c r="A1696">
        <v>1103.987719</v>
      </c>
      <c r="B1696" s="1">
        <f>DATE(2013,5,8) + TIME(23,42,18)</f>
        <v>41402.987708333334</v>
      </c>
      <c r="C1696">
        <v>80</v>
      </c>
      <c r="D1696">
        <v>79.974525451999995</v>
      </c>
      <c r="E1696">
        <v>50</v>
      </c>
      <c r="F1696">
        <v>49.369750977000002</v>
      </c>
      <c r="G1696">
        <v>1418.3944091999999</v>
      </c>
      <c r="H1696">
        <v>1393.9014893000001</v>
      </c>
      <c r="I1696">
        <v>1258.0789795000001</v>
      </c>
      <c r="J1696">
        <v>1221.9561768000001</v>
      </c>
      <c r="K1696">
        <v>2400</v>
      </c>
      <c r="L1696">
        <v>0</v>
      </c>
      <c r="M1696">
        <v>0</v>
      </c>
      <c r="N1696">
        <v>2400</v>
      </c>
    </row>
    <row r="1697" spans="1:14" x14ac:dyDescent="0.25">
      <c r="A1697">
        <v>1104.2816009999999</v>
      </c>
      <c r="B1697" s="1">
        <f>DATE(2013,5,9) + TIME(6,45,30)</f>
        <v>41403.281597222223</v>
      </c>
      <c r="C1697">
        <v>80</v>
      </c>
      <c r="D1697">
        <v>79.974540709999999</v>
      </c>
      <c r="E1697">
        <v>50</v>
      </c>
      <c r="F1697">
        <v>49.350597381999997</v>
      </c>
      <c r="G1697">
        <v>1418.2995605000001</v>
      </c>
      <c r="H1697">
        <v>1393.8134766000001</v>
      </c>
      <c r="I1697">
        <v>1258.0687256000001</v>
      </c>
      <c r="J1697">
        <v>1221.9433594</v>
      </c>
      <c r="K1697">
        <v>2400</v>
      </c>
      <c r="L1697">
        <v>0</v>
      </c>
      <c r="M1697">
        <v>0</v>
      </c>
      <c r="N1697">
        <v>2400</v>
      </c>
    </row>
    <row r="1698" spans="1:14" x14ac:dyDescent="0.25">
      <c r="A1698">
        <v>1104.5903510000001</v>
      </c>
      <c r="B1698" s="1">
        <f>DATE(2013,5,9) + TIME(14,10,6)</f>
        <v>41403.59034722222</v>
      </c>
      <c r="C1698">
        <v>80</v>
      </c>
      <c r="D1698">
        <v>79.974548339999998</v>
      </c>
      <c r="E1698">
        <v>50</v>
      </c>
      <c r="F1698">
        <v>49.330665588000002</v>
      </c>
      <c r="G1698">
        <v>1418.2038574000001</v>
      </c>
      <c r="H1698">
        <v>1393.7247314000001</v>
      </c>
      <c r="I1698">
        <v>1258.0579834</v>
      </c>
      <c r="J1698">
        <v>1221.9298096</v>
      </c>
      <c r="K1698">
        <v>2400</v>
      </c>
      <c r="L1698">
        <v>0</v>
      </c>
      <c r="M1698">
        <v>0</v>
      </c>
      <c r="N1698">
        <v>2400</v>
      </c>
    </row>
    <row r="1699" spans="1:14" x14ac:dyDescent="0.25">
      <c r="A1699">
        <v>1104.9029149999999</v>
      </c>
      <c r="B1699" s="1">
        <f>DATE(2013,5,9) + TIME(21,40,11)</f>
        <v>41403.902905092589</v>
      </c>
      <c r="C1699">
        <v>80</v>
      </c>
      <c r="D1699">
        <v>79.974563599000007</v>
      </c>
      <c r="E1699">
        <v>50</v>
      </c>
      <c r="F1699">
        <v>49.310333252</v>
      </c>
      <c r="G1699">
        <v>1418.1069336</v>
      </c>
      <c r="H1699">
        <v>1393.6346435999999</v>
      </c>
      <c r="I1699">
        <v>1258.0465088000001</v>
      </c>
      <c r="J1699">
        <v>1221.9156493999999</v>
      </c>
      <c r="K1699">
        <v>2400</v>
      </c>
      <c r="L1699">
        <v>0</v>
      </c>
      <c r="M1699">
        <v>0</v>
      </c>
      <c r="N1699">
        <v>2400</v>
      </c>
    </row>
    <row r="1700" spans="1:14" x14ac:dyDescent="0.25">
      <c r="A1700">
        <v>1105.2167260000001</v>
      </c>
      <c r="B1700" s="1">
        <f>DATE(2013,5,10) + TIME(5,12,5)</f>
        <v>41404.216724537036</v>
      </c>
      <c r="C1700">
        <v>80</v>
      </c>
      <c r="D1700">
        <v>79.974571228000002</v>
      </c>
      <c r="E1700">
        <v>50</v>
      </c>
      <c r="F1700">
        <v>49.289802551000001</v>
      </c>
      <c r="G1700">
        <v>1418.0124512</v>
      </c>
      <c r="H1700">
        <v>1393.5466309000001</v>
      </c>
      <c r="I1700">
        <v>1258.0347899999999</v>
      </c>
      <c r="J1700">
        <v>1221.9012451000001</v>
      </c>
      <c r="K1700">
        <v>2400</v>
      </c>
      <c r="L1700">
        <v>0</v>
      </c>
      <c r="M1700">
        <v>0</v>
      </c>
      <c r="N1700">
        <v>2400</v>
      </c>
    </row>
    <row r="1701" spans="1:14" x14ac:dyDescent="0.25">
      <c r="A1701">
        <v>1105.5331160000001</v>
      </c>
      <c r="B1701" s="1">
        <f>DATE(2013,5,10) + TIME(12,47,41)</f>
        <v>41404.533113425925</v>
      </c>
      <c r="C1701">
        <v>80</v>
      </c>
      <c r="D1701">
        <v>79.974571228000002</v>
      </c>
      <c r="E1701">
        <v>50</v>
      </c>
      <c r="F1701">
        <v>49.269111633000001</v>
      </c>
      <c r="G1701">
        <v>1417.9207764</v>
      </c>
      <c r="H1701">
        <v>1393.4613036999999</v>
      </c>
      <c r="I1701">
        <v>1258.0231934000001</v>
      </c>
      <c r="J1701">
        <v>1221.8867187999999</v>
      </c>
      <c r="K1701">
        <v>2400</v>
      </c>
      <c r="L1701">
        <v>0</v>
      </c>
      <c r="M1701">
        <v>0</v>
      </c>
      <c r="N1701">
        <v>2400</v>
      </c>
    </row>
    <row r="1702" spans="1:14" x14ac:dyDescent="0.25">
      <c r="A1702">
        <v>1105.853374</v>
      </c>
      <c r="B1702" s="1">
        <f>DATE(2013,5,10) + TIME(20,28,51)</f>
        <v>41404.853368055556</v>
      </c>
      <c r="C1702">
        <v>80</v>
      </c>
      <c r="D1702">
        <v>79.974578856999997</v>
      </c>
      <c r="E1702">
        <v>50</v>
      </c>
      <c r="F1702">
        <v>49.248252868999998</v>
      </c>
      <c r="G1702">
        <v>1417.831543</v>
      </c>
      <c r="H1702">
        <v>1393.3780518000001</v>
      </c>
      <c r="I1702">
        <v>1258.0113524999999</v>
      </c>
      <c r="J1702">
        <v>1221.8719481999999</v>
      </c>
      <c r="K1702">
        <v>2400</v>
      </c>
      <c r="L1702">
        <v>0</v>
      </c>
      <c r="M1702">
        <v>0</v>
      </c>
      <c r="N1702">
        <v>2400</v>
      </c>
    </row>
    <row r="1703" spans="1:14" x14ac:dyDescent="0.25">
      <c r="A1703">
        <v>1106.178809</v>
      </c>
      <c r="B1703" s="1">
        <f>DATE(2013,5,11) + TIME(4,17,29)</f>
        <v>41405.178807870368</v>
      </c>
      <c r="C1703">
        <v>80</v>
      </c>
      <c r="D1703">
        <v>79.974586486999996</v>
      </c>
      <c r="E1703">
        <v>50</v>
      </c>
      <c r="F1703">
        <v>49.227180480999998</v>
      </c>
      <c r="G1703">
        <v>1417.7442627</v>
      </c>
      <c r="H1703">
        <v>1393.2966309000001</v>
      </c>
      <c r="I1703">
        <v>1257.9993896000001</v>
      </c>
      <c r="J1703">
        <v>1221.8570557</v>
      </c>
      <c r="K1703">
        <v>2400</v>
      </c>
      <c r="L1703">
        <v>0</v>
      </c>
      <c r="M1703">
        <v>0</v>
      </c>
      <c r="N1703">
        <v>2400</v>
      </c>
    </row>
    <row r="1704" spans="1:14" x14ac:dyDescent="0.25">
      <c r="A1704">
        <v>1106.5109649999999</v>
      </c>
      <c r="B1704" s="1">
        <f>DATE(2013,5,11) + TIME(12,15,47)</f>
        <v>41405.510960648149</v>
      </c>
      <c r="C1704">
        <v>80</v>
      </c>
      <c r="D1704">
        <v>79.974586486999996</v>
      </c>
      <c r="E1704">
        <v>50</v>
      </c>
      <c r="F1704">
        <v>49.205833435000002</v>
      </c>
      <c r="G1704">
        <v>1417.6584473</v>
      </c>
      <c r="H1704">
        <v>1393.2164307</v>
      </c>
      <c r="I1704">
        <v>1257.9871826000001</v>
      </c>
      <c r="J1704">
        <v>1221.8417969</v>
      </c>
      <c r="K1704">
        <v>2400</v>
      </c>
      <c r="L1704">
        <v>0</v>
      </c>
      <c r="M1704">
        <v>0</v>
      </c>
      <c r="N1704">
        <v>2400</v>
      </c>
    </row>
    <row r="1705" spans="1:14" x14ac:dyDescent="0.25">
      <c r="A1705">
        <v>1106.851058</v>
      </c>
      <c r="B1705" s="1">
        <f>DATE(2013,5,11) + TIME(20,25,31)</f>
        <v>41405.851053240738</v>
      </c>
      <c r="C1705">
        <v>80</v>
      </c>
      <c r="D1705">
        <v>79.974594116000006</v>
      </c>
      <c r="E1705">
        <v>50</v>
      </c>
      <c r="F1705">
        <v>49.184146880999997</v>
      </c>
      <c r="G1705">
        <v>1417.5736084</v>
      </c>
      <c r="H1705">
        <v>1393.137207</v>
      </c>
      <c r="I1705">
        <v>1257.9747314000001</v>
      </c>
      <c r="J1705">
        <v>1221.8262939000001</v>
      </c>
      <c r="K1705">
        <v>2400</v>
      </c>
      <c r="L1705">
        <v>0</v>
      </c>
      <c r="M1705">
        <v>0</v>
      </c>
      <c r="N1705">
        <v>2400</v>
      </c>
    </row>
    <row r="1706" spans="1:14" x14ac:dyDescent="0.25">
      <c r="A1706">
        <v>1107.2006180000001</v>
      </c>
      <c r="B1706" s="1">
        <f>DATE(2013,5,12) + TIME(4,48,53)</f>
        <v>41406.200613425928</v>
      </c>
      <c r="C1706">
        <v>80</v>
      </c>
      <c r="D1706">
        <v>79.974594116000006</v>
      </c>
      <c r="E1706">
        <v>50</v>
      </c>
      <c r="F1706">
        <v>49.162040709999999</v>
      </c>
      <c r="G1706">
        <v>1417.4895019999999</v>
      </c>
      <c r="H1706">
        <v>1393.0585937999999</v>
      </c>
      <c r="I1706">
        <v>1257.9619141000001</v>
      </c>
      <c r="J1706">
        <v>1221.8103027</v>
      </c>
      <c r="K1706">
        <v>2400</v>
      </c>
      <c r="L1706">
        <v>0</v>
      </c>
      <c r="M1706">
        <v>0</v>
      </c>
      <c r="N1706">
        <v>2400</v>
      </c>
    </row>
    <row r="1707" spans="1:14" x14ac:dyDescent="0.25">
      <c r="A1707">
        <v>1107.561328</v>
      </c>
      <c r="B1707" s="1">
        <f>DATE(2013,5,12) + TIME(13,28,18)</f>
        <v>41406.561319444445</v>
      </c>
      <c r="C1707">
        <v>80</v>
      </c>
      <c r="D1707">
        <v>79.974594116000006</v>
      </c>
      <c r="E1707">
        <v>50</v>
      </c>
      <c r="F1707">
        <v>49.139431000000002</v>
      </c>
      <c r="G1707">
        <v>1417.4057617000001</v>
      </c>
      <c r="H1707">
        <v>1392.9802245999999</v>
      </c>
      <c r="I1707">
        <v>1257.9487305</v>
      </c>
      <c r="J1707">
        <v>1221.7938231999999</v>
      </c>
      <c r="K1707">
        <v>2400</v>
      </c>
      <c r="L1707">
        <v>0</v>
      </c>
      <c r="M1707">
        <v>0</v>
      </c>
      <c r="N1707">
        <v>2400</v>
      </c>
    </row>
    <row r="1708" spans="1:14" x14ac:dyDescent="0.25">
      <c r="A1708">
        <v>1107.932603</v>
      </c>
      <c r="B1708" s="1">
        <f>DATE(2013,5,12) + TIME(22,22,56)</f>
        <v>41406.932592592595</v>
      </c>
      <c r="C1708">
        <v>80</v>
      </c>
      <c r="D1708">
        <v>79.974601746000005</v>
      </c>
      <c r="E1708">
        <v>50</v>
      </c>
      <c r="F1708">
        <v>49.116294861</v>
      </c>
      <c r="G1708">
        <v>1417.3221435999999</v>
      </c>
      <c r="H1708">
        <v>1392.9017334</v>
      </c>
      <c r="I1708">
        <v>1257.9350586</v>
      </c>
      <c r="J1708">
        <v>1221.7767334</v>
      </c>
      <c r="K1708">
        <v>2400</v>
      </c>
      <c r="L1708">
        <v>0</v>
      </c>
      <c r="M1708">
        <v>0</v>
      </c>
      <c r="N1708">
        <v>2400</v>
      </c>
    </row>
    <row r="1709" spans="1:14" x14ac:dyDescent="0.25">
      <c r="A1709">
        <v>1108.315713</v>
      </c>
      <c r="B1709" s="1">
        <f>DATE(2013,5,13) + TIME(7,34,37)</f>
        <v>41407.315706018519</v>
      </c>
      <c r="C1709">
        <v>80</v>
      </c>
      <c r="D1709">
        <v>79.974601746000005</v>
      </c>
      <c r="E1709">
        <v>50</v>
      </c>
      <c r="F1709">
        <v>49.092586517000001</v>
      </c>
      <c r="G1709">
        <v>1417.2386475000001</v>
      </c>
      <c r="H1709">
        <v>1392.8234863</v>
      </c>
      <c r="I1709">
        <v>1257.9208983999999</v>
      </c>
      <c r="J1709">
        <v>1221.7590332</v>
      </c>
      <c r="K1709">
        <v>2400</v>
      </c>
      <c r="L1709">
        <v>0</v>
      </c>
      <c r="M1709">
        <v>0</v>
      </c>
      <c r="N1709">
        <v>2400</v>
      </c>
    </row>
    <row r="1710" spans="1:14" x14ac:dyDescent="0.25">
      <c r="A1710">
        <v>1108.712644</v>
      </c>
      <c r="B1710" s="1">
        <f>DATE(2013,5,13) + TIME(17,6,12)</f>
        <v>41407.712638888886</v>
      </c>
      <c r="C1710">
        <v>80</v>
      </c>
      <c r="D1710">
        <v>79.974609375</v>
      </c>
      <c r="E1710">
        <v>50</v>
      </c>
      <c r="F1710">
        <v>49.068222046000002</v>
      </c>
      <c r="G1710">
        <v>1417.1551514</v>
      </c>
      <c r="H1710">
        <v>1392.7452393000001</v>
      </c>
      <c r="I1710">
        <v>1257.90625</v>
      </c>
      <c r="J1710">
        <v>1221.7408447</v>
      </c>
      <c r="K1710">
        <v>2400</v>
      </c>
      <c r="L1710">
        <v>0</v>
      </c>
      <c r="M1710">
        <v>0</v>
      </c>
      <c r="N1710">
        <v>2400</v>
      </c>
    </row>
    <row r="1711" spans="1:14" x14ac:dyDescent="0.25">
      <c r="A1711">
        <v>1109.125571</v>
      </c>
      <c r="B1711" s="1">
        <f>DATE(2013,5,14) + TIME(3,0,49)</f>
        <v>41408.125567129631</v>
      </c>
      <c r="C1711">
        <v>80</v>
      </c>
      <c r="D1711">
        <v>79.974609375</v>
      </c>
      <c r="E1711">
        <v>50</v>
      </c>
      <c r="F1711">
        <v>49.043094635000003</v>
      </c>
      <c r="G1711">
        <v>1417.0714111</v>
      </c>
      <c r="H1711">
        <v>1392.666626</v>
      </c>
      <c r="I1711">
        <v>1257.8909911999999</v>
      </c>
      <c r="J1711">
        <v>1221.7218018000001</v>
      </c>
      <c r="K1711">
        <v>2400</v>
      </c>
      <c r="L1711">
        <v>0</v>
      </c>
      <c r="M1711">
        <v>0</v>
      </c>
      <c r="N1711">
        <v>2400</v>
      </c>
    </row>
    <row r="1712" spans="1:14" x14ac:dyDescent="0.25">
      <c r="A1712">
        <v>1109.5571520000001</v>
      </c>
      <c r="B1712" s="1">
        <f>DATE(2013,5,14) + TIME(13,22,17)</f>
        <v>41408.557141203702</v>
      </c>
      <c r="C1712">
        <v>80</v>
      </c>
      <c r="D1712">
        <v>79.974617003999995</v>
      </c>
      <c r="E1712">
        <v>50</v>
      </c>
      <c r="F1712">
        <v>49.017086028999998</v>
      </c>
      <c r="G1712">
        <v>1416.9870605000001</v>
      </c>
      <c r="H1712">
        <v>1392.5872803</v>
      </c>
      <c r="I1712">
        <v>1257.8751221</v>
      </c>
      <c r="J1712">
        <v>1221.7020264</v>
      </c>
      <c r="K1712">
        <v>2400</v>
      </c>
      <c r="L1712">
        <v>0</v>
      </c>
      <c r="M1712">
        <v>0</v>
      </c>
      <c r="N1712">
        <v>2400</v>
      </c>
    </row>
    <row r="1713" spans="1:14" x14ac:dyDescent="0.25">
      <c r="A1713">
        <v>1109.990685</v>
      </c>
      <c r="B1713" s="1">
        <f>DATE(2013,5,14) + TIME(23,46,35)</f>
        <v>41408.990682870368</v>
      </c>
      <c r="C1713">
        <v>80</v>
      </c>
      <c r="D1713">
        <v>79.974617003999995</v>
      </c>
      <c r="E1713">
        <v>50</v>
      </c>
      <c r="F1713">
        <v>48.990646362</v>
      </c>
      <c r="G1713">
        <v>1416.9014893000001</v>
      </c>
      <c r="H1713">
        <v>1392.5069579999999</v>
      </c>
      <c r="I1713">
        <v>1257.8582764</v>
      </c>
      <c r="J1713">
        <v>1221.6812743999999</v>
      </c>
      <c r="K1713">
        <v>2400</v>
      </c>
      <c r="L1713">
        <v>0</v>
      </c>
      <c r="M1713">
        <v>0</v>
      </c>
      <c r="N1713">
        <v>2400</v>
      </c>
    </row>
    <row r="1714" spans="1:14" x14ac:dyDescent="0.25">
      <c r="A1714">
        <v>1110.426573</v>
      </c>
      <c r="B1714" s="1">
        <f>DATE(2013,5,15) + TIME(10,14,15)</f>
        <v>41409.426562499997</v>
      </c>
      <c r="C1714">
        <v>80</v>
      </c>
      <c r="D1714">
        <v>79.974624633999994</v>
      </c>
      <c r="E1714">
        <v>50</v>
      </c>
      <c r="F1714">
        <v>48.963989257999998</v>
      </c>
      <c r="G1714">
        <v>1416.8183594</v>
      </c>
      <c r="H1714">
        <v>1392.4287108999999</v>
      </c>
      <c r="I1714">
        <v>1257.8413086</v>
      </c>
      <c r="J1714">
        <v>1221.6602783000001</v>
      </c>
      <c r="K1714">
        <v>2400</v>
      </c>
      <c r="L1714">
        <v>0</v>
      </c>
      <c r="M1714">
        <v>0</v>
      </c>
      <c r="N1714">
        <v>2400</v>
      </c>
    </row>
    <row r="1715" spans="1:14" x14ac:dyDescent="0.25">
      <c r="A1715">
        <v>1110.8666539999999</v>
      </c>
      <c r="B1715" s="1">
        <f>DATE(2013,5,15) + TIME(20,47,58)</f>
        <v>41409.866643518515</v>
      </c>
      <c r="C1715">
        <v>80</v>
      </c>
      <c r="D1715">
        <v>79.974624633999994</v>
      </c>
      <c r="E1715">
        <v>50</v>
      </c>
      <c r="F1715">
        <v>48.937164307000003</v>
      </c>
      <c r="G1715">
        <v>1416.7373047000001</v>
      </c>
      <c r="H1715">
        <v>1392.3525391000001</v>
      </c>
      <c r="I1715">
        <v>1257.8242187999999</v>
      </c>
      <c r="J1715">
        <v>1221.6390381000001</v>
      </c>
      <c r="K1715">
        <v>2400</v>
      </c>
      <c r="L1715">
        <v>0</v>
      </c>
      <c r="M1715">
        <v>0</v>
      </c>
      <c r="N1715">
        <v>2400</v>
      </c>
    </row>
    <row r="1716" spans="1:14" x14ac:dyDescent="0.25">
      <c r="A1716">
        <v>1111.312741</v>
      </c>
      <c r="B1716" s="1">
        <f>DATE(2013,5,16) + TIME(7,30,20)</f>
        <v>41410.312731481485</v>
      </c>
      <c r="C1716">
        <v>80</v>
      </c>
      <c r="D1716">
        <v>79.974632263000004</v>
      </c>
      <c r="E1716">
        <v>50</v>
      </c>
      <c r="F1716">
        <v>48.910144805999998</v>
      </c>
      <c r="G1716">
        <v>1416.6579589999999</v>
      </c>
      <c r="H1716">
        <v>1392.2777100000001</v>
      </c>
      <c r="I1716">
        <v>1257.8068848</v>
      </c>
      <c r="J1716">
        <v>1221.6174315999999</v>
      </c>
      <c r="K1716">
        <v>2400</v>
      </c>
      <c r="L1716">
        <v>0</v>
      </c>
      <c r="M1716">
        <v>0</v>
      </c>
      <c r="N1716">
        <v>2400</v>
      </c>
    </row>
    <row r="1717" spans="1:14" x14ac:dyDescent="0.25">
      <c r="A1717">
        <v>1111.7669940000001</v>
      </c>
      <c r="B1717" s="1">
        <f>DATE(2013,5,16) + TIME(18,24,28)</f>
        <v>41410.76699074074</v>
      </c>
      <c r="C1717">
        <v>80</v>
      </c>
      <c r="D1717">
        <v>79.974639893000003</v>
      </c>
      <c r="E1717">
        <v>50</v>
      </c>
      <c r="F1717">
        <v>48.882854461999997</v>
      </c>
      <c r="G1717">
        <v>1416.5798339999999</v>
      </c>
      <c r="H1717">
        <v>1392.2041016000001</v>
      </c>
      <c r="I1717">
        <v>1257.7891846</v>
      </c>
      <c r="J1717">
        <v>1221.5955810999999</v>
      </c>
      <c r="K1717">
        <v>2400</v>
      </c>
      <c r="L1717">
        <v>0</v>
      </c>
      <c r="M1717">
        <v>0</v>
      </c>
      <c r="N1717">
        <v>2400</v>
      </c>
    </row>
    <row r="1718" spans="1:14" x14ac:dyDescent="0.25">
      <c r="A1718">
        <v>1112.2310769999999</v>
      </c>
      <c r="B1718" s="1">
        <f>DATE(2013,5,17) + TIME(5,32,45)</f>
        <v>41411.231076388889</v>
      </c>
      <c r="C1718">
        <v>80</v>
      </c>
      <c r="D1718">
        <v>79.974639893000003</v>
      </c>
      <c r="E1718">
        <v>50</v>
      </c>
      <c r="F1718">
        <v>48.855209350999999</v>
      </c>
      <c r="G1718">
        <v>1416.5025635</v>
      </c>
      <c r="H1718">
        <v>1392.1312256000001</v>
      </c>
      <c r="I1718">
        <v>1257.7711182</v>
      </c>
      <c r="J1718">
        <v>1221.5729980000001</v>
      </c>
      <c r="K1718">
        <v>2400</v>
      </c>
      <c r="L1718">
        <v>0</v>
      </c>
      <c r="M1718">
        <v>0</v>
      </c>
      <c r="N1718">
        <v>2400</v>
      </c>
    </row>
    <row r="1719" spans="1:14" x14ac:dyDescent="0.25">
      <c r="A1719">
        <v>1112.707075</v>
      </c>
      <c r="B1719" s="1">
        <f>DATE(2013,5,17) + TIME(16,58,11)</f>
        <v>41411.707071759258</v>
      </c>
      <c r="C1719">
        <v>80</v>
      </c>
      <c r="D1719">
        <v>79.974647521999998</v>
      </c>
      <c r="E1719">
        <v>50</v>
      </c>
      <c r="F1719">
        <v>48.827106475999997</v>
      </c>
      <c r="G1719">
        <v>1416.4259033000001</v>
      </c>
      <c r="H1719">
        <v>1392.0589600000001</v>
      </c>
      <c r="I1719">
        <v>1257.7525635</v>
      </c>
      <c r="J1719">
        <v>1221.5499268000001</v>
      </c>
      <c r="K1719">
        <v>2400</v>
      </c>
      <c r="L1719">
        <v>0</v>
      </c>
      <c r="M1719">
        <v>0</v>
      </c>
      <c r="N1719">
        <v>2400</v>
      </c>
    </row>
    <row r="1720" spans="1:14" x14ac:dyDescent="0.25">
      <c r="A1720">
        <v>1113.19724</v>
      </c>
      <c r="B1720" s="1">
        <f>DATE(2013,5,18) + TIME(4,44,1)</f>
        <v>41412.197233796294</v>
      </c>
      <c r="C1720">
        <v>80</v>
      </c>
      <c r="D1720">
        <v>79.974655150999993</v>
      </c>
      <c r="E1720">
        <v>50</v>
      </c>
      <c r="F1720">
        <v>48.798439025999997</v>
      </c>
      <c r="G1720">
        <v>1416.3494873</v>
      </c>
      <c r="H1720">
        <v>1391.9868164</v>
      </c>
      <c r="I1720">
        <v>1257.7333983999999</v>
      </c>
      <c r="J1720">
        <v>1221.5261230000001</v>
      </c>
      <c r="K1720">
        <v>2400</v>
      </c>
      <c r="L1720">
        <v>0</v>
      </c>
      <c r="M1720">
        <v>0</v>
      </c>
      <c r="N1720">
        <v>2400</v>
      </c>
    </row>
    <row r="1721" spans="1:14" x14ac:dyDescent="0.25">
      <c r="A1721">
        <v>1113.6982250000001</v>
      </c>
      <c r="B1721" s="1">
        <f>DATE(2013,5,18) + TIME(16,45,26)</f>
        <v>41412.698217592595</v>
      </c>
      <c r="C1721">
        <v>80</v>
      </c>
      <c r="D1721">
        <v>79.974662781000006</v>
      </c>
      <c r="E1721">
        <v>50</v>
      </c>
      <c r="F1721">
        <v>48.769241332999997</v>
      </c>
      <c r="G1721">
        <v>1416.2729492000001</v>
      </c>
      <c r="H1721">
        <v>1391.9146728999999</v>
      </c>
      <c r="I1721">
        <v>1257.7136230000001</v>
      </c>
      <c r="J1721">
        <v>1221.5014647999999</v>
      </c>
      <c r="K1721">
        <v>2400</v>
      </c>
      <c r="L1721">
        <v>0</v>
      </c>
      <c r="M1721">
        <v>0</v>
      </c>
      <c r="N1721">
        <v>2400</v>
      </c>
    </row>
    <row r="1722" spans="1:14" x14ac:dyDescent="0.25">
      <c r="A1722">
        <v>1114.2121910000001</v>
      </c>
      <c r="B1722" s="1">
        <f>DATE(2013,5,19) + TIME(5,5,33)</f>
        <v>41413.212187500001</v>
      </c>
      <c r="C1722">
        <v>80</v>
      </c>
      <c r="D1722">
        <v>79.974670410000002</v>
      </c>
      <c r="E1722">
        <v>50</v>
      </c>
      <c r="F1722">
        <v>48.739482879999997</v>
      </c>
      <c r="G1722">
        <v>1416.1968993999999</v>
      </c>
      <c r="H1722">
        <v>1391.8428954999999</v>
      </c>
      <c r="I1722">
        <v>1257.6932373</v>
      </c>
      <c r="J1722">
        <v>1221.4760742000001</v>
      </c>
      <c r="K1722">
        <v>2400</v>
      </c>
      <c r="L1722">
        <v>0</v>
      </c>
      <c r="M1722">
        <v>0</v>
      </c>
      <c r="N1722">
        <v>2400</v>
      </c>
    </row>
    <row r="1723" spans="1:14" x14ac:dyDescent="0.25">
      <c r="A1723">
        <v>1114.7415109999999</v>
      </c>
      <c r="B1723" s="1">
        <f>DATE(2013,5,19) + TIME(17,47,46)</f>
        <v>41413.74150462963</v>
      </c>
      <c r="C1723">
        <v>80</v>
      </c>
      <c r="D1723">
        <v>79.974678040000001</v>
      </c>
      <c r="E1723">
        <v>50</v>
      </c>
      <c r="F1723">
        <v>48.709083557</v>
      </c>
      <c r="G1723">
        <v>1416.1212158000001</v>
      </c>
      <c r="H1723">
        <v>1391.7712402</v>
      </c>
      <c r="I1723">
        <v>1257.6721190999999</v>
      </c>
      <c r="J1723">
        <v>1221.4499512</v>
      </c>
      <c r="K1723">
        <v>2400</v>
      </c>
      <c r="L1723">
        <v>0</v>
      </c>
      <c r="M1723">
        <v>0</v>
      </c>
      <c r="N1723">
        <v>2400</v>
      </c>
    </row>
    <row r="1724" spans="1:14" x14ac:dyDescent="0.25">
      <c r="A1724">
        <v>1115.2888390000001</v>
      </c>
      <c r="B1724" s="1">
        <f>DATE(2013,5,20) + TIME(6,55,55)</f>
        <v>41414.288831018515</v>
      </c>
      <c r="C1724">
        <v>80</v>
      </c>
      <c r="D1724">
        <v>79.974685668999996</v>
      </c>
      <c r="E1724">
        <v>50</v>
      </c>
      <c r="F1724">
        <v>48.677932738999999</v>
      </c>
      <c r="G1724">
        <v>1416.0452881000001</v>
      </c>
      <c r="H1724">
        <v>1391.6994629000001</v>
      </c>
      <c r="I1724">
        <v>1257.6502685999999</v>
      </c>
      <c r="J1724">
        <v>1221.4227295000001</v>
      </c>
      <c r="K1724">
        <v>2400</v>
      </c>
      <c r="L1724">
        <v>0</v>
      </c>
      <c r="M1724">
        <v>0</v>
      </c>
      <c r="N1724">
        <v>2400</v>
      </c>
    </row>
    <row r="1725" spans="1:14" x14ac:dyDescent="0.25">
      <c r="A1725">
        <v>1115.8501020000001</v>
      </c>
      <c r="B1725" s="1">
        <f>DATE(2013,5,20) + TIME(20,24,8)</f>
        <v>41414.850092592591</v>
      </c>
      <c r="C1725">
        <v>80</v>
      </c>
      <c r="D1725">
        <v>79.974693298000005</v>
      </c>
      <c r="E1725">
        <v>50</v>
      </c>
      <c r="F1725">
        <v>48.646076202000003</v>
      </c>
      <c r="G1725">
        <v>1415.9689940999999</v>
      </c>
      <c r="H1725">
        <v>1391.6273193</v>
      </c>
      <c r="I1725">
        <v>1257.6275635</v>
      </c>
      <c r="J1725">
        <v>1221.3944091999999</v>
      </c>
      <c r="K1725">
        <v>2400</v>
      </c>
      <c r="L1725">
        <v>0</v>
      </c>
      <c r="M1725">
        <v>0</v>
      </c>
      <c r="N1725">
        <v>2400</v>
      </c>
    </row>
    <row r="1726" spans="1:14" x14ac:dyDescent="0.25">
      <c r="A1726">
        <v>1116.4134899999999</v>
      </c>
      <c r="B1726" s="1">
        <f>DATE(2013,5,21) + TIME(9,55,25)</f>
        <v>41415.413483796299</v>
      </c>
      <c r="C1726">
        <v>80</v>
      </c>
      <c r="D1726">
        <v>79.974700928000004</v>
      </c>
      <c r="E1726">
        <v>50</v>
      </c>
      <c r="F1726">
        <v>48.613857269</v>
      </c>
      <c r="G1726">
        <v>1415.8929443</v>
      </c>
      <c r="H1726">
        <v>1391.5552978999999</v>
      </c>
      <c r="I1726">
        <v>1257.6040039</v>
      </c>
      <c r="J1726">
        <v>1221.3652344</v>
      </c>
      <c r="K1726">
        <v>2400</v>
      </c>
      <c r="L1726">
        <v>0</v>
      </c>
      <c r="M1726">
        <v>0</v>
      </c>
      <c r="N1726">
        <v>2400</v>
      </c>
    </row>
    <row r="1727" spans="1:14" x14ac:dyDescent="0.25">
      <c r="A1727">
        <v>1116.981342</v>
      </c>
      <c r="B1727" s="1">
        <f>DATE(2013,5,21) + TIME(23,33,7)</f>
        <v>41415.98133101852</v>
      </c>
      <c r="C1727">
        <v>80</v>
      </c>
      <c r="D1727">
        <v>79.974708557</v>
      </c>
      <c r="E1727">
        <v>50</v>
      </c>
      <c r="F1727">
        <v>48.581451416</v>
      </c>
      <c r="G1727">
        <v>1415.8186035000001</v>
      </c>
      <c r="H1727">
        <v>1391.4849853999999</v>
      </c>
      <c r="I1727">
        <v>1257.5802002</v>
      </c>
      <c r="J1727">
        <v>1221.3356934000001</v>
      </c>
      <c r="K1727">
        <v>2400</v>
      </c>
      <c r="L1727">
        <v>0</v>
      </c>
      <c r="M1727">
        <v>0</v>
      </c>
      <c r="N1727">
        <v>2400</v>
      </c>
    </row>
    <row r="1728" spans="1:14" x14ac:dyDescent="0.25">
      <c r="A1728">
        <v>1117.555967</v>
      </c>
      <c r="B1728" s="1">
        <f>DATE(2013,5,22) + TIME(13,20,35)</f>
        <v>41416.555960648147</v>
      </c>
      <c r="C1728">
        <v>80</v>
      </c>
      <c r="D1728">
        <v>79.974716186999999</v>
      </c>
      <c r="E1728">
        <v>50</v>
      </c>
      <c r="F1728">
        <v>48.548866271999998</v>
      </c>
      <c r="G1728">
        <v>1415.7457274999999</v>
      </c>
      <c r="H1728">
        <v>1391.4160156</v>
      </c>
      <c r="I1728">
        <v>1257.5560303</v>
      </c>
      <c r="J1728">
        <v>1221.3056641000001</v>
      </c>
      <c r="K1728">
        <v>2400</v>
      </c>
      <c r="L1728">
        <v>0</v>
      </c>
      <c r="M1728">
        <v>0</v>
      </c>
      <c r="N1728">
        <v>2400</v>
      </c>
    </row>
    <row r="1729" spans="1:14" x14ac:dyDescent="0.25">
      <c r="A1729">
        <v>1118.139985</v>
      </c>
      <c r="B1729" s="1">
        <f>DATE(2013,5,23) + TIME(3,21,34)</f>
        <v>41417.139976851853</v>
      </c>
      <c r="C1729">
        <v>80</v>
      </c>
      <c r="D1729">
        <v>79.974723815999994</v>
      </c>
      <c r="E1729">
        <v>50</v>
      </c>
      <c r="F1729">
        <v>48.516017914000003</v>
      </c>
      <c r="G1729">
        <v>1415.6739502</v>
      </c>
      <c r="H1729">
        <v>1391.3480225000001</v>
      </c>
      <c r="I1729">
        <v>1257.5314940999999</v>
      </c>
      <c r="J1729">
        <v>1221.2749022999999</v>
      </c>
      <c r="K1729">
        <v>2400</v>
      </c>
      <c r="L1729">
        <v>0</v>
      </c>
      <c r="M1729">
        <v>0</v>
      </c>
      <c r="N1729">
        <v>2400</v>
      </c>
    </row>
    <row r="1730" spans="1:14" x14ac:dyDescent="0.25">
      <c r="A1730">
        <v>1118.735676</v>
      </c>
      <c r="B1730" s="1">
        <f>DATE(2013,5,23) + TIME(17,39,22)</f>
        <v>41417.735671296294</v>
      </c>
      <c r="C1730">
        <v>80</v>
      </c>
      <c r="D1730">
        <v>79.974731445000003</v>
      </c>
      <c r="E1730">
        <v>50</v>
      </c>
      <c r="F1730">
        <v>48.482810974000003</v>
      </c>
      <c r="G1730">
        <v>1415.6029053</v>
      </c>
      <c r="H1730">
        <v>1391.2806396000001</v>
      </c>
      <c r="I1730">
        <v>1257.5062256000001</v>
      </c>
      <c r="J1730">
        <v>1221.2434082</v>
      </c>
      <c r="K1730">
        <v>2400</v>
      </c>
      <c r="L1730">
        <v>0</v>
      </c>
      <c r="M1730">
        <v>0</v>
      </c>
      <c r="N1730">
        <v>2400</v>
      </c>
    </row>
    <row r="1731" spans="1:14" x14ac:dyDescent="0.25">
      <c r="A1731">
        <v>1119.345546</v>
      </c>
      <c r="B1731" s="1">
        <f>DATE(2013,5,24) + TIME(8,17,35)</f>
        <v>41418.345543981479</v>
      </c>
      <c r="C1731">
        <v>80</v>
      </c>
      <c r="D1731">
        <v>79.974739075000002</v>
      </c>
      <c r="E1731">
        <v>50</v>
      </c>
      <c r="F1731">
        <v>48.449115753000001</v>
      </c>
      <c r="G1731">
        <v>1415.5322266000001</v>
      </c>
      <c r="H1731">
        <v>1391.2136230000001</v>
      </c>
      <c r="I1731">
        <v>1257.4803466999999</v>
      </c>
      <c r="J1731">
        <v>1221.2110596</v>
      </c>
      <c r="K1731">
        <v>2400</v>
      </c>
      <c r="L1731">
        <v>0</v>
      </c>
      <c r="M1731">
        <v>0</v>
      </c>
      <c r="N1731">
        <v>2400</v>
      </c>
    </row>
    <row r="1732" spans="1:14" x14ac:dyDescent="0.25">
      <c r="A1732">
        <v>1119.972428</v>
      </c>
      <c r="B1732" s="1">
        <f>DATE(2013,5,24) + TIME(23,20,17)</f>
        <v>41418.972418981481</v>
      </c>
      <c r="C1732">
        <v>80</v>
      </c>
      <c r="D1732">
        <v>79.974746703999998</v>
      </c>
      <c r="E1732">
        <v>50</v>
      </c>
      <c r="F1732">
        <v>48.414806366000001</v>
      </c>
      <c r="G1732">
        <v>1415.4616699000001</v>
      </c>
      <c r="H1732">
        <v>1391.1467285000001</v>
      </c>
      <c r="I1732">
        <v>1257.4534911999999</v>
      </c>
      <c r="J1732">
        <v>1221.1776123</v>
      </c>
      <c r="K1732">
        <v>2400</v>
      </c>
      <c r="L1732">
        <v>0</v>
      </c>
      <c r="M1732">
        <v>0</v>
      </c>
      <c r="N1732">
        <v>2400</v>
      </c>
    </row>
    <row r="1733" spans="1:14" x14ac:dyDescent="0.25">
      <c r="A1733">
        <v>1120.615796</v>
      </c>
      <c r="B1733" s="1">
        <f>DATE(2013,5,25) + TIME(14,46,44)</f>
        <v>41419.615787037037</v>
      </c>
      <c r="C1733">
        <v>80</v>
      </c>
      <c r="D1733">
        <v>79.974761963000006</v>
      </c>
      <c r="E1733">
        <v>50</v>
      </c>
      <c r="F1733">
        <v>48.379814148000001</v>
      </c>
      <c r="G1733">
        <v>1415.3911132999999</v>
      </c>
      <c r="H1733">
        <v>1391.0798339999999</v>
      </c>
      <c r="I1733">
        <v>1257.4257812000001</v>
      </c>
      <c r="J1733">
        <v>1221.1429443</v>
      </c>
      <c r="K1733">
        <v>2400</v>
      </c>
      <c r="L1733">
        <v>0</v>
      </c>
      <c r="M1733">
        <v>0</v>
      </c>
      <c r="N1733">
        <v>2400</v>
      </c>
    </row>
    <row r="1734" spans="1:14" x14ac:dyDescent="0.25">
      <c r="A1734">
        <v>1121.27352</v>
      </c>
      <c r="B1734" s="1">
        <f>DATE(2013,5,26) + TIME(6,33,52)</f>
        <v>41420.273518518516</v>
      </c>
      <c r="C1734">
        <v>80</v>
      </c>
      <c r="D1734">
        <v>79.974769592000001</v>
      </c>
      <c r="E1734">
        <v>50</v>
      </c>
      <c r="F1734">
        <v>48.344165801999999</v>
      </c>
      <c r="G1734">
        <v>1415.3204346</v>
      </c>
      <c r="H1734">
        <v>1391.0126952999999</v>
      </c>
      <c r="I1734">
        <v>1257.3969727000001</v>
      </c>
      <c r="J1734">
        <v>1221.1069336</v>
      </c>
      <c r="K1734">
        <v>2400</v>
      </c>
      <c r="L1734">
        <v>0</v>
      </c>
      <c r="M1734">
        <v>0</v>
      </c>
      <c r="N1734">
        <v>2400</v>
      </c>
    </row>
    <row r="1735" spans="1:14" x14ac:dyDescent="0.25">
      <c r="A1735">
        <v>1121.9485810000001</v>
      </c>
      <c r="B1735" s="1">
        <f>DATE(2013,5,26) + TIME(22,45,57)</f>
        <v>41420.948576388888</v>
      </c>
      <c r="C1735">
        <v>80</v>
      </c>
      <c r="D1735">
        <v>79.974777222</v>
      </c>
      <c r="E1735">
        <v>50</v>
      </c>
      <c r="F1735">
        <v>48.307834624999998</v>
      </c>
      <c r="G1735">
        <v>1415.2498779</v>
      </c>
      <c r="H1735">
        <v>1390.9458007999999</v>
      </c>
      <c r="I1735">
        <v>1257.3671875</v>
      </c>
      <c r="J1735">
        <v>1221.0697021000001</v>
      </c>
      <c r="K1735">
        <v>2400</v>
      </c>
      <c r="L1735">
        <v>0</v>
      </c>
      <c r="M1735">
        <v>0</v>
      </c>
      <c r="N1735">
        <v>2400</v>
      </c>
    </row>
    <row r="1736" spans="1:14" x14ac:dyDescent="0.25">
      <c r="A1736">
        <v>1122.64417</v>
      </c>
      <c r="B1736" s="1">
        <f>DATE(2013,5,27) + TIME(15,27,36)</f>
        <v>41421.644166666665</v>
      </c>
      <c r="C1736">
        <v>80</v>
      </c>
      <c r="D1736">
        <v>79.974792480000005</v>
      </c>
      <c r="E1736">
        <v>50</v>
      </c>
      <c r="F1736">
        <v>48.270713806000003</v>
      </c>
      <c r="G1736">
        <v>1415.1794434000001</v>
      </c>
      <c r="H1736">
        <v>1390.8789062000001</v>
      </c>
      <c r="I1736">
        <v>1257.3364257999999</v>
      </c>
      <c r="J1736">
        <v>1221.0311279</v>
      </c>
      <c r="K1736">
        <v>2400</v>
      </c>
      <c r="L1736">
        <v>0</v>
      </c>
      <c r="M1736">
        <v>0</v>
      </c>
      <c r="N1736">
        <v>2400</v>
      </c>
    </row>
    <row r="1737" spans="1:14" x14ac:dyDescent="0.25">
      <c r="A1737">
        <v>1123.346366</v>
      </c>
      <c r="B1737" s="1">
        <f>DATE(2013,5,28) + TIME(8,18,46)</f>
        <v>41422.346365740741</v>
      </c>
      <c r="C1737">
        <v>80</v>
      </c>
      <c r="D1737">
        <v>79.974800110000004</v>
      </c>
      <c r="E1737">
        <v>50</v>
      </c>
      <c r="F1737">
        <v>48.233024596999996</v>
      </c>
      <c r="G1737">
        <v>1415.1086425999999</v>
      </c>
      <c r="H1737">
        <v>1390.8116454999999</v>
      </c>
      <c r="I1737">
        <v>1257.3041992000001</v>
      </c>
      <c r="J1737">
        <v>1220.9909668</v>
      </c>
      <c r="K1737">
        <v>2400</v>
      </c>
      <c r="L1737">
        <v>0</v>
      </c>
      <c r="M1737">
        <v>0</v>
      </c>
      <c r="N1737">
        <v>2400</v>
      </c>
    </row>
    <row r="1738" spans="1:14" x14ac:dyDescent="0.25">
      <c r="A1738">
        <v>1124.053179</v>
      </c>
      <c r="B1738" s="1">
        <f>DATE(2013,5,29) + TIME(1,16,34)</f>
        <v>41423.053171296298</v>
      </c>
      <c r="C1738">
        <v>80</v>
      </c>
      <c r="D1738">
        <v>79.974815368999998</v>
      </c>
      <c r="E1738">
        <v>50</v>
      </c>
      <c r="F1738">
        <v>48.195053100999999</v>
      </c>
      <c r="G1738">
        <v>1415.0388184000001</v>
      </c>
      <c r="H1738">
        <v>1390.7453613</v>
      </c>
      <c r="I1738">
        <v>1257.2714844</v>
      </c>
      <c r="J1738">
        <v>1220.9499512</v>
      </c>
      <c r="K1738">
        <v>2400</v>
      </c>
      <c r="L1738">
        <v>0</v>
      </c>
      <c r="M1738">
        <v>0</v>
      </c>
      <c r="N1738">
        <v>2400</v>
      </c>
    </row>
    <row r="1739" spans="1:14" x14ac:dyDescent="0.25">
      <c r="A1739">
        <v>1124.767509</v>
      </c>
      <c r="B1739" s="1">
        <f>DATE(2013,5,29) + TIME(18,25,12)</f>
        <v>41423.767500000002</v>
      </c>
      <c r="C1739">
        <v>80</v>
      </c>
      <c r="D1739">
        <v>79.974822997999993</v>
      </c>
      <c r="E1739">
        <v>50</v>
      </c>
      <c r="F1739">
        <v>48.156879425</v>
      </c>
      <c r="G1739">
        <v>1414.9703368999999</v>
      </c>
      <c r="H1739">
        <v>1390.6802978999999</v>
      </c>
      <c r="I1739">
        <v>1257.2381591999999</v>
      </c>
      <c r="J1739">
        <v>1220.9080810999999</v>
      </c>
      <c r="K1739">
        <v>2400</v>
      </c>
      <c r="L1739">
        <v>0</v>
      </c>
      <c r="M1739">
        <v>0</v>
      </c>
      <c r="N1739">
        <v>2400</v>
      </c>
    </row>
    <row r="1740" spans="1:14" x14ac:dyDescent="0.25">
      <c r="A1740">
        <v>1125.4925800000001</v>
      </c>
      <c r="B1740" s="1">
        <f>DATE(2013,5,30) + TIME(11,49,18)</f>
        <v>41424.492569444446</v>
      </c>
      <c r="C1740">
        <v>80</v>
      </c>
      <c r="D1740">
        <v>79.974830627000003</v>
      </c>
      <c r="E1740">
        <v>50</v>
      </c>
      <c r="F1740">
        <v>48.118434905999997</v>
      </c>
      <c r="G1740">
        <v>1414.9027100000001</v>
      </c>
      <c r="H1740">
        <v>1390.6160889</v>
      </c>
      <c r="I1740">
        <v>1257.2041016000001</v>
      </c>
      <c r="J1740">
        <v>1220.8651123</v>
      </c>
      <c r="K1740">
        <v>2400</v>
      </c>
      <c r="L1740">
        <v>0</v>
      </c>
      <c r="M1740">
        <v>0</v>
      </c>
      <c r="N1740">
        <v>2400</v>
      </c>
    </row>
    <row r="1741" spans="1:14" x14ac:dyDescent="0.25">
      <c r="A1741">
        <v>1126.2312890000001</v>
      </c>
      <c r="B1741" s="1">
        <f>DATE(2013,5,31) + TIME(5,33,3)</f>
        <v>41425.23128472222</v>
      </c>
      <c r="C1741">
        <v>80</v>
      </c>
      <c r="D1741">
        <v>79.974845885999997</v>
      </c>
      <c r="E1741">
        <v>50</v>
      </c>
      <c r="F1741">
        <v>48.079586028999998</v>
      </c>
      <c r="G1741">
        <v>1414.8358154</v>
      </c>
      <c r="H1741">
        <v>1390.5523682</v>
      </c>
      <c r="I1741">
        <v>1257.1690673999999</v>
      </c>
      <c r="J1741">
        <v>1220.8210449000001</v>
      </c>
      <c r="K1741">
        <v>2400</v>
      </c>
      <c r="L1741">
        <v>0</v>
      </c>
      <c r="M1741">
        <v>0</v>
      </c>
      <c r="N1741">
        <v>2400</v>
      </c>
    </row>
    <row r="1742" spans="1:14" x14ac:dyDescent="0.25">
      <c r="A1742">
        <v>1127</v>
      </c>
      <c r="B1742" s="1">
        <f>DATE(2013,6,1) + TIME(0,0,0)</f>
        <v>41426</v>
      </c>
      <c r="C1742">
        <v>80</v>
      </c>
      <c r="D1742">
        <v>79.974861145000006</v>
      </c>
      <c r="E1742">
        <v>50</v>
      </c>
      <c r="F1742">
        <v>48.039939879999999</v>
      </c>
      <c r="G1742">
        <v>1414.769043</v>
      </c>
      <c r="H1742">
        <v>1390.4890137</v>
      </c>
      <c r="I1742">
        <v>1257.1330565999999</v>
      </c>
      <c r="J1742">
        <v>1220.7755127</v>
      </c>
      <c r="K1742">
        <v>2400</v>
      </c>
      <c r="L1742">
        <v>0</v>
      </c>
      <c r="M1742">
        <v>0</v>
      </c>
      <c r="N1742">
        <v>2400</v>
      </c>
    </row>
    <row r="1743" spans="1:14" x14ac:dyDescent="0.25">
      <c r="A1743">
        <v>1127.7553820000001</v>
      </c>
      <c r="B1743" s="1">
        <f>DATE(2013,6,1) + TIME(18,7,44)</f>
        <v>41426.755370370367</v>
      </c>
      <c r="C1743">
        <v>80</v>
      </c>
      <c r="D1743">
        <v>79.974868774000001</v>
      </c>
      <c r="E1743">
        <v>50</v>
      </c>
      <c r="F1743">
        <v>47.999969481999997</v>
      </c>
      <c r="G1743">
        <v>1414.7012939000001</v>
      </c>
      <c r="H1743">
        <v>1390.4245605000001</v>
      </c>
      <c r="I1743">
        <v>1257.0948486</v>
      </c>
      <c r="J1743">
        <v>1220.7276611</v>
      </c>
      <c r="K1743">
        <v>2400</v>
      </c>
      <c r="L1743">
        <v>0</v>
      </c>
      <c r="M1743">
        <v>0</v>
      </c>
      <c r="N1743">
        <v>2400</v>
      </c>
    </row>
    <row r="1744" spans="1:14" x14ac:dyDescent="0.25">
      <c r="A1744">
        <v>1128.553144</v>
      </c>
      <c r="B1744" s="1">
        <f>DATE(2013,6,2) + TIME(13,16,31)</f>
        <v>41427.553136574075</v>
      </c>
      <c r="C1744">
        <v>80</v>
      </c>
      <c r="D1744">
        <v>79.974884032999995</v>
      </c>
      <c r="E1744">
        <v>50</v>
      </c>
      <c r="F1744">
        <v>47.959350585999999</v>
      </c>
      <c r="G1744">
        <v>1414.6362305</v>
      </c>
      <c r="H1744">
        <v>1390.3626709</v>
      </c>
      <c r="I1744">
        <v>1257.0571289</v>
      </c>
      <c r="J1744">
        <v>1220.6795654</v>
      </c>
      <c r="K1744">
        <v>2400</v>
      </c>
      <c r="L1744">
        <v>0</v>
      </c>
      <c r="M1744">
        <v>0</v>
      </c>
      <c r="N1744">
        <v>2400</v>
      </c>
    </row>
    <row r="1745" spans="1:14" x14ac:dyDescent="0.25">
      <c r="A1745">
        <v>1129.364341</v>
      </c>
      <c r="B1745" s="1">
        <f>DATE(2013,6,3) + TIME(8,44,39)</f>
        <v>41428.364340277774</v>
      </c>
      <c r="C1745">
        <v>80</v>
      </c>
      <c r="D1745">
        <v>79.974899292000003</v>
      </c>
      <c r="E1745">
        <v>50</v>
      </c>
      <c r="F1745">
        <v>47.917766571000001</v>
      </c>
      <c r="G1745">
        <v>1414.5690918</v>
      </c>
      <c r="H1745">
        <v>1390.2988281</v>
      </c>
      <c r="I1745">
        <v>1257.0166016000001</v>
      </c>
      <c r="J1745">
        <v>1220.6282959</v>
      </c>
      <c r="K1745">
        <v>2400</v>
      </c>
      <c r="L1745">
        <v>0</v>
      </c>
      <c r="M1745">
        <v>0</v>
      </c>
      <c r="N1745">
        <v>2400</v>
      </c>
    </row>
    <row r="1746" spans="1:14" x14ac:dyDescent="0.25">
      <c r="A1746">
        <v>1130.1925180000001</v>
      </c>
      <c r="B1746" s="1">
        <f>DATE(2013,6,4) + TIME(4,37,13)</f>
        <v>41429.192511574074</v>
      </c>
      <c r="C1746">
        <v>80</v>
      </c>
      <c r="D1746">
        <v>79.974906920999999</v>
      </c>
      <c r="E1746">
        <v>50</v>
      </c>
      <c r="F1746">
        <v>47.875431061</v>
      </c>
      <c r="G1746">
        <v>1414.5023193</v>
      </c>
      <c r="H1746">
        <v>1390.2352295000001</v>
      </c>
      <c r="I1746">
        <v>1256.9748535000001</v>
      </c>
      <c r="J1746">
        <v>1220.5753173999999</v>
      </c>
      <c r="K1746">
        <v>2400</v>
      </c>
      <c r="L1746">
        <v>0</v>
      </c>
      <c r="M1746">
        <v>0</v>
      </c>
      <c r="N1746">
        <v>2400</v>
      </c>
    </row>
    <row r="1747" spans="1:14" x14ac:dyDescent="0.25">
      <c r="A1747">
        <v>1131.0410199999999</v>
      </c>
      <c r="B1747" s="1">
        <f>DATE(2013,6,5) + TIME(0,59,4)</f>
        <v>41430.041018518517</v>
      </c>
      <c r="C1747">
        <v>80</v>
      </c>
      <c r="D1747">
        <v>79.974922179999993</v>
      </c>
      <c r="E1747">
        <v>50</v>
      </c>
      <c r="F1747">
        <v>47.832317351999997</v>
      </c>
      <c r="G1747">
        <v>1414.4357910000001</v>
      </c>
      <c r="H1747">
        <v>1390.171875</v>
      </c>
      <c r="I1747">
        <v>1256.9315185999999</v>
      </c>
      <c r="J1747">
        <v>1220.5203856999999</v>
      </c>
      <c r="K1747">
        <v>2400</v>
      </c>
      <c r="L1747">
        <v>0</v>
      </c>
      <c r="M1747">
        <v>0</v>
      </c>
      <c r="N1747">
        <v>2400</v>
      </c>
    </row>
    <row r="1748" spans="1:14" x14ac:dyDescent="0.25">
      <c r="A1748">
        <v>1131.8972630000001</v>
      </c>
      <c r="B1748" s="1">
        <f>DATE(2013,6,5) + TIME(21,32,3)</f>
        <v>41430.897256944445</v>
      </c>
      <c r="C1748">
        <v>80</v>
      </c>
      <c r="D1748">
        <v>79.974937439000001</v>
      </c>
      <c r="E1748">
        <v>50</v>
      </c>
      <c r="F1748">
        <v>47.788585662999999</v>
      </c>
      <c r="G1748">
        <v>1414.3690185999999</v>
      </c>
      <c r="H1748">
        <v>1390.1083983999999</v>
      </c>
      <c r="I1748">
        <v>1256.8865966999999</v>
      </c>
      <c r="J1748">
        <v>1220.4631348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1132.7593810000001</v>
      </c>
      <c r="B1749" s="1">
        <f>DATE(2013,6,6) + TIME(18,13,30)</f>
        <v>41431.759375000001</v>
      </c>
      <c r="C1749">
        <v>80</v>
      </c>
      <c r="D1749">
        <v>79.974952697999996</v>
      </c>
      <c r="E1749">
        <v>50</v>
      </c>
      <c r="F1749">
        <v>47.744518280000001</v>
      </c>
      <c r="G1749">
        <v>1414.3032227000001</v>
      </c>
      <c r="H1749">
        <v>1390.0456543</v>
      </c>
      <c r="I1749">
        <v>1256.8404541</v>
      </c>
      <c r="J1749">
        <v>1220.4044189000001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1133.630805</v>
      </c>
      <c r="B1750" s="1">
        <f>DATE(2013,6,7) + TIME(15,8,21)</f>
        <v>41432.630798611113</v>
      </c>
      <c r="C1750">
        <v>80</v>
      </c>
      <c r="D1750">
        <v>79.974967957000004</v>
      </c>
      <c r="E1750">
        <v>50</v>
      </c>
      <c r="F1750">
        <v>47.700176239000001</v>
      </c>
      <c r="G1750">
        <v>1414.2384033000001</v>
      </c>
      <c r="H1750">
        <v>1389.9838867000001</v>
      </c>
      <c r="I1750">
        <v>1256.7933350000001</v>
      </c>
      <c r="J1750">
        <v>1220.3441161999999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1134.5153539999999</v>
      </c>
      <c r="B1751" s="1">
        <f>DATE(2013,6,8) + TIME(12,22,6)</f>
        <v>41433.515347222223</v>
      </c>
      <c r="C1751">
        <v>80</v>
      </c>
      <c r="D1751">
        <v>79.974983214999995</v>
      </c>
      <c r="E1751">
        <v>50</v>
      </c>
      <c r="F1751">
        <v>47.655456543</v>
      </c>
      <c r="G1751">
        <v>1414.1741943</v>
      </c>
      <c r="H1751">
        <v>1389.9228516000001</v>
      </c>
      <c r="I1751">
        <v>1256.7449951000001</v>
      </c>
      <c r="J1751">
        <v>1220.2821045000001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1135.416557</v>
      </c>
      <c r="B1752" s="1">
        <f>DATE(2013,6,9) + TIME(9,59,50)</f>
        <v>41434.416550925926</v>
      </c>
      <c r="C1752">
        <v>80</v>
      </c>
      <c r="D1752">
        <v>79.974998474000003</v>
      </c>
      <c r="E1752">
        <v>50</v>
      </c>
      <c r="F1752">
        <v>47.610195160000004</v>
      </c>
      <c r="G1752">
        <v>1414.1104736</v>
      </c>
      <c r="H1752">
        <v>1389.8621826000001</v>
      </c>
      <c r="I1752">
        <v>1256.6950684000001</v>
      </c>
      <c r="J1752">
        <v>1220.2180175999999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1136.3380159999999</v>
      </c>
      <c r="B1753" s="1">
        <f>DATE(2013,6,10) + TIME(8,6,44)</f>
        <v>41435.338009259256</v>
      </c>
      <c r="C1753">
        <v>80</v>
      </c>
      <c r="D1753">
        <v>79.975013732999997</v>
      </c>
      <c r="E1753">
        <v>50</v>
      </c>
      <c r="F1753">
        <v>47.564208983999997</v>
      </c>
      <c r="G1753">
        <v>1414.0469971</v>
      </c>
      <c r="H1753">
        <v>1389.8016356999999</v>
      </c>
      <c r="I1753">
        <v>1256.6434326000001</v>
      </c>
      <c r="J1753">
        <v>1220.1513672000001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1137.2838959999999</v>
      </c>
      <c r="B1754" s="1">
        <f>DATE(2013,6,11) + TIME(6,48,48)</f>
        <v>41436.283888888887</v>
      </c>
      <c r="C1754">
        <v>80</v>
      </c>
      <c r="D1754">
        <v>79.975028992000006</v>
      </c>
      <c r="E1754">
        <v>50</v>
      </c>
      <c r="F1754">
        <v>47.517307281000001</v>
      </c>
      <c r="G1754">
        <v>1413.9833983999999</v>
      </c>
      <c r="H1754">
        <v>1389.7409668</v>
      </c>
      <c r="I1754">
        <v>1256.5897216999999</v>
      </c>
      <c r="J1754">
        <v>1220.0820312000001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1138.257636</v>
      </c>
      <c r="B1755" s="1">
        <f>DATE(2013,6,12) + TIME(6,10,59)</f>
        <v>41437.257627314815</v>
      </c>
      <c r="C1755">
        <v>80</v>
      </c>
      <c r="D1755">
        <v>79.975044249999996</v>
      </c>
      <c r="E1755">
        <v>50</v>
      </c>
      <c r="F1755">
        <v>47.469291687000002</v>
      </c>
      <c r="G1755">
        <v>1413.9194336</v>
      </c>
      <c r="H1755">
        <v>1389.6800536999999</v>
      </c>
      <c r="I1755">
        <v>1256.5335693</v>
      </c>
      <c r="J1755">
        <v>1220.0093993999999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1139.2465279999999</v>
      </c>
      <c r="B1756" s="1">
        <f>DATE(2013,6,13) + TIME(5,55,0)</f>
        <v>41438.246527777781</v>
      </c>
      <c r="C1756">
        <v>80</v>
      </c>
      <c r="D1756">
        <v>79.975059509000005</v>
      </c>
      <c r="E1756">
        <v>50</v>
      </c>
      <c r="F1756">
        <v>47.420219420999999</v>
      </c>
      <c r="G1756">
        <v>1413.8549805</v>
      </c>
      <c r="H1756">
        <v>1389.6185303</v>
      </c>
      <c r="I1756">
        <v>1256.4747314000001</v>
      </c>
      <c r="J1756">
        <v>1219.9332274999999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1140.2526339999999</v>
      </c>
      <c r="B1757" s="1">
        <f>DATE(2013,6,14) + TIME(6,3,47)</f>
        <v>41439.252627314818</v>
      </c>
      <c r="C1757">
        <v>80</v>
      </c>
      <c r="D1757">
        <v>79.975074767999999</v>
      </c>
      <c r="E1757">
        <v>50</v>
      </c>
      <c r="F1757">
        <v>47.370300293</v>
      </c>
      <c r="G1757">
        <v>1413.7907714999999</v>
      </c>
      <c r="H1757">
        <v>1389.5573730000001</v>
      </c>
      <c r="I1757">
        <v>1256.4139404</v>
      </c>
      <c r="J1757">
        <v>1219.854126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1141.262571</v>
      </c>
      <c r="B1758" s="1">
        <f>DATE(2013,6,15) + TIME(6,18,6)</f>
        <v>41440.262569444443</v>
      </c>
      <c r="C1758">
        <v>80</v>
      </c>
      <c r="D1758">
        <v>79.975090026999993</v>
      </c>
      <c r="E1758">
        <v>50</v>
      </c>
      <c r="F1758">
        <v>47.319766997999999</v>
      </c>
      <c r="G1758">
        <v>1413.7269286999999</v>
      </c>
      <c r="H1758">
        <v>1389.4964600000001</v>
      </c>
      <c r="I1758">
        <v>1256.3509521000001</v>
      </c>
      <c r="J1758">
        <v>1219.7720947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1142.2803249999999</v>
      </c>
      <c r="B1759" s="1">
        <f>DATE(2013,6,16) + TIME(6,43,40)</f>
        <v>41441.280324074076</v>
      </c>
      <c r="C1759">
        <v>80</v>
      </c>
      <c r="D1759">
        <v>79.975112914999997</v>
      </c>
      <c r="E1759">
        <v>50</v>
      </c>
      <c r="F1759">
        <v>47.268863678000002</v>
      </c>
      <c r="G1759">
        <v>1413.6640625</v>
      </c>
      <c r="H1759">
        <v>1389.4364014</v>
      </c>
      <c r="I1759">
        <v>1256.2863769999999</v>
      </c>
      <c r="J1759">
        <v>1219.6876221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1143.3098749999999</v>
      </c>
      <c r="B1760" s="1">
        <f>DATE(2013,6,17) + TIME(7,26,13)</f>
        <v>41442.309872685182</v>
      </c>
      <c r="C1760">
        <v>80</v>
      </c>
      <c r="D1760">
        <v>79.975128174000005</v>
      </c>
      <c r="E1760">
        <v>50</v>
      </c>
      <c r="F1760">
        <v>47.217510222999998</v>
      </c>
      <c r="G1760">
        <v>1413.6019286999999</v>
      </c>
      <c r="H1760">
        <v>1389.3771973</v>
      </c>
      <c r="I1760">
        <v>1256.2200928</v>
      </c>
      <c r="J1760">
        <v>1219.6007079999999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1144.3558840000001</v>
      </c>
      <c r="B1761" s="1">
        <f>DATE(2013,6,18) + TIME(8,32,28)</f>
        <v>41443.355879629627</v>
      </c>
      <c r="C1761">
        <v>80</v>
      </c>
      <c r="D1761">
        <v>79.975143433</v>
      </c>
      <c r="E1761">
        <v>50</v>
      </c>
      <c r="F1761">
        <v>47.165527343999997</v>
      </c>
      <c r="G1761">
        <v>1413.5404053</v>
      </c>
      <c r="H1761">
        <v>1389.3184814000001</v>
      </c>
      <c r="I1761">
        <v>1256.1517334</v>
      </c>
      <c r="J1761">
        <v>1219.5107422000001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1145.4222159999999</v>
      </c>
      <c r="B1762" s="1">
        <f>DATE(2013,6,19) + TIME(10,7,59)</f>
        <v>41444.422210648147</v>
      </c>
      <c r="C1762">
        <v>80</v>
      </c>
      <c r="D1762">
        <v>79.975166321000003</v>
      </c>
      <c r="E1762">
        <v>50</v>
      </c>
      <c r="F1762">
        <v>47.112682343000003</v>
      </c>
      <c r="G1762">
        <v>1413.4790039</v>
      </c>
      <c r="H1762">
        <v>1389.2598877</v>
      </c>
      <c r="I1762">
        <v>1256.0810547000001</v>
      </c>
      <c r="J1762">
        <v>1219.4172363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1146.513279</v>
      </c>
      <c r="B1763" s="1">
        <f>DATE(2013,6,20) + TIME(12,19,7)</f>
        <v>41445.513275462959</v>
      </c>
      <c r="C1763">
        <v>80</v>
      </c>
      <c r="D1763">
        <v>79.975181579999997</v>
      </c>
      <c r="E1763">
        <v>50</v>
      </c>
      <c r="F1763">
        <v>47.058750152999998</v>
      </c>
      <c r="G1763">
        <v>1413.4176024999999</v>
      </c>
      <c r="H1763">
        <v>1389.2012939000001</v>
      </c>
      <c r="I1763">
        <v>1256.0073242000001</v>
      </c>
      <c r="J1763">
        <v>1219.3198242000001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1147.6340620000001</v>
      </c>
      <c r="B1764" s="1">
        <f>DATE(2013,6,21) + TIME(15,13,2)</f>
        <v>41446.634050925924</v>
      </c>
      <c r="C1764">
        <v>80</v>
      </c>
      <c r="D1764">
        <v>79.975196838000002</v>
      </c>
      <c r="E1764">
        <v>50</v>
      </c>
      <c r="F1764">
        <v>47.003471374999997</v>
      </c>
      <c r="G1764">
        <v>1413.355957</v>
      </c>
      <c r="H1764">
        <v>1389.1424560999999</v>
      </c>
      <c r="I1764">
        <v>1255.9305420000001</v>
      </c>
      <c r="J1764">
        <v>1219.2176514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1148.7863030000001</v>
      </c>
      <c r="B1765" s="1">
        <f>DATE(2013,6,22) + TIME(18,52,16)</f>
        <v>41447.786296296297</v>
      </c>
      <c r="C1765">
        <v>80</v>
      </c>
      <c r="D1765">
        <v>79.975219726999995</v>
      </c>
      <c r="E1765">
        <v>50</v>
      </c>
      <c r="F1765">
        <v>46.946613311999997</v>
      </c>
      <c r="G1765">
        <v>1413.2939452999999</v>
      </c>
      <c r="H1765">
        <v>1389.0832519999999</v>
      </c>
      <c r="I1765">
        <v>1255.8498535000001</v>
      </c>
      <c r="J1765">
        <v>1219.1102295000001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1149.957705</v>
      </c>
      <c r="B1766" s="1">
        <f>DATE(2013,6,23) + TIME(22,59,5)</f>
        <v>41448.957696759258</v>
      </c>
      <c r="C1766">
        <v>80</v>
      </c>
      <c r="D1766">
        <v>79.975242614999999</v>
      </c>
      <c r="E1766">
        <v>50</v>
      </c>
      <c r="F1766">
        <v>46.888202667000002</v>
      </c>
      <c r="G1766">
        <v>1413.2313231999999</v>
      </c>
      <c r="H1766">
        <v>1389.0234375</v>
      </c>
      <c r="I1766">
        <v>1255.7652588000001</v>
      </c>
      <c r="J1766">
        <v>1218.9971923999999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1151.1355129999999</v>
      </c>
      <c r="B1767" s="1">
        <f>DATE(2013,6,25) + TIME(3,15,8)</f>
        <v>41450.135509259257</v>
      </c>
      <c r="C1767">
        <v>80</v>
      </c>
      <c r="D1767">
        <v>79.975257873999993</v>
      </c>
      <c r="E1767">
        <v>50</v>
      </c>
      <c r="F1767">
        <v>46.828666687000002</v>
      </c>
      <c r="G1767">
        <v>1413.1688231999999</v>
      </c>
      <c r="H1767">
        <v>1388.9637451000001</v>
      </c>
      <c r="I1767">
        <v>1255.6773682</v>
      </c>
      <c r="J1767">
        <v>1218.8793945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1152.3200999999999</v>
      </c>
      <c r="B1768" s="1">
        <f>DATE(2013,6,26) + TIME(7,40,56)</f>
        <v>41451.320092592592</v>
      </c>
      <c r="C1768">
        <v>80</v>
      </c>
      <c r="D1768">
        <v>79.975280761999997</v>
      </c>
      <c r="E1768">
        <v>50</v>
      </c>
      <c r="F1768">
        <v>46.768375397</v>
      </c>
      <c r="G1768">
        <v>1413.1072998</v>
      </c>
      <c r="H1768">
        <v>1388.9049072</v>
      </c>
      <c r="I1768">
        <v>1255.5869141000001</v>
      </c>
      <c r="J1768">
        <v>1218.7578125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1153.5160350000001</v>
      </c>
      <c r="B1769" s="1">
        <f>DATE(2013,6,27) + TIME(12,23,5)</f>
        <v>41452.516030092593</v>
      </c>
      <c r="C1769">
        <v>80</v>
      </c>
      <c r="D1769">
        <v>79.975296021000005</v>
      </c>
      <c r="E1769">
        <v>50</v>
      </c>
      <c r="F1769">
        <v>46.707328795999999</v>
      </c>
      <c r="G1769">
        <v>1413.0463867000001</v>
      </c>
      <c r="H1769">
        <v>1388.8466797000001</v>
      </c>
      <c r="I1769">
        <v>1255.4940185999999</v>
      </c>
      <c r="J1769">
        <v>1218.6323242000001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1154.728067</v>
      </c>
      <c r="B1770" s="1">
        <f>DATE(2013,6,28) + TIME(17,28,24)</f>
        <v>41453.728055555555</v>
      </c>
      <c r="C1770">
        <v>80</v>
      </c>
      <c r="D1770">
        <v>79.975318908999995</v>
      </c>
      <c r="E1770">
        <v>50</v>
      </c>
      <c r="F1770">
        <v>46.645317077999998</v>
      </c>
      <c r="G1770">
        <v>1412.9860839999999</v>
      </c>
      <c r="H1770">
        <v>1388.7890625</v>
      </c>
      <c r="I1770">
        <v>1255.3981934000001</v>
      </c>
      <c r="J1770">
        <v>1218.5024414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1155.95892</v>
      </c>
      <c r="B1771" s="1">
        <f>DATE(2013,6,29) + TIME(23,0,50)</f>
        <v>41454.958912037036</v>
      </c>
      <c r="C1771">
        <v>80</v>
      </c>
      <c r="D1771">
        <v>79.975341796999999</v>
      </c>
      <c r="E1771">
        <v>50</v>
      </c>
      <c r="F1771">
        <v>46.582099915000001</v>
      </c>
      <c r="G1771">
        <v>1412.9260254000001</v>
      </c>
      <c r="H1771">
        <v>1388.7316894999999</v>
      </c>
      <c r="I1771">
        <v>1255.2988281</v>
      </c>
      <c r="J1771">
        <v>1218.3674315999999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1157</v>
      </c>
      <c r="B1772" s="1">
        <f>DATE(2013,7,1) + TIME(0,0,0)</f>
        <v>41456</v>
      </c>
      <c r="C1772">
        <v>80</v>
      </c>
      <c r="D1772">
        <v>79.975357056000007</v>
      </c>
      <c r="E1772">
        <v>50</v>
      </c>
      <c r="F1772">
        <v>46.520816803000002</v>
      </c>
      <c r="G1772">
        <v>1412.8660889</v>
      </c>
      <c r="H1772">
        <v>1388.6744385</v>
      </c>
      <c r="I1772">
        <v>1255.1956786999999</v>
      </c>
      <c r="J1772">
        <v>1218.2286377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1158.254502</v>
      </c>
      <c r="B1773" s="1">
        <f>DATE(2013,7,2) + TIME(6,6,29)</f>
        <v>41457.254502314812</v>
      </c>
      <c r="C1773">
        <v>80</v>
      </c>
      <c r="D1773">
        <v>79.975379943999997</v>
      </c>
      <c r="E1773">
        <v>50</v>
      </c>
      <c r="F1773">
        <v>46.460563659999998</v>
      </c>
      <c r="G1773">
        <v>1412.8161620999999</v>
      </c>
      <c r="H1773">
        <v>1388.6267089999999</v>
      </c>
      <c r="I1773">
        <v>1255.1064452999999</v>
      </c>
      <c r="J1773">
        <v>1218.1033935999999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1159.5657249999999</v>
      </c>
      <c r="B1774" s="1">
        <f>DATE(2013,7,3) + TIME(13,34,38)</f>
        <v>41458.565717592595</v>
      </c>
      <c r="C1774">
        <v>80</v>
      </c>
      <c r="D1774">
        <v>79.975402832</v>
      </c>
      <c r="E1774">
        <v>50</v>
      </c>
      <c r="F1774">
        <v>46.394603729000004</v>
      </c>
      <c r="G1774">
        <v>1412.7572021000001</v>
      </c>
      <c r="H1774">
        <v>1388.5701904</v>
      </c>
      <c r="I1774">
        <v>1254.9971923999999</v>
      </c>
      <c r="J1774">
        <v>1217.9539795000001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1160.911163</v>
      </c>
      <c r="B1775" s="1">
        <f>DATE(2013,7,4) + TIME(21,52,4)</f>
        <v>41459.911157407405</v>
      </c>
      <c r="C1775">
        <v>80</v>
      </c>
      <c r="D1775">
        <v>79.975418090999995</v>
      </c>
      <c r="E1775">
        <v>50</v>
      </c>
      <c r="F1775">
        <v>46.324687957999998</v>
      </c>
      <c r="G1775">
        <v>1412.6964111</v>
      </c>
      <c r="H1775">
        <v>1388.5120850000001</v>
      </c>
      <c r="I1775">
        <v>1254.8803711</v>
      </c>
      <c r="J1775">
        <v>1217.7933350000001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1162.257531</v>
      </c>
      <c r="B1776" s="1">
        <f>DATE(2013,7,6) + TIME(6,10,50)</f>
        <v>41461.257523148146</v>
      </c>
      <c r="C1776">
        <v>80</v>
      </c>
      <c r="D1776">
        <v>79.975440978999998</v>
      </c>
      <c r="E1776">
        <v>50</v>
      </c>
      <c r="F1776">
        <v>46.252258300999998</v>
      </c>
      <c r="G1776">
        <v>1412.6351318</v>
      </c>
      <c r="H1776">
        <v>1388.4534911999999</v>
      </c>
      <c r="I1776">
        <v>1254.7576904</v>
      </c>
      <c r="J1776">
        <v>1217.6240233999999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1163.609794</v>
      </c>
      <c r="B1777" s="1">
        <f>DATE(2013,7,7) + TIME(14,38,6)</f>
        <v>41462.609791666669</v>
      </c>
      <c r="C1777">
        <v>80</v>
      </c>
      <c r="D1777">
        <v>79.975463867000002</v>
      </c>
      <c r="E1777">
        <v>50</v>
      </c>
      <c r="F1777">
        <v>46.178462981999999</v>
      </c>
      <c r="G1777">
        <v>1412.5749512</v>
      </c>
      <c r="H1777">
        <v>1388.395874</v>
      </c>
      <c r="I1777">
        <v>1254.6319579999999</v>
      </c>
      <c r="J1777">
        <v>1217.449707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1164.97297</v>
      </c>
      <c r="B1778" s="1">
        <f>DATE(2013,7,8) + TIME(23,21,4)</f>
        <v>41463.972962962966</v>
      </c>
      <c r="C1778">
        <v>80</v>
      </c>
      <c r="D1778">
        <v>79.975486755000006</v>
      </c>
      <c r="E1778">
        <v>50</v>
      </c>
      <c r="F1778">
        <v>46.103340148999997</v>
      </c>
      <c r="G1778">
        <v>1412.5155029</v>
      </c>
      <c r="H1778">
        <v>1388.3389893000001</v>
      </c>
      <c r="I1778">
        <v>1254.5029297000001</v>
      </c>
      <c r="J1778">
        <v>1217.2698975000001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1166.352079</v>
      </c>
      <c r="B1779" s="1">
        <f>DATE(2013,7,10) + TIME(8,26,59)</f>
        <v>41465.352071759262</v>
      </c>
      <c r="C1779">
        <v>80</v>
      </c>
      <c r="D1779">
        <v>79.975509643999999</v>
      </c>
      <c r="E1779">
        <v>50</v>
      </c>
      <c r="F1779">
        <v>46.026638030999997</v>
      </c>
      <c r="G1779">
        <v>1412.456543</v>
      </c>
      <c r="H1779">
        <v>1388.2824707</v>
      </c>
      <c r="I1779">
        <v>1254.3698730000001</v>
      </c>
      <c r="J1779">
        <v>1217.0838623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1167.7528219999999</v>
      </c>
      <c r="B1780" s="1">
        <f>DATE(2013,7,11) + TIME(18,4,3)</f>
        <v>41466.752812500003</v>
      </c>
      <c r="C1780">
        <v>80</v>
      </c>
      <c r="D1780">
        <v>79.975532532000003</v>
      </c>
      <c r="E1780">
        <v>50</v>
      </c>
      <c r="F1780">
        <v>45.948009491000001</v>
      </c>
      <c r="G1780">
        <v>1412.3978271000001</v>
      </c>
      <c r="H1780">
        <v>1388.2263184000001</v>
      </c>
      <c r="I1780">
        <v>1254.2321777</v>
      </c>
      <c r="J1780">
        <v>1216.8907471</v>
      </c>
      <c r="K1780">
        <v>2400</v>
      </c>
      <c r="L1780">
        <v>0</v>
      </c>
      <c r="M1780">
        <v>0</v>
      </c>
      <c r="N1780">
        <v>2400</v>
      </c>
    </row>
    <row r="1781" spans="1:14" x14ac:dyDescent="0.25">
      <c r="A1781">
        <v>1169.1806120000001</v>
      </c>
      <c r="B1781" s="1">
        <f>DATE(2013,7,13) + TIME(4,20,4)</f>
        <v>41468.180601851855</v>
      </c>
      <c r="C1781">
        <v>80</v>
      </c>
      <c r="D1781">
        <v>79.975555420000006</v>
      </c>
      <c r="E1781">
        <v>50</v>
      </c>
      <c r="F1781">
        <v>45.867053986000002</v>
      </c>
      <c r="G1781">
        <v>1412.3392334</v>
      </c>
      <c r="H1781">
        <v>1388.1701660000001</v>
      </c>
      <c r="I1781">
        <v>1254.0892334</v>
      </c>
      <c r="J1781">
        <v>1216.6895752</v>
      </c>
      <c r="K1781">
        <v>2400</v>
      </c>
      <c r="L1781">
        <v>0</v>
      </c>
      <c r="M1781">
        <v>0</v>
      </c>
      <c r="N1781">
        <v>2400</v>
      </c>
    </row>
    <row r="1782" spans="1:14" x14ac:dyDescent="0.25">
      <c r="A1782">
        <v>1170.6409180000001</v>
      </c>
      <c r="B1782" s="1">
        <f>DATE(2013,7,14) + TIME(15,22,55)</f>
        <v>41469.640914351854</v>
      </c>
      <c r="C1782">
        <v>80</v>
      </c>
      <c r="D1782">
        <v>79.975578307999996</v>
      </c>
      <c r="E1782">
        <v>50</v>
      </c>
      <c r="F1782">
        <v>45.783340453999998</v>
      </c>
      <c r="G1782">
        <v>1412.2803954999999</v>
      </c>
      <c r="H1782">
        <v>1388.1138916</v>
      </c>
      <c r="I1782">
        <v>1253.9403076000001</v>
      </c>
      <c r="J1782">
        <v>1216.479126</v>
      </c>
      <c r="K1782">
        <v>2400</v>
      </c>
      <c r="L1782">
        <v>0</v>
      </c>
      <c r="M1782">
        <v>0</v>
      </c>
      <c r="N1782">
        <v>2400</v>
      </c>
    </row>
    <row r="1783" spans="1:14" x14ac:dyDescent="0.25">
      <c r="A1783">
        <v>1172.140095</v>
      </c>
      <c r="B1783" s="1">
        <f>DATE(2013,7,16) + TIME(3,21,44)</f>
        <v>41471.140092592592</v>
      </c>
      <c r="C1783">
        <v>80</v>
      </c>
      <c r="D1783">
        <v>79.975608825999998</v>
      </c>
      <c r="E1783">
        <v>50</v>
      </c>
      <c r="F1783">
        <v>45.696403502999999</v>
      </c>
      <c r="G1783">
        <v>1412.2211914</v>
      </c>
      <c r="H1783">
        <v>1388.057251</v>
      </c>
      <c r="I1783">
        <v>1253.784668</v>
      </c>
      <c r="J1783">
        <v>1216.2585449000001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1173.662157</v>
      </c>
      <c r="B1784" s="1">
        <f>DATE(2013,7,17) + TIME(15,53,30)</f>
        <v>41472.662152777775</v>
      </c>
      <c r="C1784">
        <v>80</v>
      </c>
      <c r="D1784">
        <v>79.975631714000002</v>
      </c>
      <c r="E1784">
        <v>50</v>
      </c>
      <c r="F1784">
        <v>45.606033324999999</v>
      </c>
      <c r="G1784">
        <v>1412.161499</v>
      </c>
      <c r="H1784">
        <v>1388</v>
      </c>
      <c r="I1784">
        <v>1253.6213379000001</v>
      </c>
      <c r="J1784">
        <v>1216.0263672000001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1175.187821</v>
      </c>
      <c r="B1785" s="1">
        <f>DATE(2013,7,19) + TIME(4,30,27)</f>
        <v>41474.1878125</v>
      </c>
      <c r="C1785">
        <v>80</v>
      </c>
      <c r="D1785">
        <v>79.975654602000006</v>
      </c>
      <c r="E1785">
        <v>50</v>
      </c>
      <c r="F1785">
        <v>45.512836456000002</v>
      </c>
      <c r="G1785">
        <v>1412.1016846</v>
      </c>
      <c r="H1785">
        <v>1387.942749</v>
      </c>
      <c r="I1785">
        <v>1253.4517822</v>
      </c>
      <c r="J1785">
        <v>1215.7845459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1176.722571</v>
      </c>
      <c r="B1786" s="1">
        <f>DATE(2013,7,20) + TIME(17,20,30)</f>
        <v>41475.722569444442</v>
      </c>
      <c r="C1786">
        <v>80</v>
      </c>
      <c r="D1786">
        <v>79.975677489999995</v>
      </c>
      <c r="E1786">
        <v>50</v>
      </c>
      <c r="F1786">
        <v>45.417449951000002</v>
      </c>
      <c r="G1786">
        <v>1412.0428466999999</v>
      </c>
      <c r="H1786">
        <v>1387.8862305</v>
      </c>
      <c r="I1786">
        <v>1253.2780762</v>
      </c>
      <c r="J1786">
        <v>1215.5357666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1178.2719199999999</v>
      </c>
      <c r="B1787" s="1">
        <f>DATE(2013,7,22) + TIME(6,31,33)</f>
        <v>41477.271909722222</v>
      </c>
      <c r="C1787">
        <v>80</v>
      </c>
      <c r="D1787">
        <v>79.975708007999998</v>
      </c>
      <c r="E1787">
        <v>50</v>
      </c>
      <c r="F1787">
        <v>45.319683075</v>
      </c>
      <c r="G1787">
        <v>1411.9844971</v>
      </c>
      <c r="H1787">
        <v>1387.8303223</v>
      </c>
      <c r="I1787">
        <v>1253.0994873</v>
      </c>
      <c r="J1787">
        <v>1215.2790527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1179.8414459999999</v>
      </c>
      <c r="B1788" s="1">
        <f>DATE(2013,7,23) + TIME(20,11,40)</f>
        <v>41478.841435185182</v>
      </c>
      <c r="C1788">
        <v>80</v>
      </c>
      <c r="D1788">
        <v>79.975730896000002</v>
      </c>
      <c r="E1788">
        <v>50</v>
      </c>
      <c r="F1788">
        <v>45.219146729000002</v>
      </c>
      <c r="G1788">
        <v>1411.9265137</v>
      </c>
      <c r="H1788">
        <v>1387.7746582</v>
      </c>
      <c r="I1788">
        <v>1252.9154053</v>
      </c>
      <c r="J1788">
        <v>1215.0135498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1181.437799</v>
      </c>
      <c r="B1789" s="1">
        <f>DATE(2013,7,25) + TIME(10,30,25)</f>
        <v>41480.437789351854</v>
      </c>
      <c r="C1789">
        <v>80</v>
      </c>
      <c r="D1789">
        <v>79.975753784000005</v>
      </c>
      <c r="E1789">
        <v>50</v>
      </c>
      <c r="F1789">
        <v>45.115367888999998</v>
      </c>
      <c r="G1789">
        <v>1411.8685303</v>
      </c>
      <c r="H1789">
        <v>1387.7192382999999</v>
      </c>
      <c r="I1789">
        <v>1252.7250977000001</v>
      </c>
      <c r="J1789">
        <v>1214.7380370999999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1183.066675</v>
      </c>
      <c r="B1790" s="1">
        <f>DATE(2013,7,27) + TIME(1,36,0)</f>
        <v>41482.066666666666</v>
      </c>
      <c r="C1790">
        <v>80</v>
      </c>
      <c r="D1790">
        <v>79.975784301999994</v>
      </c>
      <c r="E1790">
        <v>50</v>
      </c>
      <c r="F1790">
        <v>45.007801055999998</v>
      </c>
      <c r="G1790">
        <v>1411.8106689000001</v>
      </c>
      <c r="H1790">
        <v>1387.6635742000001</v>
      </c>
      <c r="I1790">
        <v>1252.5275879000001</v>
      </c>
      <c r="J1790">
        <v>1214.4511719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1184.7300310000001</v>
      </c>
      <c r="B1791" s="1">
        <f>DATE(2013,7,28) + TIME(17,31,14)</f>
        <v>41483.730023148149</v>
      </c>
      <c r="C1791">
        <v>80</v>
      </c>
      <c r="D1791">
        <v>79.975807189999998</v>
      </c>
      <c r="E1791">
        <v>50</v>
      </c>
      <c r="F1791">
        <v>44.895938872999999</v>
      </c>
      <c r="G1791">
        <v>1411.7523193</v>
      </c>
      <c r="H1791">
        <v>1387.6076660000001</v>
      </c>
      <c r="I1791">
        <v>1252.3220214999999</v>
      </c>
      <c r="J1791">
        <v>1214.1517334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1186.43355</v>
      </c>
      <c r="B1792" s="1">
        <f>DATE(2013,7,30) + TIME(10,24,18)</f>
        <v>41485.433541666665</v>
      </c>
      <c r="C1792">
        <v>80</v>
      </c>
      <c r="D1792">
        <v>79.975837708</v>
      </c>
      <c r="E1792">
        <v>50</v>
      </c>
      <c r="F1792">
        <v>44.779376984000002</v>
      </c>
      <c r="G1792">
        <v>1411.6937256000001</v>
      </c>
      <c r="H1792">
        <v>1387.5513916</v>
      </c>
      <c r="I1792">
        <v>1252.1077881000001</v>
      </c>
      <c r="J1792">
        <v>1213.8386230000001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1188</v>
      </c>
      <c r="B1793" s="1">
        <f>DATE(2013,8,1) + TIME(0,0,0)</f>
        <v>41487</v>
      </c>
      <c r="C1793">
        <v>80</v>
      </c>
      <c r="D1793">
        <v>79.975860596000004</v>
      </c>
      <c r="E1793">
        <v>50</v>
      </c>
      <c r="F1793">
        <v>44.660442351999997</v>
      </c>
      <c r="G1793">
        <v>1411.6345214999999</v>
      </c>
      <c r="H1793">
        <v>1387.4946289</v>
      </c>
      <c r="I1793">
        <v>1251.8843993999999</v>
      </c>
      <c r="J1793">
        <v>1213.5129394999999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1189.713929</v>
      </c>
      <c r="B1794" s="1">
        <f>DATE(2013,8,2) + TIME(17,8,3)</f>
        <v>41488.713923611111</v>
      </c>
      <c r="C1794">
        <v>80</v>
      </c>
      <c r="D1794">
        <v>79.975891113000003</v>
      </c>
      <c r="E1794">
        <v>50</v>
      </c>
      <c r="F1794">
        <v>44.542266845999997</v>
      </c>
      <c r="G1794">
        <v>1411.5809326000001</v>
      </c>
      <c r="H1794">
        <v>1387.4431152</v>
      </c>
      <c r="I1794">
        <v>1251.6740723</v>
      </c>
      <c r="J1794">
        <v>1213.2006836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1191.4484379999999</v>
      </c>
      <c r="B1795" s="1">
        <f>DATE(2013,8,4) + TIME(10,45,45)</f>
        <v>41490.448437500003</v>
      </c>
      <c r="C1795">
        <v>80</v>
      </c>
      <c r="D1795">
        <v>79.975914001000007</v>
      </c>
      <c r="E1795">
        <v>50</v>
      </c>
      <c r="F1795">
        <v>44.415924072000003</v>
      </c>
      <c r="G1795">
        <v>1411.5230713000001</v>
      </c>
      <c r="H1795">
        <v>1387.3875731999999</v>
      </c>
      <c r="I1795">
        <v>1251.440918</v>
      </c>
      <c r="J1795">
        <v>1212.8575439000001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1193.201552</v>
      </c>
      <c r="B1796" s="1">
        <f>DATE(2013,8,6) + TIME(4,50,14)</f>
        <v>41492.201550925929</v>
      </c>
      <c r="C1796">
        <v>80</v>
      </c>
      <c r="D1796">
        <v>79.975944518999995</v>
      </c>
      <c r="E1796">
        <v>50</v>
      </c>
      <c r="F1796">
        <v>44.284519195999998</v>
      </c>
      <c r="G1796">
        <v>1411.465332</v>
      </c>
      <c r="H1796">
        <v>1387.3321533000001</v>
      </c>
      <c r="I1796">
        <v>1251.2003173999999</v>
      </c>
      <c r="J1796">
        <v>1212.5015868999999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1194.9773809999999</v>
      </c>
      <c r="B1797" s="1">
        <f>DATE(2013,8,7) + TIME(23,27,25)</f>
        <v>41493.977372685185</v>
      </c>
      <c r="C1797">
        <v>80</v>
      </c>
      <c r="D1797">
        <v>79.975967406999999</v>
      </c>
      <c r="E1797">
        <v>50</v>
      </c>
      <c r="F1797">
        <v>44.148654938</v>
      </c>
      <c r="G1797">
        <v>1411.4078368999999</v>
      </c>
      <c r="H1797">
        <v>1387.2768555</v>
      </c>
      <c r="I1797">
        <v>1250.9527588000001</v>
      </c>
      <c r="J1797">
        <v>1212.1339111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1196.7827890000001</v>
      </c>
      <c r="B1798" s="1">
        <f>DATE(2013,8,9) + TIME(18,47,12)</f>
        <v>41495.782777777778</v>
      </c>
      <c r="C1798">
        <v>80</v>
      </c>
      <c r="D1798">
        <v>79.975997925000001</v>
      </c>
      <c r="E1798">
        <v>50</v>
      </c>
      <c r="F1798">
        <v>44.008079529</v>
      </c>
      <c r="G1798">
        <v>1411.3503418</v>
      </c>
      <c r="H1798">
        <v>1387.2215576000001</v>
      </c>
      <c r="I1798">
        <v>1250.6976318</v>
      </c>
      <c r="J1798">
        <v>1211.7537841999999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1198.6246619999999</v>
      </c>
      <c r="B1799" s="1">
        <f>DATE(2013,8,11) + TIME(14,59,30)</f>
        <v>41497.624652777777</v>
      </c>
      <c r="C1799">
        <v>80</v>
      </c>
      <c r="D1799">
        <v>79.976028442</v>
      </c>
      <c r="E1799">
        <v>50</v>
      </c>
      <c r="F1799">
        <v>43.862194060999997</v>
      </c>
      <c r="G1799">
        <v>1411.2927245999999</v>
      </c>
      <c r="H1799">
        <v>1387.1662598</v>
      </c>
      <c r="I1799">
        <v>1250.4339600000001</v>
      </c>
      <c r="J1799">
        <v>1211.3594971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1200.509712</v>
      </c>
      <c r="B1800" s="1">
        <f>DATE(2013,8,13) + TIME(12,13,59)</f>
        <v>41499.509710648148</v>
      </c>
      <c r="C1800">
        <v>80</v>
      </c>
      <c r="D1800">
        <v>79.976058960000003</v>
      </c>
      <c r="E1800">
        <v>50</v>
      </c>
      <c r="F1800">
        <v>43.71031189</v>
      </c>
      <c r="G1800">
        <v>1411.2347411999999</v>
      </c>
      <c r="H1800">
        <v>1387.1104736</v>
      </c>
      <c r="I1800">
        <v>1250.1604004000001</v>
      </c>
      <c r="J1800">
        <v>1210.9494629000001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1202.415661</v>
      </c>
      <c r="B1801" s="1">
        <f>DATE(2013,8,15) + TIME(9,58,33)</f>
        <v>41501.415659722225</v>
      </c>
      <c r="C1801">
        <v>80</v>
      </c>
      <c r="D1801">
        <v>79.976089478000006</v>
      </c>
      <c r="E1801">
        <v>50</v>
      </c>
      <c r="F1801">
        <v>43.552162170000003</v>
      </c>
      <c r="G1801">
        <v>1411.1762695</v>
      </c>
      <c r="H1801">
        <v>1387.0541992000001</v>
      </c>
      <c r="I1801">
        <v>1249.8759766000001</v>
      </c>
      <c r="J1801">
        <v>1210.5220947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1204.32791</v>
      </c>
      <c r="B1802" s="1">
        <f>DATE(2013,8,17) + TIME(7,52,11)</f>
        <v>41503.327905092592</v>
      </c>
      <c r="C1802">
        <v>80</v>
      </c>
      <c r="D1802">
        <v>79.976112365999995</v>
      </c>
      <c r="E1802">
        <v>50</v>
      </c>
      <c r="F1802">
        <v>43.388965607000003</v>
      </c>
      <c r="G1802">
        <v>1411.1177978999999</v>
      </c>
      <c r="H1802">
        <v>1386.9980469</v>
      </c>
      <c r="I1802">
        <v>1249.5839844</v>
      </c>
      <c r="J1802">
        <v>1210.0816649999999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1206.2527050000001</v>
      </c>
      <c r="B1803" s="1">
        <f>DATE(2013,8,19) + TIME(6,3,53)</f>
        <v>41505.252696759257</v>
      </c>
      <c r="C1803">
        <v>80</v>
      </c>
      <c r="D1803">
        <v>79.976142882999994</v>
      </c>
      <c r="E1803">
        <v>50</v>
      </c>
      <c r="F1803">
        <v>43.221603393999999</v>
      </c>
      <c r="G1803">
        <v>1411.0600586</v>
      </c>
      <c r="H1803">
        <v>1386.9425048999999</v>
      </c>
      <c r="I1803">
        <v>1249.2863769999999</v>
      </c>
      <c r="J1803">
        <v>1209.6314697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1208.196385</v>
      </c>
      <c r="B1804" s="1">
        <f>DATE(2013,8,21) + TIME(4,42,47)</f>
        <v>41507.196377314816</v>
      </c>
      <c r="C1804">
        <v>80</v>
      </c>
      <c r="D1804">
        <v>79.976173400999997</v>
      </c>
      <c r="E1804">
        <v>50</v>
      </c>
      <c r="F1804">
        <v>43.049804688000002</v>
      </c>
      <c r="G1804">
        <v>1411.0026855000001</v>
      </c>
      <c r="H1804">
        <v>1386.887207</v>
      </c>
      <c r="I1804">
        <v>1248.9825439000001</v>
      </c>
      <c r="J1804">
        <v>1209.1702881000001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1210.165481</v>
      </c>
      <c r="B1805" s="1">
        <f>DATE(2013,8,23) + TIME(3,58,17)</f>
        <v>41509.16547453704</v>
      </c>
      <c r="C1805">
        <v>80</v>
      </c>
      <c r="D1805">
        <v>79.976203917999996</v>
      </c>
      <c r="E1805">
        <v>50</v>
      </c>
      <c r="F1805">
        <v>42.873043060000001</v>
      </c>
      <c r="G1805">
        <v>1410.9454346</v>
      </c>
      <c r="H1805">
        <v>1386.8321533000001</v>
      </c>
      <c r="I1805">
        <v>1248.6716309000001</v>
      </c>
      <c r="J1805">
        <v>1208.6968993999999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1212.167207</v>
      </c>
      <c r="B1806" s="1">
        <f>DATE(2013,8,25) + TIME(4,0,46)</f>
        <v>41511.167199074072</v>
      </c>
      <c r="C1806">
        <v>80</v>
      </c>
      <c r="D1806">
        <v>79.976234435999999</v>
      </c>
      <c r="E1806">
        <v>50</v>
      </c>
      <c r="F1806">
        <v>42.690696715999998</v>
      </c>
      <c r="G1806">
        <v>1410.8881836</v>
      </c>
      <c r="H1806">
        <v>1386.7770995999999</v>
      </c>
      <c r="I1806">
        <v>1248.3524170000001</v>
      </c>
      <c r="J1806">
        <v>1208.2095947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1214.2094549999999</v>
      </c>
      <c r="B1807" s="1">
        <f>DATE(2013,8,27) + TIME(5,1,36)</f>
        <v>41513.209444444445</v>
      </c>
      <c r="C1807">
        <v>80</v>
      </c>
      <c r="D1807">
        <v>79.976264954000001</v>
      </c>
      <c r="E1807">
        <v>50</v>
      </c>
      <c r="F1807">
        <v>42.502048492</v>
      </c>
      <c r="G1807">
        <v>1410.8306885</v>
      </c>
      <c r="H1807">
        <v>1386.7218018000001</v>
      </c>
      <c r="I1807">
        <v>1248.0239257999999</v>
      </c>
      <c r="J1807">
        <v>1207.7066649999999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1216.2937919999999</v>
      </c>
      <c r="B1808" s="1">
        <f>DATE(2013,8,29) + TIME(7,3,3)</f>
        <v>41515.29378472222</v>
      </c>
      <c r="C1808">
        <v>80</v>
      </c>
      <c r="D1808">
        <v>79.976295471</v>
      </c>
      <c r="E1808">
        <v>50</v>
      </c>
      <c r="F1808">
        <v>42.306411742999998</v>
      </c>
      <c r="G1808">
        <v>1410.7728271000001</v>
      </c>
      <c r="H1808">
        <v>1386.6660156</v>
      </c>
      <c r="I1808">
        <v>1247.6849365</v>
      </c>
      <c r="J1808">
        <v>1207.1859131000001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1218.3908449999999</v>
      </c>
      <c r="B1809" s="1">
        <f>DATE(2013,8,31) + TIME(9,22,48)</f>
        <v>41517.390833333331</v>
      </c>
      <c r="C1809">
        <v>80</v>
      </c>
      <c r="D1809">
        <v>79.976325989000003</v>
      </c>
      <c r="E1809">
        <v>50</v>
      </c>
      <c r="F1809">
        <v>42.104000092</v>
      </c>
      <c r="G1809">
        <v>1410.7144774999999</v>
      </c>
      <c r="H1809">
        <v>1386.6097411999999</v>
      </c>
      <c r="I1809">
        <v>1247.3349608999999</v>
      </c>
      <c r="J1809">
        <v>1206.6474608999999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1219</v>
      </c>
      <c r="B1810" s="1">
        <f>DATE(2013,9,1) + TIME(0,0,0)</f>
        <v>41518</v>
      </c>
      <c r="C1810">
        <v>80</v>
      </c>
      <c r="D1810">
        <v>79.976333617999998</v>
      </c>
      <c r="E1810">
        <v>50</v>
      </c>
      <c r="F1810">
        <v>41.959774017000001</v>
      </c>
      <c r="G1810">
        <v>1410.6569824000001</v>
      </c>
      <c r="H1810">
        <v>1386.5543213000001</v>
      </c>
      <c r="I1810">
        <v>1246.9857178</v>
      </c>
      <c r="J1810">
        <v>1206.1573486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1221.1133749999999</v>
      </c>
      <c r="B1811" s="1">
        <f>DATE(2013,9,3) + TIME(2,43,15)</f>
        <v>41520.113368055558</v>
      </c>
      <c r="C1811">
        <v>80</v>
      </c>
      <c r="D1811">
        <v>79.976371764999996</v>
      </c>
      <c r="E1811">
        <v>50</v>
      </c>
      <c r="F1811">
        <v>41.820465087999999</v>
      </c>
      <c r="G1811">
        <v>1410.6395264</v>
      </c>
      <c r="H1811">
        <v>1386.5374756000001</v>
      </c>
      <c r="I1811">
        <v>1246.8704834</v>
      </c>
      <c r="J1811">
        <v>1205.9172363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1223.2480969999999</v>
      </c>
      <c r="B1812" s="1">
        <f>DATE(2013,9,5) + TIME(5,57,15)</f>
        <v>41522.248090277775</v>
      </c>
      <c r="C1812">
        <v>80</v>
      </c>
      <c r="D1812">
        <v>79.976402282999999</v>
      </c>
      <c r="E1812">
        <v>50</v>
      </c>
      <c r="F1812">
        <v>41.619678497000002</v>
      </c>
      <c r="G1812">
        <v>1410.5822754000001</v>
      </c>
      <c r="H1812">
        <v>1386.4822998</v>
      </c>
      <c r="I1812">
        <v>1246.5108643000001</v>
      </c>
      <c r="J1812">
        <v>1205.3698730000001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1225.406403</v>
      </c>
      <c r="B1813" s="1">
        <f>DATE(2013,9,7) + TIME(9,45,13)</f>
        <v>41524.406400462962</v>
      </c>
      <c r="C1813">
        <v>80</v>
      </c>
      <c r="D1813">
        <v>79.976432799999998</v>
      </c>
      <c r="E1813">
        <v>50</v>
      </c>
      <c r="F1813">
        <v>41.403644561999997</v>
      </c>
      <c r="G1813">
        <v>1410.5247803</v>
      </c>
      <c r="H1813">
        <v>1386.4268798999999</v>
      </c>
      <c r="I1813">
        <v>1246.1411132999999</v>
      </c>
      <c r="J1813">
        <v>1204.796875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1227.5950419999999</v>
      </c>
      <c r="B1814" s="1">
        <f>DATE(2013,9,9) + TIME(14,16,51)</f>
        <v>41526.595034722224</v>
      </c>
      <c r="C1814">
        <v>80</v>
      </c>
      <c r="D1814">
        <v>79.976463318</v>
      </c>
      <c r="E1814">
        <v>50</v>
      </c>
      <c r="F1814">
        <v>41.180530548</v>
      </c>
      <c r="G1814">
        <v>1410.4674072</v>
      </c>
      <c r="H1814">
        <v>1386.371582</v>
      </c>
      <c r="I1814">
        <v>1245.7636719</v>
      </c>
      <c r="J1814">
        <v>1204.2088623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1229.821377</v>
      </c>
      <c r="B1815" s="1">
        <f>DATE(2013,9,11) + TIME(19,42,47)</f>
        <v>41528.821377314816</v>
      </c>
      <c r="C1815">
        <v>80</v>
      </c>
      <c r="D1815">
        <v>79.976493834999999</v>
      </c>
      <c r="E1815">
        <v>50</v>
      </c>
      <c r="F1815">
        <v>40.951244354000004</v>
      </c>
      <c r="G1815">
        <v>1410.4097899999999</v>
      </c>
      <c r="H1815">
        <v>1386.3160399999999</v>
      </c>
      <c r="I1815">
        <v>1245.3781738</v>
      </c>
      <c r="J1815">
        <v>1203.605957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1232.073615</v>
      </c>
      <c r="B1816" s="1">
        <f>DATE(2013,9,14) + TIME(1,46,0)</f>
        <v>41531.073611111111</v>
      </c>
      <c r="C1816">
        <v>80</v>
      </c>
      <c r="D1816">
        <v>79.976531981999997</v>
      </c>
      <c r="E1816">
        <v>50</v>
      </c>
      <c r="F1816">
        <v>40.715732574</v>
      </c>
      <c r="G1816">
        <v>1410.3519286999999</v>
      </c>
      <c r="H1816">
        <v>1386.2601318</v>
      </c>
      <c r="I1816">
        <v>1244.9832764</v>
      </c>
      <c r="J1816">
        <v>1202.9871826000001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1234.3394060000001</v>
      </c>
      <c r="B1817" s="1">
        <f>DATE(2013,9,16) + TIME(8,8,44)</f>
        <v>41533.339398148149</v>
      </c>
      <c r="C1817">
        <v>80</v>
      </c>
      <c r="D1817">
        <v>79.9765625</v>
      </c>
      <c r="E1817">
        <v>50</v>
      </c>
      <c r="F1817">
        <v>40.475154877000001</v>
      </c>
      <c r="G1817">
        <v>1410.2940673999999</v>
      </c>
      <c r="H1817">
        <v>1386.2042236</v>
      </c>
      <c r="I1817">
        <v>1244.5814209</v>
      </c>
      <c r="J1817">
        <v>1202.3555908000001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1236.627236</v>
      </c>
      <c r="B1818" s="1">
        <f>DATE(2013,9,18) + TIME(15,3,13)</f>
        <v>41535.627233796295</v>
      </c>
      <c r="C1818">
        <v>80</v>
      </c>
      <c r="D1818">
        <v>79.976593018000003</v>
      </c>
      <c r="E1818">
        <v>50</v>
      </c>
      <c r="F1818">
        <v>40.230663300000003</v>
      </c>
      <c r="G1818">
        <v>1410.2363281</v>
      </c>
      <c r="H1818">
        <v>1386.1484375</v>
      </c>
      <c r="I1818">
        <v>1244.1749268000001</v>
      </c>
      <c r="J1818">
        <v>1201.7148437999999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1238.9351839999999</v>
      </c>
      <c r="B1819" s="1">
        <f>DATE(2013,9,20) + TIME(22,26,39)</f>
        <v>41537.935173611113</v>
      </c>
      <c r="C1819">
        <v>80</v>
      </c>
      <c r="D1819">
        <v>79.976623535000002</v>
      </c>
      <c r="E1819">
        <v>50</v>
      </c>
      <c r="F1819">
        <v>39.982025145999998</v>
      </c>
      <c r="G1819">
        <v>1410.1787108999999</v>
      </c>
      <c r="H1819">
        <v>1386.0928954999999</v>
      </c>
      <c r="I1819">
        <v>1243.7628173999999</v>
      </c>
      <c r="J1819">
        <v>1201.0632324000001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1241.2736379999999</v>
      </c>
      <c r="B1820" s="1">
        <f>DATE(2013,9,23) + TIME(6,34,2)</f>
        <v>41540.273634259262</v>
      </c>
      <c r="C1820">
        <v>80</v>
      </c>
      <c r="D1820">
        <v>79.976661682</v>
      </c>
      <c r="E1820">
        <v>50</v>
      </c>
      <c r="F1820">
        <v>39.729480743000003</v>
      </c>
      <c r="G1820">
        <v>1410.1212158000001</v>
      </c>
      <c r="H1820">
        <v>1386.0372314000001</v>
      </c>
      <c r="I1820">
        <v>1243.3454589999999</v>
      </c>
      <c r="J1820">
        <v>1200.4017334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1243.6440050000001</v>
      </c>
      <c r="B1821" s="1">
        <f>DATE(2013,9,25) + TIME(15,27,22)</f>
        <v>41542.644004629627</v>
      </c>
      <c r="C1821">
        <v>80</v>
      </c>
      <c r="D1821">
        <v>79.976692200000002</v>
      </c>
      <c r="E1821">
        <v>50</v>
      </c>
      <c r="F1821">
        <v>39.472434997999997</v>
      </c>
      <c r="G1821">
        <v>1410.0634766000001</v>
      </c>
      <c r="H1821">
        <v>1385.9814452999999</v>
      </c>
      <c r="I1821">
        <v>1242.9216309000001</v>
      </c>
      <c r="J1821">
        <v>1199.7279053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1246.0447409999999</v>
      </c>
      <c r="B1822" s="1">
        <f>DATE(2013,9,28) + TIME(1,4,25)</f>
        <v>41545.044733796298</v>
      </c>
      <c r="C1822">
        <v>80</v>
      </c>
      <c r="D1822">
        <v>79.976730347</v>
      </c>
      <c r="E1822">
        <v>50</v>
      </c>
      <c r="F1822">
        <v>39.210968018000003</v>
      </c>
      <c r="G1822">
        <v>1410.0056152</v>
      </c>
      <c r="H1822">
        <v>1385.9255370999999</v>
      </c>
      <c r="I1822">
        <v>1242.4912108999999</v>
      </c>
      <c r="J1822">
        <v>1199.0419922000001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1248.461464</v>
      </c>
      <c r="B1823" s="1">
        <f>DATE(2013,9,30) + TIME(11,4,30)</f>
        <v>41547.461458333331</v>
      </c>
      <c r="C1823">
        <v>80</v>
      </c>
      <c r="D1823">
        <v>79.976760863999999</v>
      </c>
      <c r="E1823">
        <v>50</v>
      </c>
      <c r="F1823">
        <v>38.945690155000001</v>
      </c>
      <c r="G1823">
        <v>1409.9475098</v>
      </c>
      <c r="H1823">
        <v>1385.8692627</v>
      </c>
      <c r="I1823">
        <v>1242.0548096</v>
      </c>
      <c r="J1823">
        <v>1198.3448486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1249</v>
      </c>
      <c r="B1824" s="1">
        <f>DATE(2013,10,1) + TIME(0,0,0)</f>
        <v>41548</v>
      </c>
      <c r="C1824">
        <v>80</v>
      </c>
      <c r="D1824">
        <v>79.976768493999998</v>
      </c>
      <c r="E1824">
        <v>50</v>
      </c>
      <c r="F1824">
        <v>38.773059844999999</v>
      </c>
      <c r="G1824">
        <v>1409.8903809000001</v>
      </c>
      <c r="H1824">
        <v>1385.8139647999999</v>
      </c>
      <c r="I1824">
        <v>1241.6239014</v>
      </c>
      <c r="J1824">
        <v>1197.7362060999999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1251.424569</v>
      </c>
      <c r="B1825" s="1">
        <f>DATE(2013,10,3) + TIME(10,11,22)</f>
        <v>41550.424560185187</v>
      </c>
      <c r="C1825">
        <v>80</v>
      </c>
      <c r="D1825">
        <v>79.976806640999996</v>
      </c>
      <c r="E1825">
        <v>50</v>
      </c>
      <c r="F1825">
        <v>38.600772857999999</v>
      </c>
      <c r="G1825">
        <v>1409.8764647999999</v>
      </c>
      <c r="H1825">
        <v>1385.8005370999999</v>
      </c>
      <c r="I1825">
        <v>1241.5134277</v>
      </c>
      <c r="J1825">
        <v>1197.4608154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1253.8652649999999</v>
      </c>
      <c r="B1826" s="1">
        <f>DATE(2013,10,5) + TIME(20,45,58)</f>
        <v>41552.865254629629</v>
      </c>
      <c r="C1826">
        <v>80</v>
      </c>
      <c r="D1826">
        <v>79.976837157999995</v>
      </c>
      <c r="E1826">
        <v>50</v>
      </c>
      <c r="F1826">
        <v>38.347312926999997</v>
      </c>
      <c r="G1826">
        <v>1409.8193358999999</v>
      </c>
      <c r="H1826">
        <v>1385.7452393000001</v>
      </c>
      <c r="I1826">
        <v>1241.0773925999999</v>
      </c>
      <c r="J1826">
        <v>1196.7731934000001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1256.3324809999999</v>
      </c>
      <c r="B1827" s="1">
        <f>DATE(2013,10,8) + TIME(7,58,46)</f>
        <v>41555.332476851851</v>
      </c>
      <c r="C1827">
        <v>80</v>
      </c>
      <c r="D1827">
        <v>79.976867675999998</v>
      </c>
      <c r="E1827">
        <v>50</v>
      </c>
      <c r="F1827">
        <v>38.079841614000003</v>
      </c>
      <c r="G1827">
        <v>1409.7619629000001</v>
      </c>
      <c r="H1827">
        <v>1385.6896973</v>
      </c>
      <c r="I1827">
        <v>1240.6358643000001</v>
      </c>
      <c r="J1827">
        <v>1196.0632324000001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1258.837454</v>
      </c>
      <c r="B1828" s="1">
        <f>DATE(2013,10,10) + TIME(20,5,56)</f>
        <v>41557.837453703702</v>
      </c>
      <c r="C1828">
        <v>80</v>
      </c>
      <c r="D1828">
        <v>79.976905822999996</v>
      </c>
      <c r="E1828">
        <v>50</v>
      </c>
      <c r="F1828">
        <v>37.808471679999997</v>
      </c>
      <c r="G1828">
        <v>1409.7044678</v>
      </c>
      <c r="H1828">
        <v>1385.6340332</v>
      </c>
      <c r="I1828">
        <v>1240.1906738</v>
      </c>
      <c r="J1828">
        <v>1195.3436279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1261.378242</v>
      </c>
      <c r="B1829" s="1">
        <f>DATE(2013,10,13) + TIME(9,4,40)</f>
        <v>41560.378240740742</v>
      </c>
      <c r="C1829">
        <v>80</v>
      </c>
      <c r="D1829">
        <v>79.976936339999995</v>
      </c>
      <c r="E1829">
        <v>50</v>
      </c>
      <c r="F1829">
        <v>37.534225464000002</v>
      </c>
      <c r="G1829">
        <v>1409.6466064000001</v>
      </c>
      <c r="H1829">
        <v>1385.5778809000001</v>
      </c>
      <c r="I1829">
        <v>1239.7404785000001</v>
      </c>
      <c r="J1829">
        <v>1194.6137695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1263.9282920000001</v>
      </c>
      <c r="B1830" s="1">
        <f>DATE(2013,10,15) + TIME(22,16,44)</f>
        <v>41562.928287037037</v>
      </c>
      <c r="C1830">
        <v>80</v>
      </c>
      <c r="D1830">
        <v>79.976974487000007</v>
      </c>
      <c r="E1830">
        <v>50</v>
      </c>
      <c r="F1830">
        <v>37.258384704999997</v>
      </c>
      <c r="G1830">
        <v>1409.5883789</v>
      </c>
      <c r="H1830">
        <v>1385.5214844</v>
      </c>
      <c r="I1830">
        <v>1239.2862548999999</v>
      </c>
      <c r="J1830">
        <v>1193.8759766000001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1266.4975099999999</v>
      </c>
      <c r="B1831" s="1">
        <f>DATE(2013,10,18) + TIME(11,56,24)</f>
        <v>41565.497499999998</v>
      </c>
      <c r="C1831">
        <v>80</v>
      </c>
      <c r="D1831">
        <v>79.977005004999995</v>
      </c>
      <c r="E1831">
        <v>50</v>
      </c>
      <c r="F1831">
        <v>36.983318328999999</v>
      </c>
      <c r="G1831">
        <v>1409.5303954999999</v>
      </c>
      <c r="H1831">
        <v>1385.465332</v>
      </c>
      <c r="I1831">
        <v>1238.833374</v>
      </c>
      <c r="J1831">
        <v>1193.1374512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1269.0730570000001</v>
      </c>
      <c r="B1832" s="1">
        <f>DATE(2013,10,21) + TIME(1,45,12)</f>
        <v>41568.073055555556</v>
      </c>
      <c r="C1832">
        <v>80</v>
      </c>
      <c r="D1832">
        <v>79.977043151999993</v>
      </c>
      <c r="E1832">
        <v>50</v>
      </c>
      <c r="F1832">
        <v>36.709388732999997</v>
      </c>
      <c r="G1832">
        <v>1409.4724120999999</v>
      </c>
      <c r="H1832">
        <v>1385.4090576000001</v>
      </c>
      <c r="I1832">
        <v>1238.3806152</v>
      </c>
      <c r="J1832">
        <v>1192.3974608999999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1271.667326</v>
      </c>
      <c r="B1833" s="1">
        <f>DATE(2013,10,23) + TIME(16,0,56)</f>
        <v>41570.667314814818</v>
      </c>
      <c r="C1833">
        <v>80</v>
      </c>
      <c r="D1833">
        <v>79.977073669000006</v>
      </c>
      <c r="E1833">
        <v>50</v>
      </c>
      <c r="F1833">
        <v>36.437763214</v>
      </c>
      <c r="G1833">
        <v>1409.4146728999999</v>
      </c>
      <c r="H1833">
        <v>1385.3530272999999</v>
      </c>
      <c r="I1833">
        <v>1237.9306641000001</v>
      </c>
      <c r="J1833">
        <v>1191.659668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1274.294576</v>
      </c>
      <c r="B1834" s="1">
        <f>DATE(2013,10,26) + TIME(7,4,11)</f>
        <v>41573.294571759259</v>
      </c>
      <c r="C1834">
        <v>80</v>
      </c>
      <c r="D1834">
        <v>79.977111816000004</v>
      </c>
      <c r="E1834">
        <v>50</v>
      </c>
      <c r="F1834">
        <v>36.168048859000002</v>
      </c>
      <c r="G1834">
        <v>1409.3570557</v>
      </c>
      <c r="H1834">
        <v>1385.2969971</v>
      </c>
      <c r="I1834">
        <v>1237.4821777</v>
      </c>
      <c r="J1834">
        <v>1190.9222411999999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1276.9623140000001</v>
      </c>
      <c r="B1835" s="1">
        <f>DATE(2013,10,28) + TIME(23,5,43)</f>
        <v>41575.96230324074</v>
      </c>
      <c r="C1835">
        <v>80</v>
      </c>
      <c r="D1835">
        <v>79.977149963000002</v>
      </c>
      <c r="E1835">
        <v>50</v>
      </c>
      <c r="F1835">
        <v>35.899478911999999</v>
      </c>
      <c r="G1835">
        <v>1409.2989502</v>
      </c>
      <c r="H1835">
        <v>1385.2407227000001</v>
      </c>
      <c r="I1835">
        <v>1237.0332031</v>
      </c>
      <c r="J1835">
        <v>1190.1818848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1279.65436</v>
      </c>
      <c r="B1836" s="1">
        <f>DATE(2013,10,31) + TIME(15,42,16)</f>
        <v>41578.654351851852</v>
      </c>
      <c r="C1836">
        <v>80</v>
      </c>
      <c r="D1836">
        <v>79.977180481000005</v>
      </c>
      <c r="E1836">
        <v>50</v>
      </c>
      <c r="F1836">
        <v>35.632350922000001</v>
      </c>
      <c r="G1836">
        <v>1409.2404785000001</v>
      </c>
      <c r="H1836">
        <v>1385.1838379000001</v>
      </c>
      <c r="I1836">
        <v>1236.5832519999999</v>
      </c>
      <c r="J1836">
        <v>1189.4383545000001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1280</v>
      </c>
      <c r="B1837" s="1">
        <f>DATE(2013,11,1) + TIME(0,0,0)</f>
        <v>41579</v>
      </c>
      <c r="C1837">
        <v>80</v>
      </c>
      <c r="D1837">
        <v>79.977180481000005</v>
      </c>
      <c r="E1837">
        <v>50</v>
      </c>
      <c r="F1837">
        <v>35.498321533000002</v>
      </c>
      <c r="G1837">
        <v>1409.1837158000001</v>
      </c>
      <c r="H1837">
        <v>1385.1287841999999</v>
      </c>
      <c r="I1837">
        <v>1236.1496582</v>
      </c>
      <c r="J1837">
        <v>1188.8447266000001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1280.0000010000001</v>
      </c>
      <c r="B1838" s="1">
        <f>DATE(2013,11,1) + TIME(0,0,0)</f>
        <v>41579</v>
      </c>
      <c r="C1838">
        <v>80</v>
      </c>
      <c r="D1838">
        <v>79.976936339999995</v>
      </c>
      <c r="E1838">
        <v>50</v>
      </c>
      <c r="F1838">
        <v>35.498565673999998</v>
      </c>
      <c r="G1838">
        <v>1383.3848877</v>
      </c>
      <c r="H1838">
        <v>1356.8168945</v>
      </c>
      <c r="I1838">
        <v>1291.027832</v>
      </c>
      <c r="J1838">
        <v>1237.9238281</v>
      </c>
      <c r="K1838">
        <v>0</v>
      </c>
      <c r="L1838">
        <v>2400</v>
      </c>
      <c r="M1838">
        <v>2400</v>
      </c>
      <c r="N1838">
        <v>0</v>
      </c>
    </row>
    <row r="1839" spans="1:14" x14ac:dyDescent="0.25">
      <c r="A1839">
        <v>1280.000004</v>
      </c>
      <c r="B1839" s="1">
        <f>DATE(2013,11,1) + TIME(0,0,0)</f>
        <v>41579</v>
      </c>
      <c r="C1839">
        <v>80</v>
      </c>
      <c r="D1839">
        <v>79.976310729999994</v>
      </c>
      <c r="E1839">
        <v>50</v>
      </c>
      <c r="F1839">
        <v>35.499240874999998</v>
      </c>
      <c r="G1839">
        <v>1378.980957</v>
      </c>
      <c r="H1839">
        <v>1352.4278564000001</v>
      </c>
      <c r="I1839">
        <v>1295.8212891000001</v>
      </c>
      <c r="J1839">
        <v>1242.7766113</v>
      </c>
      <c r="K1839">
        <v>0</v>
      </c>
      <c r="L1839">
        <v>2400</v>
      </c>
      <c r="M1839">
        <v>2400</v>
      </c>
      <c r="N1839">
        <v>0</v>
      </c>
    </row>
    <row r="1840" spans="1:14" x14ac:dyDescent="0.25">
      <c r="A1840">
        <v>1280.0000130000001</v>
      </c>
      <c r="B1840" s="1">
        <f>DATE(2013,11,1) + TIME(0,0,1)</f>
        <v>41579.000011574077</v>
      </c>
      <c r="C1840">
        <v>80</v>
      </c>
      <c r="D1840">
        <v>79.975044249999996</v>
      </c>
      <c r="E1840">
        <v>50</v>
      </c>
      <c r="F1840">
        <v>35.500911713000001</v>
      </c>
      <c r="G1840">
        <v>1370.1076660000001</v>
      </c>
      <c r="H1840">
        <v>1343.6289062000001</v>
      </c>
      <c r="I1840">
        <v>1307.1647949000001</v>
      </c>
      <c r="J1840">
        <v>1254.260376</v>
      </c>
      <c r="K1840">
        <v>0</v>
      </c>
      <c r="L1840">
        <v>2400</v>
      </c>
      <c r="M1840">
        <v>2400</v>
      </c>
      <c r="N1840">
        <v>0</v>
      </c>
    </row>
    <row r="1841" spans="1:14" x14ac:dyDescent="0.25">
      <c r="A1841">
        <v>1280.0000399999999</v>
      </c>
      <c r="B1841" s="1">
        <f>DATE(2013,11,1) + TIME(0,0,3)</f>
        <v>41579.000034722223</v>
      </c>
      <c r="C1841">
        <v>80</v>
      </c>
      <c r="D1841">
        <v>79.973213196000003</v>
      </c>
      <c r="E1841">
        <v>50</v>
      </c>
      <c r="F1841">
        <v>35.504318237</v>
      </c>
      <c r="G1841">
        <v>1357.2359618999999</v>
      </c>
      <c r="H1841">
        <v>1330.9725341999999</v>
      </c>
      <c r="I1841">
        <v>1327.6354980000001</v>
      </c>
      <c r="J1841">
        <v>1275.0113524999999</v>
      </c>
      <c r="K1841">
        <v>0</v>
      </c>
      <c r="L1841">
        <v>2400</v>
      </c>
      <c r="M1841">
        <v>2400</v>
      </c>
      <c r="N1841">
        <v>0</v>
      </c>
    </row>
    <row r="1842" spans="1:14" x14ac:dyDescent="0.25">
      <c r="A1842">
        <v>1280.000121</v>
      </c>
      <c r="B1842" s="1">
        <f>DATE(2013,11,1) + TIME(0,0,10)</f>
        <v>41579.000115740739</v>
      </c>
      <c r="C1842">
        <v>80</v>
      </c>
      <c r="D1842">
        <v>79.971199036000002</v>
      </c>
      <c r="E1842">
        <v>50</v>
      </c>
      <c r="F1842">
        <v>35.510356903000002</v>
      </c>
      <c r="G1842">
        <v>1343.1850586</v>
      </c>
      <c r="H1842">
        <v>1317.3533935999999</v>
      </c>
      <c r="I1842">
        <v>1353.9738769999999</v>
      </c>
      <c r="J1842">
        <v>1301.8896483999999</v>
      </c>
      <c r="K1842">
        <v>0</v>
      </c>
      <c r="L1842">
        <v>2400</v>
      </c>
      <c r="M1842">
        <v>2400</v>
      </c>
      <c r="N1842">
        <v>0</v>
      </c>
    </row>
    <row r="1843" spans="1:14" x14ac:dyDescent="0.25">
      <c r="A1843">
        <v>1280.000364</v>
      </c>
      <c r="B1843" s="1">
        <f>DATE(2013,11,1) + TIME(0,0,31)</f>
        <v>41579.000358796293</v>
      </c>
      <c r="C1843">
        <v>80</v>
      </c>
      <c r="D1843">
        <v>79.969238281000003</v>
      </c>
      <c r="E1843">
        <v>50</v>
      </c>
      <c r="F1843">
        <v>35.522125244000001</v>
      </c>
      <c r="G1843">
        <v>1329.6800536999999</v>
      </c>
      <c r="H1843">
        <v>1304.5356445</v>
      </c>
      <c r="I1843">
        <v>1380.7985839999999</v>
      </c>
      <c r="J1843">
        <v>1329.6795654</v>
      </c>
      <c r="K1843">
        <v>0</v>
      </c>
      <c r="L1843">
        <v>2400</v>
      </c>
      <c r="M1843">
        <v>2400</v>
      </c>
      <c r="N1843">
        <v>0</v>
      </c>
    </row>
    <row r="1844" spans="1:14" x14ac:dyDescent="0.25">
      <c r="A1844">
        <v>1280.0010930000001</v>
      </c>
      <c r="B1844" s="1">
        <f>DATE(2013,11,1) + TIME(0,1,34)</f>
        <v>41579.001087962963</v>
      </c>
      <c r="C1844">
        <v>80</v>
      </c>
      <c r="D1844">
        <v>79.967346191000004</v>
      </c>
      <c r="E1844">
        <v>50</v>
      </c>
      <c r="F1844">
        <v>35.550029754999997</v>
      </c>
      <c r="G1844">
        <v>1317.4227295000001</v>
      </c>
      <c r="H1844">
        <v>1293.0603027</v>
      </c>
      <c r="I1844">
        <v>1405.8814697</v>
      </c>
      <c r="J1844">
        <v>1356.1817627</v>
      </c>
      <c r="K1844">
        <v>0</v>
      </c>
      <c r="L1844">
        <v>2400</v>
      </c>
      <c r="M1844">
        <v>2400</v>
      </c>
      <c r="N1844">
        <v>0</v>
      </c>
    </row>
    <row r="1845" spans="1:14" x14ac:dyDescent="0.25">
      <c r="A1845">
        <v>1280.0032799999999</v>
      </c>
      <c r="B1845" s="1">
        <f>DATE(2013,11,1) + TIME(0,4,43)</f>
        <v>41579.003275462965</v>
      </c>
      <c r="C1845">
        <v>80</v>
      </c>
      <c r="D1845">
        <v>79.965408324999999</v>
      </c>
      <c r="E1845">
        <v>50</v>
      </c>
      <c r="F1845">
        <v>35.624782562</v>
      </c>
      <c r="G1845">
        <v>1306.7985839999999</v>
      </c>
      <c r="H1845">
        <v>1282.9542236</v>
      </c>
      <c r="I1845">
        <v>1428.4268798999999</v>
      </c>
      <c r="J1845">
        <v>1380.1829834</v>
      </c>
      <c r="K1845">
        <v>0</v>
      </c>
      <c r="L1845">
        <v>2400</v>
      </c>
      <c r="M1845">
        <v>2400</v>
      </c>
      <c r="N1845">
        <v>0</v>
      </c>
    </row>
    <row r="1846" spans="1:14" x14ac:dyDescent="0.25">
      <c r="A1846">
        <v>1280.0098410000001</v>
      </c>
      <c r="B1846" s="1">
        <f>DATE(2013,11,1) + TIME(0,14,10)</f>
        <v>41579.009837962964</v>
      </c>
      <c r="C1846">
        <v>80</v>
      </c>
      <c r="D1846">
        <v>79.962730407999999</v>
      </c>
      <c r="E1846">
        <v>50</v>
      </c>
      <c r="F1846">
        <v>35.836280823000003</v>
      </c>
      <c r="G1846">
        <v>1296.9830322</v>
      </c>
      <c r="H1846">
        <v>1273.2883300999999</v>
      </c>
      <c r="I1846">
        <v>1447.5079346</v>
      </c>
      <c r="J1846">
        <v>1400.2602539</v>
      </c>
      <c r="K1846">
        <v>0</v>
      </c>
      <c r="L1846">
        <v>2400</v>
      </c>
      <c r="M1846">
        <v>2400</v>
      </c>
      <c r="N1846">
        <v>0</v>
      </c>
    </row>
    <row r="1847" spans="1:14" x14ac:dyDescent="0.25">
      <c r="A1847">
        <v>1280.029524</v>
      </c>
      <c r="B1847" s="1">
        <f>DATE(2013,11,1) + TIME(0,42,30)</f>
        <v>41579.029513888891</v>
      </c>
      <c r="C1847">
        <v>80</v>
      </c>
      <c r="D1847">
        <v>79.957733153999996</v>
      </c>
      <c r="E1847">
        <v>50</v>
      </c>
      <c r="F1847">
        <v>36.435951232999997</v>
      </c>
      <c r="G1847">
        <v>1288.0267334</v>
      </c>
      <c r="H1847">
        <v>1264.3153076000001</v>
      </c>
      <c r="I1847">
        <v>1461.0760498</v>
      </c>
      <c r="J1847">
        <v>1414.6143798999999</v>
      </c>
      <c r="K1847">
        <v>0</v>
      </c>
      <c r="L1847">
        <v>2400</v>
      </c>
      <c r="M1847">
        <v>2400</v>
      </c>
      <c r="N1847">
        <v>0</v>
      </c>
    </row>
    <row r="1848" spans="1:14" x14ac:dyDescent="0.25">
      <c r="A1848">
        <v>1280.054431</v>
      </c>
      <c r="B1848" s="1">
        <f>DATE(2013,11,1) + TIME(1,18,22)</f>
        <v>41579.0544212963</v>
      </c>
      <c r="C1848">
        <v>80</v>
      </c>
      <c r="D1848">
        <v>79.952522278000004</v>
      </c>
      <c r="E1848">
        <v>50</v>
      </c>
      <c r="F1848">
        <v>37.152839661000002</v>
      </c>
      <c r="G1848">
        <v>1284.0456543</v>
      </c>
      <c r="H1848">
        <v>1260.3148193</v>
      </c>
      <c r="I1848">
        <v>1465.5529785000001</v>
      </c>
      <c r="J1848">
        <v>1419.7867432</v>
      </c>
      <c r="K1848">
        <v>0</v>
      </c>
      <c r="L1848">
        <v>2400</v>
      </c>
      <c r="M1848">
        <v>2400</v>
      </c>
      <c r="N1848">
        <v>0</v>
      </c>
    </row>
    <row r="1849" spans="1:14" x14ac:dyDescent="0.25">
      <c r="A1849">
        <v>1280.080872</v>
      </c>
      <c r="B1849" s="1">
        <f>DATE(2013,11,1) + TIME(1,56,27)</f>
        <v>41579.080868055556</v>
      </c>
      <c r="C1849">
        <v>80</v>
      </c>
      <c r="D1849">
        <v>79.947433472</v>
      </c>
      <c r="E1849">
        <v>50</v>
      </c>
      <c r="F1849">
        <v>37.870742798000002</v>
      </c>
      <c r="G1849">
        <v>1282.4815673999999</v>
      </c>
      <c r="H1849">
        <v>1258.7424315999999</v>
      </c>
      <c r="I1849">
        <v>1466.4459228999999</v>
      </c>
      <c r="J1849">
        <v>1421.347168</v>
      </c>
      <c r="K1849">
        <v>0</v>
      </c>
      <c r="L1849">
        <v>2400</v>
      </c>
      <c r="M1849">
        <v>2400</v>
      </c>
      <c r="N1849">
        <v>0</v>
      </c>
    </row>
    <row r="1850" spans="1:14" x14ac:dyDescent="0.25">
      <c r="A1850">
        <v>1280.1090340000001</v>
      </c>
      <c r="B1850" s="1">
        <f>DATE(2013,11,1) + TIME(2,37,0)</f>
        <v>41579.109027777777</v>
      </c>
      <c r="C1850">
        <v>80</v>
      </c>
      <c r="D1850">
        <v>79.942245482999994</v>
      </c>
      <c r="E1850">
        <v>50</v>
      </c>
      <c r="F1850">
        <v>38.589710236000002</v>
      </c>
      <c r="G1850">
        <v>1281.8664550999999</v>
      </c>
      <c r="H1850">
        <v>1258.1239014</v>
      </c>
      <c r="I1850">
        <v>1466.0755615</v>
      </c>
      <c r="J1850">
        <v>1421.6314697</v>
      </c>
      <c r="K1850">
        <v>0</v>
      </c>
      <c r="L1850">
        <v>2400</v>
      </c>
      <c r="M1850">
        <v>2400</v>
      </c>
      <c r="N1850">
        <v>0</v>
      </c>
    </row>
    <row r="1851" spans="1:14" x14ac:dyDescent="0.25">
      <c r="A1851">
        <v>1280.139158</v>
      </c>
      <c r="B1851" s="1">
        <f>DATE(2013,11,1) + TIME(3,20,23)</f>
        <v>41579.139155092591</v>
      </c>
      <c r="C1851">
        <v>80</v>
      </c>
      <c r="D1851">
        <v>79.936859131000006</v>
      </c>
      <c r="E1851">
        <v>50</v>
      </c>
      <c r="F1851">
        <v>39.309932709000002</v>
      </c>
      <c r="G1851">
        <v>1281.6268310999999</v>
      </c>
      <c r="H1851">
        <v>1257.8826904</v>
      </c>
      <c r="I1851">
        <v>1465.2568358999999</v>
      </c>
      <c r="J1851">
        <v>1421.4533690999999</v>
      </c>
      <c r="K1851">
        <v>0</v>
      </c>
      <c r="L1851">
        <v>2400</v>
      </c>
      <c r="M1851">
        <v>2400</v>
      </c>
      <c r="N1851">
        <v>0</v>
      </c>
    </row>
    <row r="1852" spans="1:14" x14ac:dyDescent="0.25">
      <c r="A1852">
        <v>1280.171546</v>
      </c>
      <c r="B1852" s="1">
        <f>DATE(2013,11,1) + TIME(4,7,1)</f>
        <v>41579.171539351853</v>
      </c>
      <c r="C1852">
        <v>80</v>
      </c>
      <c r="D1852">
        <v>79.931205750000004</v>
      </c>
      <c r="E1852">
        <v>50</v>
      </c>
      <c r="F1852">
        <v>40.031745911000002</v>
      </c>
      <c r="G1852">
        <v>1281.5340576000001</v>
      </c>
      <c r="H1852">
        <v>1257.7890625</v>
      </c>
      <c r="I1852">
        <v>1464.291626</v>
      </c>
      <c r="J1852">
        <v>1421.1138916</v>
      </c>
      <c r="K1852">
        <v>0</v>
      </c>
      <c r="L1852">
        <v>2400</v>
      </c>
      <c r="M1852">
        <v>2400</v>
      </c>
      <c r="N1852">
        <v>0</v>
      </c>
    </row>
    <row r="1853" spans="1:14" x14ac:dyDescent="0.25">
      <c r="A1853">
        <v>1280.2065769999999</v>
      </c>
      <c r="B1853" s="1">
        <f>DATE(2013,11,1) + TIME(4,57,28)</f>
        <v>41579.206574074073</v>
      </c>
      <c r="C1853">
        <v>80</v>
      </c>
      <c r="D1853">
        <v>79.925216675000001</v>
      </c>
      <c r="E1853">
        <v>50</v>
      </c>
      <c r="F1853">
        <v>40.755699157999999</v>
      </c>
      <c r="G1853">
        <v>1281.4976807</v>
      </c>
      <c r="H1853">
        <v>1257.7520752</v>
      </c>
      <c r="I1853">
        <v>1463.2899170000001</v>
      </c>
      <c r="J1853">
        <v>1420.7230225000001</v>
      </c>
      <c r="K1853">
        <v>0</v>
      </c>
      <c r="L1853">
        <v>2400</v>
      </c>
      <c r="M1853">
        <v>2400</v>
      </c>
      <c r="N1853">
        <v>0</v>
      </c>
    </row>
    <row r="1854" spans="1:14" x14ac:dyDescent="0.25">
      <c r="A1854">
        <v>1280.244729</v>
      </c>
      <c r="B1854" s="1">
        <f>DATE(2013,11,1) + TIME(5,52,24)</f>
        <v>41579.244722222225</v>
      </c>
      <c r="C1854">
        <v>80</v>
      </c>
      <c r="D1854">
        <v>79.918846130000006</v>
      </c>
      <c r="E1854">
        <v>50</v>
      </c>
      <c r="F1854">
        <v>41.482002258000001</v>
      </c>
      <c r="G1854">
        <v>1281.4829102000001</v>
      </c>
      <c r="H1854">
        <v>1257.7365723</v>
      </c>
      <c r="I1854">
        <v>1462.2894286999999</v>
      </c>
      <c r="J1854">
        <v>1420.3188477000001</v>
      </c>
      <c r="K1854">
        <v>0</v>
      </c>
      <c r="L1854">
        <v>2400</v>
      </c>
      <c r="M1854">
        <v>2400</v>
      </c>
      <c r="N1854">
        <v>0</v>
      </c>
    </row>
    <row r="1855" spans="1:14" x14ac:dyDescent="0.25">
      <c r="A1855">
        <v>1280.2866100000001</v>
      </c>
      <c r="B1855" s="1">
        <f>DATE(2013,11,1) + TIME(6,52,43)</f>
        <v>41579.286608796298</v>
      </c>
      <c r="C1855">
        <v>80</v>
      </c>
      <c r="D1855">
        <v>79.912010193</v>
      </c>
      <c r="E1855">
        <v>50</v>
      </c>
      <c r="F1855">
        <v>42.210895538000003</v>
      </c>
      <c r="G1855">
        <v>1281.4760742000001</v>
      </c>
      <c r="H1855">
        <v>1257.7292480000001</v>
      </c>
      <c r="I1855">
        <v>1461.3016356999999</v>
      </c>
      <c r="J1855">
        <v>1419.9132079999999</v>
      </c>
      <c r="K1855">
        <v>0</v>
      </c>
      <c r="L1855">
        <v>2400</v>
      </c>
      <c r="M1855">
        <v>2400</v>
      </c>
      <c r="N1855">
        <v>0</v>
      </c>
    </row>
    <row r="1856" spans="1:14" x14ac:dyDescent="0.25">
      <c r="A1856">
        <v>1280.3330370000001</v>
      </c>
      <c r="B1856" s="1">
        <f>DATE(2013,11,1) + TIME(7,59,34)</f>
        <v>41579.333032407405</v>
      </c>
      <c r="C1856">
        <v>80</v>
      </c>
      <c r="D1856">
        <v>79.904617310000006</v>
      </c>
      <c r="E1856">
        <v>50</v>
      </c>
      <c r="F1856">
        <v>42.942790985000002</v>
      </c>
      <c r="G1856">
        <v>1281.4724120999999</v>
      </c>
      <c r="H1856">
        <v>1257.7249756000001</v>
      </c>
      <c r="I1856">
        <v>1460.3286132999999</v>
      </c>
      <c r="J1856">
        <v>1419.5087891000001</v>
      </c>
      <c r="K1856">
        <v>0</v>
      </c>
      <c r="L1856">
        <v>2400</v>
      </c>
      <c r="M1856">
        <v>2400</v>
      </c>
      <c r="N1856">
        <v>0</v>
      </c>
    </row>
    <row r="1857" spans="1:14" x14ac:dyDescent="0.25">
      <c r="A1857">
        <v>1280.385098</v>
      </c>
      <c r="B1857" s="1">
        <f>DATE(2013,11,1) + TIME(9,14,32)</f>
        <v>41579.385092592594</v>
      </c>
      <c r="C1857">
        <v>80</v>
      </c>
      <c r="D1857">
        <v>79.896537781000006</v>
      </c>
      <c r="E1857">
        <v>50</v>
      </c>
      <c r="F1857">
        <v>43.677822112999998</v>
      </c>
      <c r="G1857">
        <v>1281.4698486</v>
      </c>
      <c r="H1857">
        <v>1257.7216797000001</v>
      </c>
      <c r="I1857">
        <v>1459.3693848</v>
      </c>
      <c r="J1857">
        <v>1419.1047363</v>
      </c>
      <c r="K1857">
        <v>0</v>
      </c>
      <c r="L1857">
        <v>2400</v>
      </c>
      <c r="M1857">
        <v>2400</v>
      </c>
      <c r="N1857">
        <v>0</v>
      </c>
    </row>
    <row r="1858" spans="1:14" x14ac:dyDescent="0.25">
      <c r="A1858">
        <v>1280.4443000000001</v>
      </c>
      <c r="B1858" s="1">
        <f>DATE(2013,11,1) + TIME(10,39,47)</f>
        <v>41579.444293981483</v>
      </c>
      <c r="C1858">
        <v>80</v>
      </c>
      <c r="D1858">
        <v>79.887619018999999</v>
      </c>
      <c r="E1858">
        <v>50</v>
      </c>
      <c r="F1858">
        <v>44.415870667</v>
      </c>
      <c r="G1858">
        <v>1281.4674072</v>
      </c>
      <c r="H1858">
        <v>1257.7185059000001</v>
      </c>
      <c r="I1858">
        <v>1458.4223632999999</v>
      </c>
      <c r="J1858">
        <v>1418.6994629000001</v>
      </c>
      <c r="K1858">
        <v>0</v>
      </c>
      <c r="L1858">
        <v>2400</v>
      </c>
      <c r="M1858">
        <v>2400</v>
      </c>
      <c r="N1858">
        <v>0</v>
      </c>
    </row>
    <row r="1859" spans="1:14" x14ac:dyDescent="0.25">
      <c r="A1859">
        <v>1280.512804</v>
      </c>
      <c r="B1859" s="1">
        <f>DATE(2013,11,1) + TIME(12,18,26)</f>
        <v>41579.512800925928</v>
      </c>
      <c r="C1859">
        <v>80</v>
      </c>
      <c r="D1859">
        <v>79.877624511999997</v>
      </c>
      <c r="E1859">
        <v>50</v>
      </c>
      <c r="F1859">
        <v>45.156352996999999</v>
      </c>
      <c r="G1859">
        <v>1281.4649658000001</v>
      </c>
      <c r="H1859">
        <v>1257.715332</v>
      </c>
      <c r="I1859">
        <v>1457.4855957</v>
      </c>
      <c r="J1859">
        <v>1418.2907714999999</v>
      </c>
      <c r="K1859">
        <v>0</v>
      </c>
      <c r="L1859">
        <v>2400</v>
      </c>
      <c r="M1859">
        <v>2400</v>
      </c>
      <c r="N1859">
        <v>0</v>
      </c>
    </row>
    <row r="1860" spans="1:14" x14ac:dyDescent="0.25">
      <c r="A1860">
        <v>1280.5938450000001</v>
      </c>
      <c r="B1860" s="1">
        <f>DATE(2013,11,1) + TIME(14,15,8)</f>
        <v>41579.593842592592</v>
      </c>
      <c r="C1860">
        <v>80</v>
      </c>
      <c r="D1860">
        <v>79.866226196</v>
      </c>
      <c r="E1860">
        <v>50</v>
      </c>
      <c r="F1860">
        <v>45.897850036999998</v>
      </c>
      <c r="G1860">
        <v>1281.4622803</v>
      </c>
      <c r="H1860">
        <v>1257.7115478999999</v>
      </c>
      <c r="I1860">
        <v>1456.5568848</v>
      </c>
      <c r="J1860">
        <v>1417.8757324000001</v>
      </c>
      <c r="K1860">
        <v>0</v>
      </c>
      <c r="L1860">
        <v>2400</v>
      </c>
      <c r="M1860">
        <v>2400</v>
      </c>
      <c r="N1860">
        <v>0</v>
      </c>
    </row>
    <row r="1861" spans="1:14" x14ac:dyDescent="0.25">
      <c r="A1861">
        <v>1280.6905019999999</v>
      </c>
      <c r="B1861" s="1">
        <f>DATE(2013,11,1) + TIME(16,34,19)</f>
        <v>41579.690497685187</v>
      </c>
      <c r="C1861">
        <v>80</v>
      </c>
      <c r="D1861">
        <v>79.853149414000001</v>
      </c>
      <c r="E1861">
        <v>50</v>
      </c>
      <c r="F1861">
        <v>46.624900818</v>
      </c>
      <c r="G1861">
        <v>1281.4589844</v>
      </c>
      <c r="H1861">
        <v>1257.7072754000001</v>
      </c>
      <c r="I1861">
        <v>1455.6479492000001</v>
      </c>
      <c r="J1861">
        <v>1417.4555664</v>
      </c>
      <c r="K1861">
        <v>0</v>
      </c>
      <c r="L1861">
        <v>2400</v>
      </c>
      <c r="M1861">
        <v>2400</v>
      </c>
      <c r="N1861">
        <v>0</v>
      </c>
    </row>
    <row r="1862" spans="1:14" x14ac:dyDescent="0.25">
      <c r="A1862">
        <v>1280.8018259999999</v>
      </c>
      <c r="B1862" s="1">
        <f>DATE(2013,11,1) + TIME(19,14,37)</f>
        <v>41579.801817129628</v>
      </c>
      <c r="C1862">
        <v>80</v>
      </c>
      <c r="D1862">
        <v>79.838562011999997</v>
      </c>
      <c r="E1862">
        <v>50</v>
      </c>
      <c r="F1862">
        <v>47.295204163000001</v>
      </c>
      <c r="G1862">
        <v>1281.4550781</v>
      </c>
      <c r="H1862">
        <v>1257.7022704999999</v>
      </c>
      <c r="I1862">
        <v>1454.7962646000001</v>
      </c>
      <c r="J1862">
        <v>1417.0413818</v>
      </c>
      <c r="K1862">
        <v>0</v>
      </c>
      <c r="L1862">
        <v>2400</v>
      </c>
      <c r="M1862">
        <v>2400</v>
      </c>
      <c r="N1862">
        <v>0</v>
      </c>
    </row>
    <row r="1863" spans="1:14" x14ac:dyDescent="0.25">
      <c r="A1863">
        <v>1280.9149689999999</v>
      </c>
      <c r="B1863" s="1">
        <f>DATE(2013,11,1) + TIME(21,57,33)</f>
        <v>41579.914965277778</v>
      </c>
      <c r="C1863">
        <v>80</v>
      </c>
      <c r="D1863">
        <v>79.823783875000004</v>
      </c>
      <c r="E1863">
        <v>50</v>
      </c>
      <c r="F1863">
        <v>47.838722228999998</v>
      </c>
      <c r="G1863">
        <v>1281.4503173999999</v>
      </c>
      <c r="H1863">
        <v>1257.6966553</v>
      </c>
      <c r="I1863">
        <v>1454.0690918</v>
      </c>
      <c r="J1863">
        <v>1416.6595459</v>
      </c>
      <c r="K1863">
        <v>0</v>
      </c>
      <c r="L1863">
        <v>2400</v>
      </c>
      <c r="M1863">
        <v>2400</v>
      </c>
      <c r="N1863">
        <v>0</v>
      </c>
    </row>
    <row r="1864" spans="1:14" x14ac:dyDescent="0.25">
      <c r="A1864">
        <v>1281.0331980000001</v>
      </c>
      <c r="B1864" s="1">
        <f>DATE(2013,11,2) + TIME(0,47,48)</f>
        <v>41580.033194444448</v>
      </c>
      <c r="C1864">
        <v>80</v>
      </c>
      <c r="D1864">
        <v>79.808494568</v>
      </c>
      <c r="E1864">
        <v>50</v>
      </c>
      <c r="F1864">
        <v>48.287712096999996</v>
      </c>
      <c r="G1864">
        <v>1281.4455565999999</v>
      </c>
      <c r="H1864">
        <v>1257.6907959</v>
      </c>
      <c r="I1864">
        <v>1453.4470214999999</v>
      </c>
      <c r="J1864">
        <v>1416.3168945</v>
      </c>
      <c r="K1864">
        <v>0</v>
      </c>
      <c r="L1864">
        <v>2400</v>
      </c>
      <c r="M1864">
        <v>2400</v>
      </c>
      <c r="N1864">
        <v>0</v>
      </c>
    </row>
    <row r="1865" spans="1:14" x14ac:dyDescent="0.25">
      <c r="A1865">
        <v>1281.158169</v>
      </c>
      <c r="B1865" s="1">
        <f>DATE(2013,11,2) + TIME(3,47,45)</f>
        <v>41580.158159722225</v>
      </c>
      <c r="C1865">
        <v>80</v>
      </c>
      <c r="D1865">
        <v>79.792541503999999</v>
      </c>
      <c r="E1865">
        <v>50</v>
      </c>
      <c r="F1865">
        <v>48.658428192000002</v>
      </c>
      <c r="G1865">
        <v>1281.4405518000001</v>
      </c>
      <c r="H1865">
        <v>1257.6848144999999</v>
      </c>
      <c r="I1865">
        <v>1452.9051514</v>
      </c>
      <c r="J1865">
        <v>1416.0014647999999</v>
      </c>
      <c r="K1865">
        <v>0</v>
      </c>
      <c r="L1865">
        <v>2400</v>
      </c>
      <c r="M1865">
        <v>2400</v>
      </c>
      <c r="N1865">
        <v>0</v>
      </c>
    </row>
    <row r="1866" spans="1:14" x14ac:dyDescent="0.25">
      <c r="A1866">
        <v>1281.2919340000001</v>
      </c>
      <c r="B1866" s="1">
        <f>DATE(2013,11,2) + TIME(7,0,23)</f>
        <v>41580.291932870372</v>
      </c>
      <c r="C1866">
        <v>80</v>
      </c>
      <c r="D1866">
        <v>79.775718689000001</v>
      </c>
      <c r="E1866">
        <v>50</v>
      </c>
      <c r="F1866">
        <v>48.963653563999998</v>
      </c>
      <c r="G1866">
        <v>1281.4353027</v>
      </c>
      <c r="H1866">
        <v>1257.6783447</v>
      </c>
      <c r="I1866">
        <v>1452.4261475000001</v>
      </c>
      <c r="J1866">
        <v>1415.7061768000001</v>
      </c>
      <c r="K1866">
        <v>0</v>
      </c>
      <c r="L1866">
        <v>2400</v>
      </c>
      <c r="M1866">
        <v>2400</v>
      </c>
      <c r="N1866">
        <v>0</v>
      </c>
    </row>
    <row r="1867" spans="1:14" x14ac:dyDescent="0.25">
      <c r="A1867">
        <v>1281.436964</v>
      </c>
      <c r="B1867" s="1">
        <f>DATE(2013,11,2) + TIME(10,29,13)</f>
        <v>41580.436956018515</v>
      </c>
      <c r="C1867">
        <v>80</v>
      </c>
      <c r="D1867">
        <v>79.757781981999997</v>
      </c>
      <c r="E1867">
        <v>50</v>
      </c>
      <c r="F1867">
        <v>49.213359832999998</v>
      </c>
      <c r="G1867">
        <v>1281.4295654</v>
      </c>
      <c r="H1867">
        <v>1257.6715088000001</v>
      </c>
      <c r="I1867">
        <v>1451.9968262</v>
      </c>
      <c r="J1867">
        <v>1415.4249268000001</v>
      </c>
      <c r="K1867">
        <v>0</v>
      </c>
      <c r="L1867">
        <v>2400</v>
      </c>
      <c r="M1867">
        <v>2400</v>
      </c>
      <c r="N1867">
        <v>0</v>
      </c>
    </row>
    <row r="1868" spans="1:14" x14ac:dyDescent="0.25">
      <c r="A1868">
        <v>1281.5963770000001</v>
      </c>
      <c r="B1868" s="1">
        <f>DATE(2013,11,2) + TIME(14,18,46)</f>
        <v>41580.596365740741</v>
      </c>
      <c r="C1868">
        <v>80</v>
      </c>
      <c r="D1868">
        <v>79.738449097</v>
      </c>
      <c r="E1868">
        <v>50</v>
      </c>
      <c r="F1868">
        <v>49.415554047000001</v>
      </c>
      <c r="G1868">
        <v>1281.4234618999999</v>
      </c>
      <c r="H1868">
        <v>1257.6640625</v>
      </c>
      <c r="I1868">
        <v>1451.6058350000001</v>
      </c>
      <c r="J1868">
        <v>1415.1524658000001</v>
      </c>
      <c r="K1868">
        <v>0</v>
      </c>
      <c r="L1868">
        <v>2400</v>
      </c>
      <c r="M1868">
        <v>2400</v>
      </c>
      <c r="N1868">
        <v>0</v>
      </c>
    </row>
    <row r="1869" spans="1:14" x14ac:dyDescent="0.25">
      <c r="A1869">
        <v>1281.7738959999999</v>
      </c>
      <c r="B1869" s="1">
        <f>DATE(2013,11,2) + TIME(18,34,24)</f>
        <v>41580.773888888885</v>
      </c>
      <c r="C1869">
        <v>80</v>
      </c>
      <c r="D1869">
        <v>79.717384338000002</v>
      </c>
      <c r="E1869">
        <v>50</v>
      </c>
      <c r="F1869">
        <v>49.576625823999997</v>
      </c>
      <c r="G1869">
        <v>1281.4167480000001</v>
      </c>
      <c r="H1869">
        <v>1257.6558838000001</v>
      </c>
      <c r="I1869">
        <v>1451.2437743999999</v>
      </c>
      <c r="J1869">
        <v>1414.8840332</v>
      </c>
      <c r="K1869">
        <v>0</v>
      </c>
      <c r="L1869">
        <v>2400</v>
      </c>
      <c r="M1869">
        <v>2400</v>
      </c>
      <c r="N1869">
        <v>0</v>
      </c>
    </row>
    <row r="1870" spans="1:14" x14ac:dyDescent="0.25">
      <c r="A1870">
        <v>1281.9708800000001</v>
      </c>
      <c r="B1870" s="1">
        <f>DATE(2013,11,2) + TIME(23,18,4)</f>
        <v>41580.970879629633</v>
      </c>
      <c r="C1870">
        <v>80</v>
      </c>
      <c r="D1870">
        <v>79.694419861</v>
      </c>
      <c r="E1870">
        <v>50</v>
      </c>
      <c r="F1870">
        <v>49.700660706000001</v>
      </c>
      <c r="G1870">
        <v>1281.4091797000001</v>
      </c>
      <c r="H1870">
        <v>1257.6467285000001</v>
      </c>
      <c r="I1870">
        <v>1450.9040527</v>
      </c>
      <c r="J1870">
        <v>1414.6157227000001</v>
      </c>
      <c r="K1870">
        <v>0</v>
      </c>
      <c r="L1870">
        <v>2400</v>
      </c>
      <c r="M1870">
        <v>2400</v>
      </c>
      <c r="N1870">
        <v>0</v>
      </c>
    </row>
    <row r="1871" spans="1:14" x14ac:dyDescent="0.25">
      <c r="A1871">
        <v>1282.1922669999999</v>
      </c>
      <c r="B1871" s="1">
        <f>DATE(2013,11,3) + TIME(4,36,51)</f>
        <v>41581.192256944443</v>
      </c>
      <c r="C1871">
        <v>80</v>
      </c>
      <c r="D1871">
        <v>79.669151306000003</v>
      </c>
      <c r="E1871">
        <v>50</v>
      </c>
      <c r="F1871">
        <v>49.793918609999999</v>
      </c>
      <c r="G1871">
        <v>1281.4007568</v>
      </c>
      <c r="H1871">
        <v>1257.6365966999999</v>
      </c>
      <c r="I1871">
        <v>1450.5819091999999</v>
      </c>
      <c r="J1871">
        <v>1414.3470459</v>
      </c>
      <c r="K1871">
        <v>0</v>
      </c>
      <c r="L1871">
        <v>2400</v>
      </c>
      <c r="M1871">
        <v>2400</v>
      </c>
      <c r="N1871">
        <v>0</v>
      </c>
    </row>
    <row r="1872" spans="1:14" x14ac:dyDescent="0.25">
      <c r="A1872">
        <v>1282.444831</v>
      </c>
      <c r="B1872" s="1">
        <f>DATE(2013,11,3) + TIME(10,40,33)</f>
        <v>41581.444826388892</v>
      </c>
      <c r="C1872">
        <v>80</v>
      </c>
      <c r="D1872">
        <v>79.640998839999995</v>
      </c>
      <c r="E1872">
        <v>50</v>
      </c>
      <c r="F1872">
        <v>49.861988068000002</v>
      </c>
      <c r="G1872">
        <v>1281.3913574000001</v>
      </c>
      <c r="H1872">
        <v>1257.6252440999999</v>
      </c>
      <c r="I1872">
        <v>1450.2701416</v>
      </c>
      <c r="J1872">
        <v>1414.0739745999999</v>
      </c>
      <c r="K1872">
        <v>0</v>
      </c>
      <c r="L1872">
        <v>2400</v>
      </c>
      <c r="M1872">
        <v>2400</v>
      </c>
      <c r="N1872">
        <v>0</v>
      </c>
    </row>
    <row r="1873" spans="1:14" x14ac:dyDescent="0.25">
      <c r="A1873">
        <v>1282.699674</v>
      </c>
      <c r="B1873" s="1">
        <f>DATE(2013,11,3) + TIME(16,47,31)</f>
        <v>41581.699664351851</v>
      </c>
      <c r="C1873">
        <v>80</v>
      </c>
      <c r="D1873">
        <v>79.611831664999997</v>
      </c>
      <c r="E1873">
        <v>50</v>
      </c>
      <c r="F1873">
        <v>49.905838013</v>
      </c>
      <c r="G1873">
        <v>1281.380249</v>
      </c>
      <c r="H1873">
        <v>1257.6124268000001</v>
      </c>
      <c r="I1873">
        <v>1449.9644774999999</v>
      </c>
      <c r="J1873">
        <v>1413.7932129000001</v>
      </c>
      <c r="K1873">
        <v>0</v>
      </c>
      <c r="L1873">
        <v>2400</v>
      </c>
      <c r="M1873">
        <v>2400</v>
      </c>
      <c r="N1873">
        <v>0</v>
      </c>
    </row>
    <row r="1874" spans="1:14" x14ac:dyDescent="0.25">
      <c r="A1874">
        <v>1282.9617619999999</v>
      </c>
      <c r="B1874" s="1">
        <f>DATE(2013,11,3) + TIME(23,4,56)</f>
        <v>41581.961759259262</v>
      </c>
      <c r="C1874">
        <v>80</v>
      </c>
      <c r="D1874">
        <v>79.581672667999996</v>
      </c>
      <c r="E1874">
        <v>50</v>
      </c>
      <c r="F1874">
        <v>49.934383392000001</v>
      </c>
      <c r="G1874">
        <v>1281.3691406</v>
      </c>
      <c r="H1874">
        <v>1257.5993652</v>
      </c>
      <c r="I1874">
        <v>1449.6914062000001</v>
      </c>
      <c r="J1874">
        <v>1413.5361327999999</v>
      </c>
      <c r="K1874">
        <v>0</v>
      </c>
      <c r="L1874">
        <v>2400</v>
      </c>
      <c r="M1874">
        <v>2400</v>
      </c>
      <c r="N1874">
        <v>0</v>
      </c>
    </row>
    <row r="1875" spans="1:14" x14ac:dyDescent="0.25">
      <c r="A1875">
        <v>1283.2338480000001</v>
      </c>
      <c r="B1875" s="1">
        <f>DATE(2013,11,4) + TIME(5,36,44)</f>
        <v>41582.233842592592</v>
      </c>
      <c r="C1875">
        <v>80</v>
      </c>
      <c r="D1875">
        <v>79.550483704000001</v>
      </c>
      <c r="E1875">
        <v>50</v>
      </c>
      <c r="F1875">
        <v>49.952926636000001</v>
      </c>
      <c r="G1875">
        <v>1281.3577881000001</v>
      </c>
      <c r="H1875">
        <v>1257.5859375</v>
      </c>
      <c r="I1875">
        <v>1449.4398193</v>
      </c>
      <c r="J1875">
        <v>1413.2944336</v>
      </c>
      <c r="K1875">
        <v>0</v>
      </c>
      <c r="L1875">
        <v>2400</v>
      </c>
      <c r="M1875">
        <v>2400</v>
      </c>
      <c r="N1875">
        <v>0</v>
      </c>
    </row>
    <row r="1876" spans="1:14" x14ac:dyDescent="0.25">
      <c r="A1876">
        <v>1283.5208620000001</v>
      </c>
      <c r="B1876" s="1">
        <f>DATE(2013,11,4) + TIME(12,30,2)</f>
        <v>41582.520856481482</v>
      </c>
      <c r="C1876">
        <v>80</v>
      </c>
      <c r="D1876">
        <v>79.518005371000001</v>
      </c>
      <c r="E1876">
        <v>50</v>
      </c>
      <c r="F1876">
        <v>49.964958191000001</v>
      </c>
      <c r="G1876">
        <v>1281.3459473</v>
      </c>
      <c r="H1876">
        <v>1257.5718993999999</v>
      </c>
      <c r="I1876">
        <v>1449.2036132999999</v>
      </c>
      <c r="J1876">
        <v>1413.0640868999999</v>
      </c>
      <c r="K1876">
        <v>0</v>
      </c>
      <c r="L1876">
        <v>2400</v>
      </c>
      <c r="M1876">
        <v>2400</v>
      </c>
      <c r="N1876">
        <v>0</v>
      </c>
    </row>
    <row r="1877" spans="1:14" x14ac:dyDescent="0.25">
      <c r="A1877">
        <v>1283.8281979999999</v>
      </c>
      <c r="B1877" s="1">
        <f>DATE(2013,11,4) + TIME(19,52,36)</f>
        <v>41582.828194444446</v>
      </c>
      <c r="C1877">
        <v>80</v>
      </c>
      <c r="D1877">
        <v>79.483840942</v>
      </c>
      <c r="E1877">
        <v>50</v>
      </c>
      <c r="F1877">
        <v>49.972705841</v>
      </c>
      <c r="G1877">
        <v>1281.3334961</v>
      </c>
      <c r="H1877">
        <v>1257.5570068</v>
      </c>
      <c r="I1877">
        <v>1448.9765625</v>
      </c>
      <c r="J1877">
        <v>1412.8404541</v>
      </c>
      <c r="K1877">
        <v>0</v>
      </c>
      <c r="L1877">
        <v>2400</v>
      </c>
      <c r="M1877">
        <v>2400</v>
      </c>
      <c r="N1877">
        <v>0</v>
      </c>
    </row>
    <row r="1878" spans="1:14" x14ac:dyDescent="0.25">
      <c r="A1878">
        <v>1284.1624429999999</v>
      </c>
      <c r="B1878" s="1">
        <f>DATE(2013,11,5) + TIME(3,53,55)</f>
        <v>41583.162442129629</v>
      </c>
      <c r="C1878">
        <v>80</v>
      </c>
      <c r="D1878">
        <v>79.447486877000003</v>
      </c>
      <c r="E1878">
        <v>50</v>
      </c>
      <c r="F1878">
        <v>49.977634430000002</v>
      </c>
      <c r="G1878">
        <v>1281.3200684000001</v>
      </c>
      <c r="H1878">
        <v>1257.5411377</v>
      </c>
      <c r="I1878">
        <v>1448.7542725000001</v>
      </c>
      <c r="J1878">
        <v>1412.6195068</v>
      </c>
      <c r="K1878">
        <v>0</v>
      </c>
      <c r="L1878">
        <v>2400</v>
      </c>
      <c r="M1878">
        <v>2400</v>
      </c>
      <c r="N1878">
        <v>0</v>
      </c>
    </row>
    <row r="1879" spans="1:14" x14ac:dyDescent="0.25">
      <c r="A1879">
        <v>1284.5322630000001</v>
      </c>
      <c r="B1879" s="1">
        <f>DATE(2013,11,5) + TIME(12,46,27)</f>
        <v>41583.532256944447</v>
      </c>
      <c r="C1879">
        <v>80</v>
      </c>
      <c r="D1879">
        <v>79.408264160000002</v>
      </c>
      <c r="E1879">
        <v>50</v>
      </c>
      <c r="F1879">
        <v>49.980716704999999</v>
      </c>
      <c r="G1879">
        <v>1281.3055420000001</v>
      </c>
      <c r="H1879">
        <v>1257.5238036999999</v>
      </c>
      <c r="I1879">
        <v>1448.5327147999999</v>
      </c>
      <c r="J1879">
        <v>1412.3979492000001</v>
      </c>
      <c r="K1879">
        <v>0</v>
      </c>
      <c r="L1879">
        <v>2400</v>
      </c>
      <c r="M1879">
        <v>2400</v>
      </c>
      <c r="N1879">
        <v>0</v>
      </c>
    </row>
    <row r="1880" spans="1:14" x14ac:dyDescent="0.25">
      <c r="A1880">
        <v>1284.945101</v>
      </c>
      <c r="B1880" s="1">
        <f>DATE(2013,11,5) + TIME(22,40,56)</f>
        <v>41583.945092592592</v>
      </c>
      <c r="C1880">
        <v>80</v>
      </c>
      <c r="D1880">
        <v>79.365509032999995</v>
      </c>
      <c r="E1880">
        <v>50</v>
      </c>
      <c r="F1880">
        <v>49.982597351000003</v>
      </c>
      <c r="G1880">
        <v>1281.2894286999999</v>
      </c>
      <c r="H1880">
        <v>1257.5045166</v>
      </c>
      <c r="I1880">
        <v>1448.3078613</v>
      </c>
      <c r="J1880">
        <v>1412.1719971</v>
      </c>
      <c r="K1880">
        <v>0</v>
      </c>
      <c r="L1880">
        <v>2400</v>
      </c>
      <c r="M1880">
        <v>2400</v>
      </c>
      <c r="N1880">
        <v>0</v>
      </c>
    </row>
    <row r="1881" spans="1:14" x14ac:dyDescent="0.25">
      <c r="A1881">
        <v>1285.369381</v>
      </c>
      <c r="B1881" s="1">
        <f>DATE(2013,11,6) + TIME(8,51,54)</f>
        <v>41584.369375000002</v>
      </c>
      <c r="C1881">
        <v>80</v>
      </c>
      <c r="D1881">
        <v>79.320541382000002</v>
      </c>
      <c r="E1881">
        <v>50</v>
      </c>
      <c r="F1881">
        <v>49.983654022000003</v>
      </c>
      <c r="G1881">
        <v>1281.2709961</v>
      </c>
      <c r="H1881">
        <v>1257.4831543</v>
      </c>
      <c r="I1881">
        <v>1448.078125</v>
      </c>
      <c r="J1881">
        <v>1411.9401855000001</v>
      </c>
      <c r="K1881">
        <v>0</v>
      </c>
      <c r="L1881">
        <v>2400</v>
      </c>
      <c r="M1881">
        <v>2400</v>
      </c>
      <c r="N1881">
        <v>0</v>
      </c>
    </row>
    <row r="1882" spans="1:14" x14ac:dyDescent="0.25">
      <c r="A1882">
        <v>1285.7993939999999</v>
      </c>
      <c r="B1882" s="1">
        <f>DATE(2013,11,6) + TIME(19,11,7)</f>
        <v>41584.799386574072</v>
      </c>
      <c r="C1882">
        <v>80</v>
      </c>
      <c r="D1882">
        <v>79.274360657000003</v>
      </c>
      <c r="E1882">
        <v>50</v>
      </c>
      <c r="F1882">
        <v>49.984249114999997</v>
      </c>
      <c r="G1882">
        <v>1281.2520752</v>
      </c>
      <c r="H1882">
        <v>1257.4609375</v>
      </c>
      <c r="I1882">
        <v>1447.8620605000001</v>
      </c>
      <c r="J1882">
        <v>1411.7215576000001</v>
      </c>
      <c r="K1882">
        <v>0</v>
      </c>
      <c r="L1882">
        <v>2400</v>
      </c>
      <c r="M1882">
        <v>2400</v>
      </c>
      <c r="N1882">
        <v>0</v>
      </c>
    </row>
    <row r="1883" spans="1:14" x14ac:dyDescent="0.25">
      <c r="A1883">
        <v>1286.2432100000001</v>
      </c>
      <c r="B1883" s="1">
        <f>DATE(2013,11,7) + TIME(5,50,13)</f>
        <v>41585.243206018517</v>
      </c>
      <c r="C1883">
        <v>80</v>
      </c>
      <c r="D1883">
        <v>79.227081299000005</v>
      </c>
      <c r="E1883">
        <v>50</v>
      </c>
      <c r="F1883">
        <v>49.984596252000003</v>
      </c>
      <c r="G1883">
        <v>1281.2327881000001</v>
      </c>
      <c r="H1883">
        <v>1257.4383545000001</v>
      </c>
      <c r="I1883">
        <v>1447.6606445</v>
      </c>
      <c r="J1883">
        <v>1411.5174560999999</v>
      </c>
      <c r="K1883">
        <v>0</v>
      </c>
      <c r="L1883">
        <v>2400</v>
      </c>
      <c r="M1883">
        <v>2400</v>
      </c>
      <c r="N1883">
        <v>0</v>
      </c>
    </row>
    <row r="1884" spans="1:14" x14ac:dyDescent="0.25">
      <c r="A1884">
        <v>1286.70883</v>
      </c>
      <c r="B1884" s="1">
        <f>DATE(2013,11,7) + TIME(17,0,42)</f>
        <v>41585.708819444444</v>
      </c>
      <c r="C1884">
        <v>80</v>
      </c>
      <c r="D1884">
        <v>79.178344726999995</v>
      </c>
      <c r="E1884">
        <v>50</v>
      </c>
      <c r="F1884">
        <v>49.984802246000001</v>
      </c>
      <c r="G1884">
        <v>1281.2130127</v>
      </c>
      <c r="H1884">
        <v>1257.4147949000001</v>
      </c>
      <c r="I1884">
        <v>1447.4685059000001</v>
      </c>
      <c r="J1884">
        <v>1411.3222656</v>
      </c>
      <c r="K1884">
        <v>0</v>
      </c>
      <c r="L1884">
        <v>2400</v>
      </c>
      <c r="M1884">
        <v>2400</v>
      </c>
      <c r="N1884">
        <v>0</v>
      </c>
    </row>
    <row r="1885" spans="1:14" x14ac:dyDescent="0.25">
      <c r="A1885">
        <v>1287.205023</v>
      </c>
      <c r="B1885" s="1">
        <f>DATE(2013,11,8) + TIME(4,55,13)</f>
        <v>41586.205011574071</v>
      </c>
      <c r="C1885">
        <v>80</v>
      </c>
      <c r="D1885">
        <v>79.127563476999995</v>
      </c>
      <c r="E1885">
        <v>50</v>
      </c>
      <c r="F1885">
        <v>49.984931946000003</v>
      </c>
      <c r="G1885">
        <v>1281.1920166</v>
      </c>
      <c r="H1885">
        <v>1257.3900146000001</v>
      </c>
      <c r="I1885">
        <v>1447.2814940999999</v>
      </c>
      <c r="J1885">
        <v>1411.1322021000001</v>
      </c>
      <c r="K1885">
        <v>0</v>
      </c>
      <c r="L1885">
        <v>2400</v>
      </c>
      <c r="M1885">
        <v>2400</v>
      </c>
      <c r="N1885">
        <v>0</v>
      </c>
    </row>
    <row r="1886" spans="1:14" x14ac:dyDescent="0.25">
      <c r="A1886">
        <v>1287.739648</v>
      </c>
      <c r="B1886" s="1">
        <f>DATE(2013,11,8) + TIME(17,45,5)</f>
        <v>41586.739641203705</v>
      </c>
      <c r="C1886">
        <v>80</v>
      </c>
      <c r="D1886">
        <v>79.074073791999993</v>
      </c>
      <c r="E1886">
        <v>50</v>
      </c>
      <c r="F1886">
        <v>49.985012054000002</v>
      </c>
      <c r="G1886">
        <v>1281.1695557</v>
      </c>
      <c r="H1886">
        <v>1257.3634033000001</v>
      </c>
      <c r="I1886">
        <v>1447.0963135</v>
      </c>
      <c r="J1886">
        <v>1410.9437256000001</v>
      </c>
      <c r="K1886">
        <v>0</v>
      </c>
      <c r="L1886">
        <v>2400</v>
      </c>
      <c r="M1886">
        <v>2400</v>
      </c>
      <c r="N1886">
        <v>0</v>
      </c>
    </row>
    <row r="1887" spans="1:14" x14ac:dyDescent="0.25">
      <c r="A1887">
        <v>1288.3201200000001</v>
      </c>
      <c r="B1887" s="1">
        <f>DATE(2013,11,9) + TIME(7,40,58)</f>
        <v>41587.320115740738</v>
      </c>
      <c r="C1887">
        <v>80</v>
      </c>
      <c r="D1887">
        <v>79.017219542999996</v>
      </c>
      <c r="E1887">
        <v>50</v>
      </c>
      <c r="F1887">
        <v>49.985065460000001</v>
      </c>
      <c r="G1887">
        <v>1281.1452637</v>
      </c>
      <c r="H1887">
        <v>1257.3345947</v>
      </c>
      <c r="I1887">
        <v>1446.9108887</v>
      </c>
      <c r="J1887">
        <v>1410.7547606999999</v>
      </c>
      <c r="K1887">
        <v>0</v>
      </c>
      <c r="L1887">
        <v>2400</v>
      </c>
      <c r="M1887">
        <v>2400</v>
      </c>
      <c r="N1887">
        <v>0</v>
      </c>
    </row>
    <row r="1888" spans="1:14" x14ac:dyDescent="0.25">
      <c r="A1888">
        <v>1288.9241890000001</v>
      </c>
      <c r="B1888" s="1">
        <f>DATE(2013,11,9) + TIME(22,10,49)</f>
        <v>41587.924178240741</v>
      </c>
      <c r="C1888">
        <v>80</v>
      </c>
      <c r="D1888">
        <v>78.957534789999997</v>
      </c>
      <c r="E1888">
        <v>50</v>
      </c>
      <c r="F1888">
        <v>49.985099792</v>
      </c>
      <c r="G1888">
        <v>1281.1185303</v>
      </c>
      <c r="H1888">
        <v>1257.3032227000001</v>
      </c>
      <c r="I1888">
        <v>1446.7238769999999</v>
      </c>
      <c r="J1888">
        <v>1410.5640868999999</v>
      </c>
      <c r="K1888">
        <v>0</v>
      </c>
      <c r="L1888">
        <v>2400</v>
      </c>
      <c r="M1888">
        <v>2400</v>
      </c>
      <c r="N1888">
        <v>0</v>
      </c>
    </row>
    <row r="1889" spans="1:14" x14ac:dyDescent="0.25">
      <c r="A1889">
        <v>1289.536597</v>
      </c>
      <c r="B1889" s="1">
        <f>DATE(2013,11,10) + TIME(12,52,41)</f>
        <v>41588.536585648151</v>
      </c>
      <c r="C1889">
        <v>80</v>
      </c>
      <c r="D1889">
        <v>78.896278381000002</v>
      </c>
      <c r="E1889">
        <v>50</v>
      </c>
      <c r="F1889">
        <v>49.985126495000003</v>
      </c>
      <c r="G1889">
        <v>1281.0905762</v>
      </c>
      <c r="H1889">
        <v>1257.2702637</v>
      </c>
      <c r="I1889">
        <v>1446.5430908000001</v>
      </c>
      <c r="J1889">
        <v>1410.3795166</v>
      </c>
      <c r="K1889">
        <v>0</v>
      </c>
      <c r="L1889">
        <v>2400</v>
      </c>
      <c r="M1889">
        <v>2400</v>
      </c>
      <c r="N1889">
        <v>0</v>
      </c>
    </row>
    <row r="1890" spans="1:14" x14ac:dyDescent="0.25">
      <c r="A1890">
        <v>1290.1683820000001</v>
      </c>
      <c r="B1890" s="1">
        <f>DATE(2013,11,11) + TIME(4,2,28)</f>
        <v>41589.168379629627</v>
      </c>
      <c r="C1890">
        <v>80</v>
      </c>
      <c r="D1890">
        <v>78.833847046000002</v>
      </c>
      <c r="E1890">
        <v>50</v>
      </c>
      <c r="F1890">
        <v>49.985145568999997</v>
      </c>
      <c r="G1890">
        <v>1281.0620117000001</v>
      </c>
      <c r="H1890">
        <v>1257.2364502</v>
      </c>
      <c r="I1890">
        <v>1446.3725586</v>
      </c>
      <c r="J1890">
        <v>1410.2054443</v>
      </c>
      <c r="K1890">
        <v>0</v>
      </c>
      <c r="L1890">
        <v>2400</v>
      </c>
      <c r="M1890">
        <v>2400</v>
      </c>
      <c r="N1890">
        <v>0</v>
      </c>
    </row>
    <row r="1891" spans="1:14" x14ac:dyDescent="0.25">
      <c r="A1891">
        <v>1290.83088</v>
      </c>
      <c r="B1891" s="1">
        <f>DATE(2013,11,11) + TIME(19,56,27)</f>
        <v>41589.830868055556</v>
      </c>
      <c r="C1891">
        <v>80</v>
      </c>
      <c r="D1891">
        <v>78.769775390999996</v>
      </c>
      <c r="E1891">
        <v>50</v>
      </c>
      <c r="F1891">
        <v>49.985160827999998</v>
      </c>
      <c r="G1891">
        <v>1281.0323486</v>
      </c>
      <c r="H1891">
        <v>1257.2011719</v>
      </c>
      <c r="I1891">
        <v>1446.2082519999999</v>
      </c>
      <c r="J1891">
        <v>1410.0374756000001</v>
      </c>
      <c r="K1891">
        <v>0</v>
      </c>
      <c r="L1891">
        <v>2400</v>
      </c>
      <c r="M1891">
        <v>2400</v>
      </c>
      <c r="N1891">
        <v>0</v>
      </c>
    </row>
    <row r="1892" spans="1:14" x14ac:dyDescent="0.25">
      <c r="A1892">
        <v>1291.535654</v>
      </c>
      <c r="B1892" s="1">
        <f>DATE(2013,11,12) + TIME(12,51,20)</f>
        <v>41590.53564814815</v>
      </c>
      <c r="C1892">
        <v>80</v>
      </c>
      <c r="D1892">
        <v>78.703285217000001</v>
      </c>
      <c r="E1892">
        <v>50</v>
      </c>
      <c r="F1892">
        <v>49.985176086000003</v>
      </c>
      <c r="G1892">
        <v>1281.0009766000001</v>
      </c>
      <c r="H1892">
        <v>1257.1638184000001</v>
      </c>
      <c r="I1892">
        <v>1446.046875</v>
      </c>
      <c r="J1892">
        <v>1409.8726807</v>
      </c>
      <c r="K1892">
        <v>0</v>
      </c>
      <c r="L1892">
        <v>2400</v>
      </c>
      <c r="M1892">
        <v>2400</v>
      </c>
      <c r="N1892">
        <v>0</v>
      </c>
    </row>
    <row r="1893" spans="1:14" x14ac:dyDescent="0.25">
      <c r="A1893">
        <v>1292.280278</v>
      </c>
      <c r="B1893" s="1">
        <f>DATE(2013,11,13) + TIME(6,43,36)</f>
        <v>41591.280277777776</v>
      </c>
      <c r="C1893">
        <v>80</v>
      </c>
      <c r="D1893">
        <v>78.633941649999997</v>
      </c>
      <c r="E1893">
        <v>50</v>
      </c>
      <c r="F1893">
        <v>49.985191344999997</v>
      </c>
      <c r="G1893">
        <v>1280.9672852000001</v>
      </c>
      <c r="H1893">
        <v>1257.1237793</v>
      </c>
      <c r="I1893">
        <v>1445.8862305</v>
      </c>
      <c r="J1893">
        <v>1409.708374</v>
      </c>
      <c r="K1893">
        <v>0</v>
      </c>
      <c r="L1893">
        <v>2400</v>
      </c>
      <c r="M1893">
        <v>2400</v>
      </c>
      <c r="N1893">
        <v>0</v>
      </c>
    </row>
    <row r="1894" spans="1:14" x14ac:dyDescent="0.25">
      <c r="A1894">
        <v>1293.079794</v>
      </c>
      <c r="B1894" s="1">
        <f>DATE(2013,11,14) + TIME(1,54,54)</f>
        <v>41592.079791666663</v>
      </c>
      <c r="C1894">
        <v>80</v>
      </c>
      <c r="D1894">
        <v>78.561180114999999</v>
      </c>
      <c r="E1894">
        <v>50</v>
      </c>
      <c r="F1894">
        <v>49.985206603999998</v>
      </c>
      <c r="G1894">
        <v>1280.9312743999999</v>
      </c>
      <c r="H1894">
        <v>1257.0809326000001</v>
      </c>
      <c r="I1894">
        <v>1445.7270507999999</v>
      </c>
      <c r="J1894">
        <v>1409.5457764</v>
      </c>
      <c r="K1894">
        <v>0</v>
      </c>
      <c r="L1894">
        <v>2400</v>
      </c>
      <c r="M1894">
        <v>2400</v>
      </c>
      <c r="N1894">
        <v>0</v>
      </c>
    </row>
    <row r="1895" spans="1:14" x14ac:dyDescent="0.25">
      <c r="A1895">
        <v>1293.902701</v>
      </c>
      <c r="B1895" s="1">
        <f>DATE(2013,11,14) + TIME(21,39,53)</f>
        <v>41592.902696759258</v>
      </c>
      <c r="C1895">
        <v>80</v>
      </c>
      <c r="D1895">
        <v>78.485473632999998</v>
      </c>
      <c r="E1895">
        <v>50</v>
      </c>
      <c r="F1895">
        <v>49.985218048</v>
      </c>
      <c r="G1895">
        <v>1280.8922118999999</v>
      </c>
      <c r="H1895">
        <v>1257.0345459</v>
      </c>
      <c r="I1895">
        <v>1445.5671387</v>
      </c>
      <c r="J1895">
        <v>1409.3820800999999</v>
      </c>
      <c r="K1895">
        <v>0</v>
      </c>
      <c r="L1895">
        <v>2400</v>
      </c>
      <c r="M1895">
        <v>2400</v>
      </c>
      <c r="N1895">
        <v>0</v>
      </c>
    </row>
    <row r="1896" spans="1:14" x14ac:dyDescent="0.25">
      <c r="A1896">
        <v>1294.7407860000001</v>
      </c>
      <c r="B1896" s="1">
        <f>DATE(2013,11,15) + TIME(17,46,43)</f>
        <v>41593.74077546296</v>
      </c>
      <c r="C1896">
        <v>80</v>
      </c>
      <c r="D1896">
        <v>78.408195496000005</v>
      </c>
      <c r="E1896">
        <v>50</v>
      </c>
      <c r="F1896">
        <v>49.985233307000001</v>
      </c>
      <c r="G1896">
        <v>1280.8514404</v>
      </c>
      <c r="H1896">
        <v>1256.9859618999999</v>
      </c>
      <c r="I1896">
        <v>1445.4128418</v>
      </c>
      <c r="J1896">
        <v>1409.2244873</v>
      </c>
      <c r="K1896">
        <v>0</v>
      </c>
      <c r="L1896">
        <v>2400</v>
      </c>
      <c r="M1896">
        <v>2400</v>
      </c>
      <c r="N1896">
        <v>0</v>
      </c>
    </row>
    <row r="1897" spans="1:14" x14ac:dyDescent="0.25">
      <c r="A1897">
        <v>1295.608661</v>
      </c>
      <c r="B1897" s="1">
        <f>DATE(2013,11,16) + TIME(14,36,28)</f>
        <v>41594.608657407407</v>
      </c>
      <c r="C1897">
        <v>80</v>
      </c>
      <c r="D1897">
        <v>78.329673767000003</v>
      </c>
      <c r="E1897">
        <v>50</v>
      </c>
      <c r="F1897">
        <v>49.985248566000003</v>
      </c>
      <c r="G1897">
        <v>1280.8095702999999</v>
      </c>
      <c r="H1897">
        <v>1256.9357910000001</v>
      </c>
      <c r="I1897">
        <v>1445.2653809000001</v>
      </c>
      <c r="J1897">
        <v>1409.0737305</v>
      </c>
      <c r="K1897">
        <v>0</v>
      </c>
      <c r="L1897">
        <v>2400</v>
      </c>
      <c r="M1897">
        <v>2400</v>
      </c>
      <c r="N1897">
        <v>0</v>
      </c>
    </row>
    <row r="1898" spans="1:14" x14ac:dyDescent="0.25">
      <c r="A1898">
        <v>1296.5217279999999</v>
      </c>
      <c r="B1898" s="1">
        <f>DATE(2013,11,17) + TIME(12,31,17)</f>
        <v>41595.521724537037</v>
      </c>
      <c r="C1898">
        <v>80</v>
      </c>
      <c r="D1898">
        <v>78.249160767000006</v>
      </c>
      <c r="E1898">
        <v>50</v>
      </c>
      <c r="F1898">
        <v>49.985260009999998</v>
      </c>
      <c r="G1898">
        <v>1280.765625</v>
      </c>
      <c r="H1898">
        <v>1256.8829346</v>
      </c>
      <c r="I1898">
        <v>1445.1218262</v>
      </c>
      <c r="J1898">
        <v>1408.9270019999999</v>
      </c>
      <c r="K1898">
        <v>0</v>
      </c>
      <c r="L1898">
        <v>2400</v>
      </c>
      <c r="M1898">
        <v>2400</v>
      </c>
      <c r="N1898">
        <v>0</v>
      </c>
    </row>
    <row r="1899" spans="1:14" x14ac:dyDescent="0.25">
      <c r="A1899">
        <v>1297.4756669999999</v>
      </c>
      <c r="B1899" s="1">
        <f>DATE(2013,11,18) + TIME(11,24,57)</f>
        <v>41596.475659722222</v>
      </c>
      <c r="C1899">
        <v>80</v>
      </c>
      <c r="D1899">
        <v>78.166130065999994</v>
      </c>
      <c r="E1899">
        <v>50</v>
      </c>
      <c r="F1899">
        <v>49.985275268999999</v>
      </c>
      <c r="G1899">
        <v>1280.71875</v>
      </c>
      <c r="H1899">
        <v>1256.8266602000001</v>
      </c>
      <c r="I1899">
        <v>1444.9794922000001</v>
      </c>
      <c r="J1899">
        <v>1408.7816161999999</v>
      </c>
      <c r="K1899">
        <v>0</v>
      </c>
      <c r="L1899">
        <v>2400</v>
      </c>
      <c r="M1899">
        <v>2400</v>
      </c>
      <c r="N1899">
        <v>0</v>
      </c>
    </row>
    <row r="1900" spans="1:14" x14ac:dyDescent="0.25">
      <c r="A1900">
        <v>1298.477862</v>
      </c>
      <c r="B1900" s="1">
        <f>DATE(2013,11,19) + TIME(11,28,7)</f>
        <v>41597.477858796294</v>
      </c>
      <c r="C1900">
        <v>80</v>
      </c>
      <c r="D1900">
        <v>78.080398560000006</v>
      </c>
      <c r="E1900">
        <v>50</v>
      </c>
      <c r="F1900">
        <v>49.985290526999997</v>
      </c>
      <c r="G1900">
        <v>1280.6690673999999</v>
      </c>
      <c r="H1900">
        <v>1256.7668457</v>
      </c>
      <c r="I1900">
        <v>1444.8394774999999</v>
      </c>
      <c r="J1900">
        <v>1408.6386719</v>
      </c>
      <c r="K1900">
        <v>0</v>
      </c>
      <c r="L1900">
        <v>2400</v>
      </c>
      <c r="M1900">
        <v>2400</v>
      </c>
      <c r="N1900">
        <v>0</v>
      </c>
    </row>
    <row r="1901" spans="1:14" x14ac:dyDescent="0.25">
      <c r="A1901">
        <v>1299.5307270000001</v>
      </c>
      <c r="B1901" s="1">
        <f>DATE(2013,11,20) + TIME(12,44,14)</f>
        <v>41598.530717592592</v>
      </c>
      <c r="C1901">
        <v>80</v>
      </c>
      <c r="D1901">
        <v>77.991691588999998</v>
      </c>
      <c r="E1901">
        <v>50</v>
      </c>
      <c r="F1901">
        <v>49.985309600999997</v>
      </c>
      <c r="G1901">
        <v>1280.6160889</v>
      </c>
      <c r="H1901">
        <v>1256.7028809000001</v>
      </c>
      <c r="I1901">
        <v>1444.7006836</v>
      </c>
      <c r="J1901">
        <v>1408.4970702999999</v>
      </c>
      <c r="K1901">
        <v>0</v>
      </c>
      <c r="L1901">
        <v>2400</v>
      </c>
      <c r="M1901">
        <v>2400</v>
      </c>
      <c r="N1901">
        <v>0</v>
      </c>
    </row>
    <row r="1902" spans="1:14" x14ac:dyDescent="0.25">
      <c r="A1902">
        <v>1300.6004370000001</v>
      </c>
      <c r="B1902" s="1">
        <f>DATE(2013,11,21) + TIME(14,24,37)</f>
        <v>41599.600428240738</v>
      </c>
      <c r="C1902">
        <v>80</v>
      </c>
      <c r="D1902">
        <v>77.900749207000004</v>
      </c>
      <c r="E1902">
        <v>50</v>
      </c>
      <c r="F1902">
        <v>49.985324859999999</v>
      </c>
      <c r="G1902">
        <v>1280.5595702999999</v>
      </c>
      <c r="H1902">
        <v>1256.6346435999999</v>
      </c>
      <c r="I1902">
        <v>1444.5633545000001</v>
      </c>
      <c r="J1902">
        <v>1408.3569336</v>
      </c>
      <c r="K1902">
        <v>0</v>
      </c>
      <c r="L1902">
        <v>2400</v>
      </c>
      <c r="M1902">
        <v>2400</v>
      </c>
      <c r="N1902">
        <v>0</v>
      </c>
    </row>
    <row r="1903" spans="1:14" x14ac:dyDescent="0.25">
      <c r="A1903">
        <v>1301.705027</v>
      </c>
      <c r="B1903" s="1">
        <f>DATE(2013,11,22) + TIME(16,55,14)</f>
        <v>41600.705023148148</v>
      </c>
      <c r="C1903">
        <v>80</v>
      </c>
      <c r="D1903">
        <v>77.808631896999998</v>
      </c>
      <c r="E1903">
        <v>50</v>
      </c>
      <c r="F1903">
        <v>49.985340118000003</v>
      </c>
      <c r="G1903">
        <v>1280.5012207</v>
      </c>
      <c r="H1903">
        <v>1256.5637207</v>
      </c>
      <c r="I1903">
        <v>1444.4316406</v>
      </c>
      <c r="J1903">
        <v>1408.2225341999999</v>
      </c>
      <c r="K1903">
        <v>0</v>
      </c>
      <c r="L1903">
        <v>2400</v>
      </c>
      <c r="M1903">
        <v>2400</v>
      </c>
      <c r="N1903">
        <v>0</v>
      </c>
    </row>
    <row r="1904" spans="1:14" x14ac:dyDescent="0.25">
      <c r="A1904">
        <v>1302.863607</v>
      </c>
      <c r="B1904" s="1">
        <f>DATE(2013,11,23) + TIME(20,43,35)</f>
        <v>41601.863599537035</v>
      </c>
      <c r="C1904">
        <v>80</v>
      </c>
      <c r="D1904">
        <v>77.714614867999998</v>
      </c>
      <c r="E1904">
        <v>50</v>
      </c>
      <c r="F1904">
        <v>49.985359191999997</v>
      </c>
      <c r="G1904">
        <v>1280.4399414</v>
      </c>
      <c r="H1904">
        <v>1256.4888916</v>
      </c>
      <c r="I1904">
        <v>1444.3029785000001</v>
      </c>
      <c r="J1904">
        <v>1408.0915527</v>
      </c>
      <c r="K1904">
        <v>0</v>
      </c>
      <c r="L1904">
        <v>2400</v>
      </c>
      <c r="M1904">
        <v>2400</v>
      </c>
      <c r="N1904">
        <v>0</v>
      </c>
    </row>
    <row r="1905" spans="1:14" x14ac:dyDescent="0.25">
      <c r="A1905">
        <v>1304.0646220000001</v>
      </c>
      <c r="B1905" s="1">
        <f>DATE(2013,11,25) + TIME(1,33,3)</f>
        <v>41603.064618055556</v>
      </c>
      <c r="C1905">
        <v>80</v>
      </c>
      <c r="D1905">
        <v>77.618118285999998</v>
      </c>
      <c r="E1905">
        <v>50</v>
      </c>
      <c r="F1905">
        <v>49.985374450999998</v>
      </c>
      <c r="G1905">
        <v>1280.3745117000001</v>
      </c>
      <c r="H1905">
        <v>1256.4090576000001</v>
      </c>
      <c r="I1905">
        <v>1444.175293</v>
      </c>
      <c r="J1905">
        <v>1407.9615478999999</v>
      </c>
      <c r="K1905">
        <v>0</v>
      </c>
      <c r="L1905">
        <v>2400</v>
      </c>
      <c r="M1905">
        <v>2400</v>
      </c>
      <c r="N1905">
        <v>0</v>
      </c>
    </row>
    <row r="1906" spans="1:14" x14ac:dyDescent="0.25">
      <c r="A1906">
        <v>1305.3143250000001</v>
      </c>
      <c r="B1906" s="1">
        <f>DATE(2013,11,26) + TIME(7,32,37)</f>
        <v>41604.314317129632</v>
      </c>
      <c r="C1906">
        <v>80</v>
      </c>
      <c r="D1906">
        <v>77.519363403</v>
      </c>
      <c r="E1906">
        <v>50</v>
      </c>
      <c r="F1906">
        <v>49.985393524000003</v>
      </c>
      <c r="G1906">
        <v>1280.3054199000001</v>
      </c>
      <c r="H1906">
        <v>1256.3243408000001</v>
      </c>
      <c r="I1906">
        <v>1444.0500488</v>
      </c>
      <c r="J1906">
        <v>1407.8341064000001</v>
      </c>
      <c r="K1906">
        <v>0</v>
      </c>
      <c r="L1906">
        <v>2400</v>
      </c>
      <c r="M1906">
        <v>2400</v>
      </c>
      <c r="N1906">
        <v>0</v>
      </c>
    </row>
    <row r="1907" spans="1:14" x14ac:dyDescent="0.25">
      <c r="A1907">
        <v>1306.6265040000001</v>
      </c>
      <c r="B1907" s="1">
        <f>DATE(2013,11,27) + TIME(15,2,9)</f>
        <v>41605.626493055555</v>
      </c>
      <c r="C1907">
        <v>80</v>
      </c>
      <c r="D1907">
        <v>77.417984008999994</v>
      </c>
      <c r="E1907">
        <v>50</v>
      </c>
      <c r="F1907">
        <v>49.985412598000003</v>
      </c>
      <c r="G1907">
        <v>1280.2321777</v>
      </c>
      <c r="H1907">
        <v>1256.2342529</v>
      </c>
      <c r="I1907">
        <v>1443.9265137</v>
      </c>
      <c r="J1907">
        <v>1407.7086182</v>
      </c>
      <c r="K1907">
        <v>0</v>
      </c>
      <c r="L1907">
        <v>2400</v>
      </c>
      <c r="M1907">
        <v>2400</v>
      </c>
      <c r="N1907">
        <v>0</v>
      </c>
    </row>
    <row r="1908" spans="1:14" x14ac:dyDescent="0.25">
      <c r="A1908">
        <v>1307.960225</v>
      </c>
      <c r="B1908" s="1">
        <f>DATE(2013,11,28) + TIME(23,2,43)</f>
        <v>41606.960219907407</v>
      </c>
      <c r="C1908">
        <v>80</v>
      </c>
      <c r="D1908">
        <v>77.314231872999997</v>
      </c>
      <c r="E1908">
        <v>50</v>
      </c>
      <c r="F1908">
        <v>49.985431671000001</v>
      </c>
      <c r="G1908">
        <v>1280.1535644999999</v>
      </c>
      <c r="H1908">
        <v>1256.1374512</v>
      </c>
      <c r="I1908">
        <v>1443.8035889</v>
      </c>
      <c r="J1908">
        <v>1407.5836182</v>
      </c>
      <c r="K1908">
        <v>0</v>
      </c>
      <c r="L1908">
        <v>2400</v>
      </c>
      <c r="M1908">
        <v>2400</v>
      </c>
      <c r="N1908">
        <v>0</v>
      </c>
    </row>
    <row r="1909" spans="1:14" x14ac:dyDescent="0.25">
      <c r="A1909">
        <v>1309.337166</v>
      </c>
      <c r="B1909" s="1">
        <f>DATE(2013,11,30) + TIME(8,5,31)</f>
        <v>41608.337164351855</v>
      </c>
      <c r="C1909">
        <v>80</v>
      </c>
      <c r="D1909">
        <v>77.209457396999994</v>
      </c>
      <c r="E1909">
        <v>50</v>
      </c>
      <c r="F1909">
        <v>49.985450745000001</v>
      </c>
      <c r="G1909">
        <v>1280.0721435999999</v>
      </c>
      <c r="H1909">
        <v>1256.0363769999999</v>
      </c>
      <c r="I1909">
        <v>1443.6851807</v>
      </c>
      <c r="J1909">
        <v>1407.4633789</v>
      </c>
      <c r="K1909">
        <v>0</v>
      </c>
      <c r="L1909">
        <v>2400</v>
      </c>
      <c r="M1909">
        <v>2400</v>
      </c>
      <c r="N1909">
        <v>0</v>
      </c>
    </row>
    <row r="1910" spans="1:14" x14ac:dyDescent="0.25">
      <c r="A1910">
        <v>1310</v>
      </c>
      <c r="B1910" s="1">
        <f>DATE(2013,12,1) + TIME(0,0,0)</f>
        <v>41609</v>
      </c>
      <c r="C1910">
        <v>80</v>
      </c>
      <c r="D1910">
        <v>77.125938415999997</v>
      </c>
      <c r="E1910">
        <v>50</v>
      </c>
      <c r="F1910">
        <v>49.985454558999997</v>
      </c>
      <c r="G1910">
        <v>1279.9851074000001</v>
      </c>
      <c r="H1910">
        <v>1255.9335937999999</v>
      </c>
      <c r="I1910">
        <v>1443.5688477000001</v>
      </c>
      <c r="J1910">
        <v>1407.3454589999999</v>
      </c>
      <c r="K1910">
        <v>0</v>
      </c>
      <c r="L1910">
        <v>2400</v>
      </c>
      <c r="M1910">
        <v>2400</v>
      </c>
      <c r="N1910">
        <v>0</v>
      </c>
    </row>
    <row r="1911" spans="1:14" x14ac:dyDescent="0.25">
      <c r="A1911">
        <v>1311.443372</v>
      </c>
      <c r="B1911" s="1">
        <f>DATE(2013,12,2) + TIME(10,38,27)</f>
        <v>41610.443368055552</v>
      </c>
      <c r="C1911">
        <v>80</v>
      </c>
      <c r="D1911">
        <v>77.044731139999996</v>
      </c>
      <c r="E1911">
        <v>50</v>
      </c>
      <c r="F1911">
        <v>49.985481262</v>
      </c>
      <c r="G1911">
        <v>1279.9436035000001</v>
      </c>
      <c r="H1911">
        <v>1255.8741454999999</v>
      </c>
      <c r="I1911">
        <v>1443.5153809000001</v>
      </c>
      <c r="J1911">
        <v>1407.2911377</v>
      </c>
      <c r="K1911">
        <v>0</v>
      </c>
      <c r="L1911">
        <v>2400</v>
      </c>
      <c r="M1911">
        <v>2400</v>
      </c>
      <c r="N1911">
        <v>0</v>
      </c>
    </row>
    <row r="1912" spans="1:14" x14ac:dyDescent="0.25">
      <c r="A1912">
        <v>1312.9459260000001</v>
      </c>
      <c r="B1912" s="1">
        <f>DATE(2013,12,3) + TIME(22,42,8)</f>
        <v>41611.945925925924</v>
      </c>
      <c r="C1912">
        <v>80</v>
      </c>
      <c r="D1912">
        <v>76.941894531000003</v>
      </c>
      <c r="E1912">
        <v>50</v>
      </c>
      <c r="F1912">
        <v>49.985500336000001</v>
      </c>
      <c r="G1912">
        <v>1279.8507079999999</v>
      </c>
      <c r="H1912">
        <v>1255.7597656</v>
      </c>
      <c r="I1912">
        <v>1443.4023437999999</v>
      </c>
      <c r="J1912">
        <v>1407.1766356999999</v>
      </c>
      <c r="K1912">
        <v>0</v>
      </c>
      <c r="L1912">
        <v>2400</v>
      </c>
      <c r="M1912">
        <v>2400</v>
      </c>
      <c r="N1912">
        <v>0</v>
      </c>
    </row>
    <row r="1913" spans="1:14" x14ac:dyDescent="0.25">
      <c r="A1913">
        <v>1314.5099729999999</v>
      </c>
      <c r="B1913" s="1">
        <f>DATE(2013,12,5) + TIME(12,14,21)</f>
        <v>41613.509965277779</v>
      </c>
      <c r="C1913">
        <v>80</v>
      </c>
      <c r="D1913">
        <v>76.831901549999998</v>
      </c>
      <c r="E1913">
        <v>50</v>
      </c>
      <c r="F1913">
        <v>49.985519408999998</v>
      </c>
      <c r="G1913">
        <v>1279.7515868999999</v>
      </c>
      <c r="H1913">
        <v>1255.6357422000001</v>
      </c>
      <c r="I1913">
        <v>1443.2901611</v>
      </c>
      <c r="J1913">
        <v>1407.0632324000001</v>
      </c>
      <c r="K1913">
        <v>0</v>
      </c>
      <c r="L1913">
        <v>2400</v>
      </c>
      <c r="M1913">
        <v>2400</v>
      </c>
      <c r="N1913">
        <v>0</v>
      </c>
    </row>
    <row r="1914" spans="1:14" x14ac:dyDescent="0.25">
      <c r="A1914">
        <v>1316.1157310000001</v>
      </c>
      <c r="B1914" s="1">
        <f>DATE(2013,12,7) + TIME(2,46,39)</f>
        <v>41615.115729166668</v>
      </c>
      <c r="C1914">
        <v>80</v>
      </c>
      <c r="D1914">
        <v>76.718536377000007</v>
      </c>
      <c r="E1914">
        <v>50</v>
      </c>
      <c r="F1914">
        <v>49.985542297000002</v>
      </c>
      <c r="G1914">
        <v>1279.6457519999999</v>
      </c>
      <c r="H1914">
        <v>1255.5025635</v>
      </c>
      <c r="I1914">
        <v>1443.1789550999999</v>
      </c>
      <c r="J1914">
        <v>1406.9508057</v>
      </c>
      <c r="K1914">
        <v>0</v>
      </c>
      <c r="L1914">
        <v>2400</v>
      </c>
      <c r="M1914">
        <v>2400</v>
      </c>
      <c r="N1914">
        <v>0</v>
      </c>
    </row>
    <row r="1915" spans="1:14" x14ac:dyDescent="0.25">
      <c r="A1915">
        <v>1317.7673789999999</v>
      </c>
      <c r="B1915" s="1">
        <f>DATE(2013,12,8) + TIME(18,25,1)</f>
        <v>41616.767372685186</v>
      </c>
      <c r="C1915">
        <v>80</v>
      </c>
      <c r="D1915">
        <v>76.603515625</v>
      </c>
      <c r="E1915">
        <v>50</v>
      </c>
      <c r="F1915">
        <v>49.985561371000003</v>
      </c>
      <c r="G1915">
        <v>1279.5344238</v>
      </c>
      <c r="H1915">
        <v>1255.3616943</v>
      </c>
      <c r="I1915">
        <v>1443.0703125</v>
      </c>
      <c r="J1915">
        <v>1406.8409423999999</v>
      </c>
      <c r="K1915">
        <v>0</v>
      </c>
      <c r="L1915">
        <v>2400</v>
      </c>
      <c r="M1915">
        <v>2400</v>
      </c>
      <c r="N1915">
        <v>0</v>
      </c>
    </row>
    <row r="1916" spans="1:14" x14ac:dyDescent="0.25">
      <c r="A1916">
        <v>1319.491925</v>
      </c>
      <c r="B1916" s="1">
        <f>DATE(2013,12,10) + TIME(11,48,22)</f>
        <v>41618.4919212963</v>
      </c>
      <c r="C1916">
        <v>80</v>
      </c>
      <c r="D1916">
        <v>76.486717224000003</v>
      </c>
      <c r="E1916">
        <v>50</v>
      </c>
      <c r="F1916">
        <v>49.985584258999999</v>
      </c>
      <c r="G1916">
        <v>1279.4169922000001</v>
      </c>
      <c r="H1916">
        <v>1255.2124022999999</v>
      </c>
      <c r="I1916">
        <v>1442.9636230000001</v>
      </c>
      <c r="J1916">
        <v>1406.7332764</v>
      </c>
      <c r="K1916">
        <v>0</v>
      </c>
      <c r="L1916">
        <v>2400</v>
      </c>
      <c r="M1916">
        <v>2400</v>
      </c>
      <c r="N1916">
        <v>0</v>
      </c>
    </row>
    <row r="1917" spans="1:14" x14ac:dyDescent="0.25">
      <c r="A1917">
        <v>1321.25873</v>
      </c>
      <c r="B1917" s="1">
        <f>DATE(2013,12,12) + TIME(6,12,34)</f>
        <v>41620.258726851855</v>
      </c>
      <c r="C1917">
        <v>80</v>
      </c>
      <c r="D1917">
        <v>76.367530822999996</v>
      </c>
      <c r="E1917">
        <v>50</v>
      </c>
      <c r="F1917">
        <v>49.985607147000003</v>
      </c>
      <c r="G1917">
        <v>1279.2911377</v>
      </c>
      <c r="H1917">
        <v>1255.0518798999999</v>
      </c>
      <c r="I1917">
        <v>1442.8572998</v>
      </c>
      <c r="J1917">
        <v>1406.6260986</v>
      </c>
      <c r="K1917">
        <v>0</v>
      </c>
      <c r="L1917">
        <v>2400</v>
      </c>
      <c r="M1917">
        <v>2400</v>
      </c>
      <c r="N1917">
        <v>0</v>
      </c>
    </row>
    <row r="1918" spans="1:14" x14ac:dyDescent="0.25">
      <c r="A1918">
        <v>1323.0744010000001</v>
      </c>
      <c r="B1918" s="1">
        <f>DATE(2013,12,14) + TIME(1,47,8)</f>
        <v>41622.07439814815</v>
      </c>
      <c r="C1918">
        <v>80</v>
      </c>
      <c r="D1918">
        <v>76.247032165999997</v>
      </c>
      <c r="E1918">
        <v>50</v>
      </c>
      <c r="F1918">
        <v>49.985633849999999</v>
      </c>
      <c r="G1918">
        <v>1279.1586914</v>
      </c>
      <c r="H1918">
        <v>1254.8820800999999</v>
      </c>
      <c r="I1918">
        <v>1442.753418</v>
      </c>
      <c r="J1918">
        <v>1406.5213623</v>
      </c>
      <c r="K1918">
        <v>0</v>
      </c>
      <c r="L1918">
        <v>2400</v>
      </c>
      <c r="M1918">
        <v>2400</v>
      </c>
      <c r="N1918">
        <v>0</v>
      </c>
    </row>
    <row r="1919" spans="1:14" x14ac:dyDescent="0.25">
      <c r="A1919">
        <v>1324.956201</v>
      </c>
      <c r="B1919" s="1">
        <f>DATE(2013,12,15) + TIME(22,56,55)</f>
        <v>41623.956192129626</v>
      </c>
      <c r="C1919">
        <v>80</v>
      </c>
      <c r="D1919">
        <v>76.124992371000005</v>
      </c>
      <c r="E1919">
        <v>50</v>
      </c>
      <c r="F1919">
        <v>49.985656738000003</v>
      </c>
      <c r="G1919">
        <v>1279.0186768000001</v>
      </c>
      <c r="H1919">
        <v>1254.7020264</v>
      </c>
      <c r="I1919">
        <v>1442.6513672000001</v>
      </c>
      <c r="J1919">
        <v>1406.4185791</v>
      </c>
      <c r="K1919">
        <v>0</v>
      </c>
      <c r="L1919">
        <v>2400</v>
      </c>
      <c r="M1919">
        <v>2400</v>
      </c>
      <c r="N1919">
        <v>0</v>
      </c>
    </row>
    <row r="1920" spans="1:14" x14ac:dyDescent="0.25">
      <c r="A1920">
        <v>1326.878134</v>
      </c>
      <c r="B1920" s="1">
        <f>DATE(2013,12,17) + TIME(21,4,30)</f>
        <v>41625.878125000003</v>
      </c>
      <c r="C1920">
        <v>80</v>
      </c>
      <c r="D1920">
        <v>76.001014709000003</v>
      </c>
      <c r="E1920">
        <v>50</v>
      </c>
      <c r="F1920">
        <v>49.985679626</v>
      </c>
      <c r="G1920">
        <v>1278.8696289</v>
      </c>
      <c r="H1920">
        <v>1254.5093993999999</v>
      </c>
      <c r="I1920">
        <v>1442.5501709</v>
      </c>
      <c r="J1920">
        <v>1406.3168945</v>
      </c>
      <c r="K1920">
        <v>0</v>
      </c>
      <c r="L1920">
        <v>2400</v>
      </c>
      <c r="M1920">
        <v>2400</v>
      </c>
      <c r="N1920">
        <v>0</v>
      </c>
    </row>
    <row r="1921" spans="1:14" x14ac:dyDescent="0.25">
      <c r="A1921">
        <v>1328.8695499999999</v>
      </c>
      <c r="B1921" s="1">
        <f>DATE(2013,12,19) + TIME(20,52,9)</f>
        <v>41627.86954861111</v>
      </c>
      <c r="C1921">
        <v>80</v>
      </c>
      <c r="D1921">
        <v>75.875740050999994</v>
      </c>
      <c r="E1921">
        <v>50</v>
      </c>
      <c r="F1921">
        <v>49.985706329000003</v>
      </c>
      <c r="G1921">
        <v>1278.7128906</v>
      </c>
      <c r="H1921">
        <v>1254.3057861</v>
      </c>
      <c r="I1921">
        <v>1442.4514160000001</v>
      </c>
      <c r="J1921">
        <v>1406.2176514</v>
      </c>
      <c r="K1921">
        <v>0</v>
      </c>
      <c r="L1921">
        <v>2400</v>
      </c>
      <c r="M1921">
        <v>2400</v>
      </c>
      <c r="N1921">
        <v>0</v>
      </c>
    </row>
    <row r="1922" spans="1:14" x14ac:dyDescent="0.25">
      <c r="A1922">
        <v>1330.927097</v>
      </c>
      <c r="B1922" s="1">
        <f>DATE(2013,12,21) + TIME(22,15,1)</f>
        <v>41629.927094907405</v>
      </c>
      <c r="C1922">
        <v>80</v>
      </c>
      <c r="D1922">
        <v>75.748123168999996</v>
      </c>
      <c r="E1922">
        <v>50</v>
      </c>
      <c r="F1922">
        <v>49.985729218000003</v>
      </c>
      <c r="G1922">
        <v>1278.5458983999999</v>
      </c>
      <c r="H1922">
        <v>1254.0878906</v>
      </c>
      <c r="I1922">
        <v>1442.3532714999999</v>
      </c>
      <c r="J1922">
        <v>1406.1191406</v>
      </c>
      <c r="K1922">
        <v>0</v>
      </c>
      <c r="L1922">
        <v>2400</v>
      </c>
      <c r="M1922">
        <v>2400</v>
      </c>
      <c r="N1922">
        <v>0</v>
      </c>
    </row>
    <row r="1923" spans="1:14" x14ac:dyDescent="0.25">
      <c r="A1923">
        <v>1333.0217399999999</v>
      </c>
      <c r="B1923" s="1">
        <f>DATE(2013,12,24) + TIME(0,31,18)</f>
        <v>41632.021736111114</v>
      </c>
      <c r="C1923">
        <v>80</v>
      </c>
      <c r="D1923">
        <v>75.618415833</v>
      </c>
      <c r="E1923">
        <v>50</v>
      </c>
      <c r="F1923">
        <v>49.985755920000003</v>
      </c>
      <c r="G1923">
        <v>1278.3681641000001</v>
      </c>
      <c r="H1923">
        <v>1253.8552245999999</v>
      </c>
      <c r="I1923">
        <v>1442.2563477000001</v>
      </c>
      <c r="J1923">
        <v>1406.0218506000001</v>
      </c>
      <c r="K1923">
        <v>0</v>
      </c>
      <c r="L1923">
        <v>2400</v>
      </c>
      <c r="M1923">
        <v>2400</v>
      </c>
      <c r="N1923">
        <v>0</v>
      </c>
    </row>
    <row r="1924" spans="1:14" x14ac:dyDescent="0.25">
      <c r="A1924">
        <v>1335.1819829999999</v>
      </c>
      <c r="B1924" s="1">
        <f>DATE(2013,12,26) + TIME(4,22,3)</f>
        <v>41634.181979166664</v>
      </c>
      <c r="C1924">
        <v>80</v>
      </c>
      <c r="D1924">
        <v>75.487464904999996</v>
      </c>
      <c r="E1924">
        <v>50</v>
      </c>
      <c r="F1924">
        <v>49.985782622999999</v>
      </c>
      <c r="G1924">
        <v>1278.1816406</v>
      </c>
      <c r="H1924">
        <v>1253.6096190999999</v>
      </c>
      <c r="I1924">
        <v>1442.1616211</v>
      </c>
      <c r="J1924">
        <v>1405.9270019999999</v>
      </c>
      <c r="K1924">
        <v>0</v>
      </c>
      <c r="L1924">
        <v>2400</v>
      </c>
      <c r="M1924">
        <v>2400</v>
      </c>
      <c r="N1924">
        <v>0</v>
      </c>
    </row>
    <row r="1925" spans="1:14" x14ac:dyDescent="0.25">
      <c r="A1925">
        <v>1337.3951070000001</v>
      </c>
      <c r="B1925" s="1">
        <f>DATE(2013,12,28) + TIME(9,28,57)</f>
        <v>41636.395104166666</v>
      </c>
      <c r="C1925">
        <v>80</v>
      </c>
      <c r="D1925">
        <v>75.354293823000006</v>
      </c>
      <c r="E1925">
        <v>50</v>
      </c>
      <c r="F1925">
        <v>49.985809326000002</v>
      </c>
      <c r="G1925">
        <v>1277.9835204999999</v>
      </c>
      <c r="H1925">
        <v>1253.3477783000001</v>
      </c>
      <c r="I1925">
        <v>1442.0679932</v>
      </c>
      <c r="J1925">
        <v>1405.8332519999999</v>
      </c>
      <c r="K1925">
        <v>0</v>
      </c>
      <c r="L1925">
        <v>2400</v>
      </c>
      <c r="M1925">
        <v>2400</v>
      </c>
      <c r="N1925">
        <v>0</v>
      </c>
    </row>
    <row r="1926" spans="1:14" x14ac:dyDescent="0.25">
      <c r="A1926">
        <v>1339.6764969999999</v>
      </c>
      <c r="B1926" s="1">
        <f>DATE(2013,12,30) + TIME(16,14,9)</f>
        <v>41638.676493055558</v>
      </c>
      <c r="C1926">
        <v>80</v>
      </c>
      <c r="D1926">
        <v>75.218955993999998</v>
      </c>
      <c r="E1926">
        <v>50</v>
      </c>
      <c r="F1926">
        <v>49.985836028999998</v>
      </c>
      <c r="G1926">
        <v>1277.7742920000001</v>
      </c>
      <c r="H1926">
        <v>1253.0698242000001</v>
      </c>
      <c r="I1926">
        <v>1441.9759521000001</v>
      </c>
      <c r="J1926">
        <v>1405.7412108999999</v>
      </c>
      <c r="K1926">
        <v>0</v>
      </c>
      <c r="L1926">
        <v>2400</v>
      </c>
      <c r="M1926">
        <v>2400</v>
      </c>
      <c r="N1926">
        <v>0</v>
      </c>
    </row>
    <row r="1927" spans="1:14" x14ac:dyDescent="0.25">
      <c r="A1927">
        <v>1341</v>
      </c>
      <c r="B1927" s="1">
        <f>DATE(2014,1,1) + TIME(0,0,0)</f>
        <v>41640</v>
      </c>
      <c r="C1927">
        <v>80</v>
      </c>
      <c r="D1927">
        <v>75.095855713000006</v>
      </c>
      <c r="E1927">
        <v>50</v>
      </c>
      <c r="F1927">
        <v>49.985851287999999</v>
      </c>
      <c r="G1927">
        <v>1277.5535889</v>
      </c>
      <c r="H1927">
        <v>1252.7810059000001</v>
      </c>
      <c r="I1927">
        <v>1441.8846435999999</v>
      </c>
      <c r="J1927">
        <v>1405.6499022999999</v>
      </c>
      <c r="K1927">
        <v>0</v>
      </c>
      <c r="L1927">
        <v>2400</v>
      </c>
      <c r="M1927">
        <v>2400</v>
      </c>
      <c r="N1927">
        <v>0</v>
      </c>
    </row>
    <row r="1928" spans="1:14" x14ac:dyDescent="0.25">
      <c r="A1928">
        <v>1343.3761059999999</v>
      </c>
      <c r="B1928" s="1">
        <f>DATE(2014,1,3) + TIME(9,1,35)</f>
        <v>41642.376099537039</v>
      </c>
      <c r="C1928">
        <v>80</v>
      </c>
      <c r="D1928">
        <v>74.993774414000001</v>
      </c>
      <c r="E1928">
        <v>50</v>
      </c>
      <c r="F1928">
        <v>49.985881804999998</v>
      </c>
      <c r="G1928">
        <v>1277.4162598</v>
      </c>
      <c r="H1928">
        <v>1252.5882568</v>
      </c>
      <c r="I1928">
        <v>1441.8337402</v>
      </c>
      <c r="J1928">
        <v>1405.5991211</v>
      </c>
      <c r="K1928">
        <v>0</v>
      </c>
      <c r="L1928">
        <v>2400</v>
      </c>
      <c r="M1928">
        <v>2400</v>
      </c>
      <c r="N1928">
        <v>0</v>
      </c>
    </row>
    <row r="1929" spans="1:14" x14ac:dyDescent="0.25">
      <c r="A1929">
        <v>1345.8124829999999</v>
      </c>
      <c r="B1929" s="1">
        <f>DATE(2014,1,5) + TIME(19,29,58)</f>
        <v>41644.812476851854</v>
      </c>
      <c r="C1929">
        <v>80</v>
      </c>
      <c r="D1929">
        <v>74.856933593999997</v>
      </c>
      <c r="E1929">
        <v>50</v>
      </c>
      <c r="F1929">
        <v>49.985908508000001</v>
      </c>
      <c r="G1929">
        <v>1277.1757812000001</v>
      </c>
      <c r="H1929">
        <v>1252.2680664</v>
      </c>
      <c r="I1929">
        <v>1441.7446289</v>
      </c>
      <c r="J1929">
        <v>1405.5102539</v>
      </c>
      <c r="K1929">
        <v>0</v>
      </c>
      <c r="L1929">
        <v>2400</v>
      </c>
      <c r="M1929">
        <v>2400</v>
      </c>
      <c r="N1929">
        <v>0</v>
      </c>
    </row>
    <row r="1930" spans="1:14" x14ac:dyDescent="0.25">
      <c r="A1930">
        <v>1348.3124849999999</v>
      </c>
      <c r="B1930" s="1">
        <f>DATE(2014,1,8) + TIME(7,29,58)</f>
        <v>41647.312476851854</v>
      </c>
      <c r="C1930">
        <v>80</v>
      </c>
      <c r="D1930">
        <v>74.711433411000002</v>
      </c>
      <c r="E1930">
        <v>50</v>
      </c>
      <c r="F1930">
        <v>49.985939025999997</v>
      </c>
      <c r="G1930">
        <v>1276.9191894999999</v>
      </c>
      <c r="H1930">
        <v>1251.9223632999999</v>
      </c>
      <c r="I1930">
        <v>1441.6567382999999</v>
      </c>
      <c r="J1930">
        <v>1405.4226074000001</v>
      </c>
      <c r="K1930">
        <v>0</v>
      </c>
      <c r="L1930">
        <v>2400</v>
      </c>
      <c r="M1930">
        <v>2400</v>
      </c>
      <c r="N1930">
        <v>0</v>
      </c>
    </row>
    <row r="1931" spans="1:14" x14ac:dyDescent="0.25">
      <c r="A1931">
        <v>1350.8692040000001</v>
      </c>
      <c r="B1931" s="1">
        <f>DATE(2014,1,10) + TIME(20,51,39)</f>
        <v>41649.869201388887</v>
      </c>
      <c r="C1931">
        <v>80</v>
      </c>
      <c r="D1931">
        <v>74.561103821000003</v>
      </c>
      <c r="E1931">
        <v>50</v>
      </c>
      <c r="F1931">
        <v>49.985969543000003</v>
      </c>
      <c r="G1931">
        <v>1276.6474608999999</v>
      </c>
      <c r="H1931">
        <v>1251.5541992000001</v>
      </c>
      <c r="I1931">
        <v>1441.5700684000001</v>
      </c>
      <c r="J1931">
        <v>1405.3361815999999</v>
      </c>
      <c r="K1931">
        <v>0</v>
      </c>
      <c r="L1931">
        <v>2400</v>
      </c>
      <c r="M1931">
        <v>2400</v>
      </c>
      <c r="N1931">
        <v>0</v>
      </c>
    </row>
    <row r="1932" spans="1:14" x14ac:dyDescent="0.25">
      <c r="A1932">
        <v>1353.5182279999999</v>
      </c>
      <c r="B1932" s="1">
        <f>DATE(2014,1,13) + TIME(12,26,14)</f>
        <v>41652.518217592595</v>
      </c>
      <c r="C1932">
        <v>80</v>
      </c>
      <c r="D1932">
        <v>74.405990600999999</v>
      </c>
      <c r="E1932">
        <v>50</v>
      </c>
      <c r="F1932">
        <v>49.986000060999999</v>
      </c>
      <c r="G1932">
        <v>1276.3608397999999</v>
      </c>
      <c r="H1932">
        <v>1251.1638184000001</v>
      </c>
      <c r="I1932">
        <v>1441.4846190999999</v>
      </c>
      <c r="J1932">
        <v>1405.2512207</v>
      </c>
      <c r="K1932">
        <v>0</v>
      </c>
      <c r="L1932">
        <v>2400</v>
      </c>
      <c r="M1932">
        <v>2400</v>
      </c>
      <c r="N1932">
        <v>0</v>
      </c>
    </row>
    <row r="1933" spans="1:14" x14ac:dyDescent="0.25">
      <c r="A1933">
        <v>1356.2293320000001</v>
      </c>
      <c r="B1933" s="1">
        <f>DATE(2014,1,16) + TIME(5,30,14)</f>
        <v>41655.229328703703</v>
      </c>
      <c r="C1933">
        <v>80</v>
      </c>
      <c r="D1933">
        <v>74.244346618999998</v>
      </c>
      <c r="E1933">
        <v>50</v>
      </c>
      <c r="F1933">
        <v>49.986030579000001</v>
      </c>
      <c r="G1933">
        <v>1276.0548096</v>
      </c>
      <c r="H1933">
        <v>1250.7456055</v>
      </c>
      <c r="I1933">
        <v>1441.3994141000001</v>
      </c>
      <c r="J1933">
        <v>1405.1665039</v>
      </c>
      <c r="K1933">
        <v>0</v>
      </c>
      <c r="L1933">
        <v>2400</v>
      </c>
      <c r="M1933">
        <v>2400</v>
      </c>
      <c r="N1933">
        <v>0</v>
      </c>
    </row>
    <row r="1934" spans="1:14" x14ac:dyDescent="0.25">
      <c r="A1934">
        <v>1358.9816249999999</v>
      </c>
      <c r="B1934" s="1">
        <f>DATE(2014,1,18) + TIME(23,33,32)</f>
        <v>41657.981620370374</v>
      </c>
      <c r="C1934">
        <v>80</v>
      </c>
      <c r="D1934">
        <v>74.076622009000005</v>
      </c>
      <c r="E1934">
        <v>50</v>
      </c>
      <c r="F1934">
        <v>49.986061096</v>
      </c>
      <c r="G1934">
        <v>1275.7318115</v>
      </c>
      <c r="H1934">
        <v>1250.302124</v>
      </c>
      <c r="I1934">
        <v>1441.3154297000001</v>
      </c>
      <c r="J1934">
        <v>1405.0830077999999</v>
      </c>
      <c r="K1934">
        <v>0</v>
      </c>
      <c r="L1934">
        <v>2400</v>
      </c>
      <c r="M1934">
        <v>2400</v>
      </c>
      <c r="N1934">
        <v>0</v>
      </c>
    </row>
    <row r="1935" spans="1:14" x14ac:dyDescent="0.25">
      <c r="A1935">
        <v>1361.8010790000001</v>
      </c>
      <c r="B1935" s="1">
        <f>DATE(2014,1,21) + TIME(19,13,33)</f>
        <v>41660.801076388889</v>
      </c>
      <c r="C1935">
        <v>80</v>
      </c>
      <c r="D1935">
        <v>73.903007506999998</v>
      </c>
      <c r="E1935">
        <v>50</v>
      </c>
      <c r="F1935">
        <v>49.986091614000003</v>
      </c>
      <c r="G1935">
        <v>1275.3936768000001</v>
      </c>
      <c r="H1935">
        <v>1249.8358154</v>
      </c>
      <c r="I1935">
        <v>1441.2332764</v>
      </c>
      <c r="J1935">
        <v>1405.0013428</v>
      </c>
      <c r="K1935">
        <v>0</v>
      </c>
      <c r="L1935">
        <v>2400</v>
      </c>
      <c r="M1935">
        <v>2400</v>
      </c>
      <c r="N1935">
        <v>0</v>
      </c>
    </row>
    <row r="1936" spans="1:14" x14ac:dyDescent="0.25">
      <c r="A1936">
        <v>1364.6809249999999</v>
      </c>
      <c r="B1936" s="1">
        <f>DATE(2014,1,24) + TIME(16,20,31)</f>
        <v>41663.680914351855</v>
      </c>
      <c r="C1936">
        <v>80</v>
      </c>
      <c r="D1936">
        <v>73.721450806000007</v>
      </c>
      <c r="E1936">
        <v>50</v>
      </c>
      <c r="F1936">
        <v>49.986125946000001</v>
      </c>
      <c r="G1936">
        <v>1275.0369873</v>
      </c>
      <c r="H1936">
        <v>1249.3416748</v>
      </c>
      <c r="I1936">
        <v>1441.1519774999999</v>
      </c>
      <c r="J1936">
        <v>1404.9207764</v>
      </c>
      <c r="K1936">
        <v>0</v>
      </c>
      <c r="L1936">
        <v>2400</v>
      </c>
      <c r="M1936">
        <v>2400</v>
      </c>
      <c r="N1936">
        <v>0</v>
      </c>
    </row>
    <row r="1937" spans="1:14" x14ac:dyDescent="0.25">
      <c r="A1937">
        <v>1367.6586259999999</v>
      </c>
      <c r="B1937" s="1">
        <f>DATE(2014,1,27) + TIME(15,48,25)</f>
        <v>41666.658622685187</v>
      </c>
      <c r="C1937">
        <v>80</v>
      </c>
      <c r="D1937">
        <v>73.530929564999994</v>
      </c>
      <c r="E1937">
        <v>50</v>
      </c>
      <c r="F1937">
        <v>49.986156463999997</v>
      </c>
      <c r="G1937">
        <v>1274.6619873</v>
      </c>
      <c r="H1937">
        <v>1248.8198242000001</v>
      </c>
      <c r="I1937">
        <v>1441.0718993999999</v>
      </c>
      <c r="J1937">
        <v>1404.8413086</v>
      </c>
      <c r="K1937">
        <v>0</v>
      </c>
      <c r="L1937">
        <v>2400</v>
      </c>
      <c r="M1937">
        <v>2400</v>
      </c>
      <c r="N1937">
        <v>0</v>
      </c>
    </row>
    <row r="1938" spans="1:14" x14ac:dyDescent="0.25">
      <c r="A1938">
        <v>1370.691871</v>
      </c>
      <c r="B1938" s="1">
        <f>DATE(2014,1,30) + TIME(16,36,17)</f>
        <v>41669.691863425927</v>
      </c>
      <c r="C1938">
        <v>80</v>
      </c>
      <c r="D1938">
        <v>73.328498839999995</v>
      </c>
      <c r="E1938">
        <v>50</v>
      </c>
      <c r="F1938">
        <v>49.986190796000002</v>
      </c>
      <c r="G1938">
        <v>1274.2629394999999</v>
      </c>
      <c r="H1938">
        <v>1248.2624512</v>
      </c>
      <c r="I1938">
        <v>1440.9918213000001</v>
      </c>
      <c r="J1938">
        <v>1404.7620850000001</v>
      </c>
      <c r="K1938">
        <v>0</v>
      </c>
      <c r="L1938">
        <v>2400</v>
      </c>
      <c r="M1938">
        <v>2400</v>
      </c>
      <c r="N1938">
        <v>0</v>
      </c>
    </row>
    <row r="1939" spans="1:14" x14ac:dyDescent="0.25">
      <c r="A1939">
        <v>1372</v>
      </c>
      <c r="B1939" s="1">
        <f>DATE(2014,2,1) + TIME(0,0,0)</f>
        <v>41671</v>
      </c>
      <c r="C1939">
        <v>80</v>
      </c>
      <c r="D1939">
        <v>73.145568847999996</v>
      </c>
      <c r="E1939">
        <v>50</v>
      </c>
      <c r="F1939">
        <v>49.986202239999997</v>
      </c>
      <c r="G1939">
        <v>1273.8520507999999</v>
      </c>
      <c r="H1939">
        <v>1247.7001952999999</v>
      </c>
      <c r="I1939">
        <v>1440.9128418</v>
      </c>
      <c r="J1939">
        <v>1404.6838379000001</v>
      </c>
      <c r="K1939">
        <v>0</v>
      </c>
      <c r="L1939">
        <v>2400</v>
      </c>
      <c r="M1939">
        <v>2400</v>
      </c>
      <c r="N1939">
        <v>0</v>
      </c>
    </row>
    <row r="1940" spans="1:14" x14ac:dyDescent="0.25">
      <c r="A1940">
        <v>1375.0673420000001</v>
      </c>
      <c r="B1940" s="1">
        <f>DATE(2014,2,4) + TIME(1,36,58)</f>
        <v>41674.067337962966</v>
      </c>
      <c r="C1940">
        <v>80</v>
      </c>
      <c r="D1940">
        <v>73.007995605000005</v>
      </c>
      <c r="E1940">
        <v>50</v>
      </c>
      <c r="F1940">
        <v>49.986236572000003</v>
      </c>
      <c r="G1940">
        <v>1273.651001</v>
      </c>
      <c r="H1940">
        <v>1247.3956298999999</v>
      </c>
      <c r="I1940">
        <v>1440.8800048999999</v>
      </c>
      <c r="J1940">
        <v>1404.6512451000001</v>
      </c>
      <c r="K1940">
        <v>0</v>
      </c>
      <c r="L1940">
        <v>2400</v>
      </c>
      <c r="M1940">
        <v>2400</v>
      </c>
      <c r="N1940">
        <v>0</v>
      </c>
    </row>
    <row r="1941" spans="1:14" x14ac:dyDescent="0.25">
      <c r="A1941">
        <v>1378.182626</v>
      </c>
      <c r="B1941" s="1">
        <f>DATE(2014,2,7) + TIME(4,22,58)</f>
        <v>41677.182615740741</v>
      </c>
      <c r="C1941">
        <v>80</v>
      </c>
      <c r="D1941">
        <v>72.789825438999998</v>
      </c>
      <c r="E1941">
        <v>50</v>
      </c>
      <c r="F1941">
        <v>49.986270904999998</v>
      </c>
      <c r="G1941">
        <v>1273.2186279</v>
      </c>
      <c r="H1941">
        <v>1246.7919922000001</v>
      </c>
      <c r="I1941">
        <v>1440.8040771000001</v>
      </c>
      <c r="J1941">
        <v>1404.5761719</v>
      </c>
      <c r="K1941">
        <v>0</v>
      </c>
      <c r="L1941">
        <v>2400</v>
      </c>
      <c r="M1941">
        <v>2400</v>
      </c>
      <c r="N1941">
        <v>0</v>
      </c>
    </row>
    <row r="1942" spans="1:14" x14ac:dyDescent="0.25">
      <c r="A1942">
        <v>1381.329943</v>
      </c>
      <c r="B1942" s="1">
        <f>DATE(2014,2,10) + TIME(7,55,7)</f>
        <v>41680.329942129632</v>
      </c>
      <c r="C1942">
        <v>80</v>
      </c>
      <c r="D1942">
        <v>72.549133300999998</v>
      </c>
      <c r="E1942">
        <v>50</v>
      </c>
      <c r="F1942">
        <v>49.986301421999997</v>
      </c>
      <c r="G1942">
        <v>1272.7606201000001</v>
      </c>
      <c r="H1942">
        <v>1246.1437988</v>
      </c>
      <c r="I1942">
        <v>1440.7293701000001</v>
      </c>
      <c r="J1942">
        <v>1404.5023193</v>
      </c>
      <c r="K1942">
        <v>0</v>
      </c>
      <c r="L1942">
        <v>2400</v>
      </c>
      <c r="M1942">
        <v>2400</v>
      </c>
      <c r="N1942">
        <v>0</v>
      </c>
    </row>
    <row r="1943" spans="1:14" x14ac:dyDescent="0.25">
      <c r="A1943">
        <v>1384.516543</v>
      </c>
      <c r="B1943" s="1">
        <f>DATE(2014,2,13) + TIME(12,23,49)</f>
        <v>41683.516539351855</v>
      </c>
      <c r="C1943">
        <v>80</v>
      </c>
      <c r="D1943">
        <v>72.294593810999999</v>
      </c>
      <c r="E1943">
        <v>50</v>
      </c>
      <c r="F1943">
        <v>49.986335754000002</v>
      </c>
      <c r="G1943">
        <v>1272.2854004000001</v>
      </c>
      <c r="H1943">
        <v>1245.4680175999999</v>
      </c>
      <c r="I1943">
        <v>1440.65625</v>
      </c>
      <c r="J1943">
        <v>1404.4299315999999</v>
      </c>
      <c r="K1943">
        <v>0</v>
      </c>
      <c r="L1943">
        <v>2400</v>
      </c>
      <c r="M1943">
        <v>2400</v>
      </c>
      <c r="N1943">
        <v>0</v>
      </c>
    </row>
    <row r="1944" spans="1:14" x14ac:dyDescent="0.25">
      <c r="A1944">
        <v>1387.7478169999999</v>
      </c>
      <c r="B1944" s="1">
        <f>DATE(2014,2,16) + TIME(17,56,51)</f>
        <v>41686.747812499998</v>
      </c>
      <c r="C1944">
        <v>80</v>
      </c>
      <c r="D1944">
        <v>72.023574828999998</v>
      </c>
      <c r="E1944">
        <v>50</v>
      </c>
      <c r="F1944">
        <v>49.986370086999997</v>
      </c>
      <c r="G1944">
        <v>1271.791626</v>
      </c>
      <c r="H1944">
        <v>1244.7626952999999</v>
      </c>
      <c r="I1944">
        <v>1440.5843506000001</v>
      </c>
      <c r="J1944">
        <v>1404.3590088000001</v>
      </c>
      <c r="K1944">
        <v>0</v>
      </c>
      <c r="L1944">
        <v>2400</v>
      </c>
      <c r="M1944">
        <v>2400</v>
      </c>
      <c r="N1944">
        <v>0</v>
      </c>
    </row>
    <row r="1945" spans="1:14" x14ac:dyDescent="0.25">
      <c r="A1945">
        <v>1391.0216740000001</v>
      </c>
      <c r="B1945" s="1">
        <f>DATE(2014,2,20) + TIME(0,31,12)</f>
        <v>41690.021666666667</v>
      </c>
      <c r="C1945">
        <v>80</v>
      </c>
      <c r="D1945">
        <v>71.737403869999994</v>
      </c>
      <c r="E1945">
        <v>50</v>
      </c>
      <c r="F1945">
        <v>49.986400604000004</v>
      </c>
      <c r="G1945">
        <v>1271.2801514</v>
      </c>
      <c r="H1945">
        <v>1244.0299072</v>
      </c>
      <c r="I1945">
        <v>1440.5135498</v>
      </c>
      <c r="J1945">
        <v>1404.2890625</v>
      </c>
      <c r="K1945">
        <v>0</v>
      </c>
      <c r="L1945">
        <v>2400</v>
      </c>
      <c r="M1945">
        <v>2400</v>
      </c>
      <c r="N1945">
        <v>0</v>
      </c>
    </row>
    <row r="1946" spans="1:14" x14ac:dyDescent="0.25">
      <c r="A1946">
        <v>1394.3380340000001</v>
      </c>
      <c r="B1946" s="1">
        <f>DATE(2014,2,23) + TIME(8,6,46)</f>
        <v>41693.33803240741</v>
      </c>
      <c r="C1946">
        <v>80</v>
      </c>
      <c r="D1946">
        <v>71.430458068999997</v>
      </c>
      <c r="E1946">
        <v>50</v>
      </c>
      <c r="F1946">
        <v>49.986438751000001</v>
      </c>
      <c r="G1946">
        <v>1270.7482910000001</v>
      </c>
      <c r="H1946">
        <v>1243.2639160000001</v>
      </c>
      <c r="I1946">
        <v>1440.4438477000001</v>
      </c>
      <c r="J1946">
        <v>1404.2203368999999</v>
      </c>
      <c r="K1946">
        <v>0</v>
      </c>
      <c r="L1946">
        <v>2400</v>
      </c>
      <c r="M1946">
        <v>2400</v>
      </c>
      <c r="N1946">
        <v>0</v>
      </c>
    </row>
    <row r="1947" spans="1:14" x14ac:dyDescent="0.25">
      <c r="A1947">
        <v>1397.684784</v>
      </c>
      <c r="B1947" s="1">
        <f>DATE(2014,2,26) + TIME(16,26,5)</f>
        <v>41696.68478009259</v>
      </c>
      <c r="C1947">
        <v>80</v>
      </c>
      <c r="D1947">
        <v>71.108955382999994</v>
      </c>
      <c r="E1947">
        <v>50</v>
      </c>
      <c r="F1947">
        <v>49.986469268999997</v>
      </c>
      <c r="G1947">
        <v>1270.2003173999999</v>
      </c>
      <c r="H1947">
        <v>1242.4738769999999</v>
      </c>
      <c r="I1947">
        <v>1440.375</v>
      </c>
      <c r="J1947">
        <v>1404.1524658000001</v>
      </c>
      <c r="K1947">
        <v>0</v>
      </c>
      <c r="L1947">
        <v>2400</v>
      </c>
      <c r="M1947">
        <v>2400</v>
      </c>
      <c r="N1947">
        <v>0</v>
      </c>
    </row>
    <row r="1948" spans="1:14" x14ac:dyDescent="0.25">
      <c r="A1948">
        <v>1400</v>
      </c>
      <c r="B1948" s="1">
        <f>DATE(2014,3,1) + TIME(0,0,0)</f>
        <v>41699</v>
      </c>
      <c r="C1948">
        <v>80</v>
      </c>
      <c r="D1948">
        <v>70.777236938000001</v>
      </c>
      <c r="E1948">
        <v>50</v>
      </c>
      <c r="F1948">
        <v>49.986492157000001</v>
      </c>
      <c r="G1948">
        <v>1269.6342772999999</v>
      </c>
      <c r="H1948">
        <v>1241.6591797000001</v>
      </c>
      <c r="I1948">
        <v>1440.3074951000001</v>
      </c>
      <c r="J1948">
        <v>1404.0859375</v>
      </c>
      <c r="K1948">
        <v>0</v>
      </c>
      <c r="L1948">
        <v>2400</v>
      </c>
      <c r="M1948">
        <v>2400</v>
      </c>
      <c r="N1948">
        <v>0</v>
      </c>
    </row>
    <row r="1949" spans="1:14" x14ac:dyDescent="0.25">
      <c r="A1949">
        <v>1403.3695760000001</v>
      </c>
      <c r="B1949" s="1">
        <f>DATE(2014,3,4) + TIME(8,52,11)</f>
        <v>41702.369571759256</v>
      </c>
      <c r="C1949">
        <v>80</v>
      </c>
      <c r="D1949">
        <v>70.507057189999998</v>
      </c>
      <c r="E1949">
        <v>50</v>
      </c>
      <c r="F1949">
        <v>49.986522675000003</v>
      </c>
      <c r="G1949">
        <v>1269.2281493999999</v>
      </c>
      <c r="H1949">
        <v>1241.0562743999999</v>
      </c>
      <c r="I1949">
        <v>1440.2618408000001</v>
      </c>
      <c r="J1949">
        <v>1404.0408935999999</v>
      </c>
      <c r="K1949">
        <v>0</v>
      </c>
      <c r="L1949">
        <v>2400</v>
      </c>
      <c r="M1949">
        <v>2400</v>
      </c>
      <c r="N1949">
        <v>0</v>
      </c>
    </row>
    <row r="1950" spans="1:14" x14ac:dyDescent="0.25">
      <c r="A1950">
        <v>1405.079612</v>
      </c>
      <c r="B1950" s="1">
        <f>DATE(2014,3,6) + TIME(1,54,38)</f>
        <v>41704.079606481479</v>
      </c>
      <c r="C1950">
        <v>80</v>
      </c>
      <c r="D1950">
        <v>70.169769286999994</v>
      </c>
      <c r="E1950">
        <v>50</v>
      </c>
      <c r="F1950">
        <v>49.986541748</v>
      </c>
      <c r="G1950">
        <v>1268.6424560999999</v>
      </c>
      <c r="H1950">
        <v>1240.2203368999999</v>
      </c>
      <c r="I1950">
        <v>1440.1967772999999</v>
      </c>
      <c r="J1950">
        <v>1403.9768065999999</v>
      </c>
      <c r="K1950">
        <v>0</v>
      </c>
      <c r="L1950">
        <v>2400</v>
      </c>
      <c r="M1950">
        <v>2400</v>
      </c>
      <c r="N1950">
        <v>0</v>
      </c>
    </row>
    <row r="1951" spans="1:14" x14ac:dyDescent="0.25">
      <c r="A1951">
        <v>1406.1006600000001</v>
      </c>
      <c r="B1951" s="1">
        <f>DATE(2014,3,7) + TIME(2,24,56)</f>
        <v>41705.100648148145</v>
      </c>
      <c r="C1951">
        <v>80</v>
      </c>
      <c r="D1951">
        <v>69.975318908999995</v>
      </c>
      <c r="E1951">
        <v>50</v>
      </c>
      <c r="F1951">
        <v>49.986553192000002</v>
      </c>
      <c r="G1951">
        <v>1268.338501</v>
      </c>
      <c r="H1951">
        <v>1239.7761230000001</v>
      </c>
      <c r="I1951">
        <v>1440.1639404</v>
      </c>
      <c r="J1951">
        <v>1403.9444579999999</v>
      </c>
      <c r="K1951">
        <v>0</v>
      </c>
      <c r="L1951">
        <v>2400</v>
      </c>
      <c r="M1951">
        <v>2400</v>
      </c>
      <c r="N1951">
        <v>0</v>
      </c>
    </row>
    <row r="1952" spans="1:14" x14ac:dyDescent="0.25">
      <c r="A1952">
        <v>1407.121707</v>
      </c>
      <c r="B1952" s="1">
        <f>DATE(2014,3,8) + TIME(2,55,15)</f>
        <v>41706.121701388889</v>
      </c>
      <c r="C1952">
        <v>80</v>
      </c>
      <c r="D1952">
        <v>69.830741881999998</v>
      </c>
      <c r="E1952">
        <v>50</v>
      </c>
      <c r="F1952">
        <v>49.986560822000001</v>
      </c>
      <c r="G1952">
        <v>1268.1469727000001</v>
      </c>
      <c r="H1952">
        <v>1239.4831543</v>
      </c>
      <c r="I1952">
        <v>1440.1446533000001</v>
      </c>
      <c r="J1952">
        <v>1403.9255370999999</v>
      </c>
      <c r="K1952">
        <v>0</v>
      </c>
      <c r="L1952">
        <v>2400</v>
      </c>
      <c r="M1952">
        <v>2400</v>
      </c>
      <c r="N1952">
        <v>0</v>
      </c>
    </row>
    <row r="1953" spans="1:14" x14ac:dyDescent="0.25">
      <c r="A1953">
        <v>1408.1427550000001</v>
      </c>
      <c r="B1953" s="1">
        <f>DATE(2014,3,9) + TIME(3,25,34)</f>
        <v>41707.142754629633</v>
      </c>
      <c r="C1953">
        <v>80</v>
      </c>
      <c r="D1953">
        <v>69.700660705999994</v>
      </c>
      <c r="E1953">
        <v>50</v>
      </c>
      <c r="F1953">
        <v>49.986572266000003</v>
      </c>
      <c r="G1953">
        <v>1267.9606934000001</v>
      </c>
      <c r="H1953">
        <v>1239.2062988</v>
      </c>
      <c r="I1953">
        <v>1440.1257324000001</v>
      </c>
      <c r="J1953">
        <v>1403.9068603999999</v>
      </c>
      <c r="K1953">
        <v>0</v>
      </c>
      <c r="L1953">
        <v>2400</v>
      </c>
      <c r="M1953">
        <v>2400</v>
      </c>
      <c r="N1953">
        <v>0</v>
      </c>
    </row>
    <row r="1954" spans="1:14" x14ac:dyDescent="0.25">
      <c r="A1954">
        <v>1409.1638029999999</v>
      </c>
      <c r="B1954" s="1">
        <f>DATE(2014,3,10) + TIME(3,55,52)</f>
        <v>41708.1637962963</v>
      </c>
      <c r="C1954">
        <v>80</v>
      </c>
      <c r="D1954">
        <v>69.573738098000007</v>
      </c>
      <c r="E1954">
        <v>50</v>
      </c>
      <c r="F1954">
        <v>49.986583709999998</v>
      </c>
      <c r="G1954">
        <v>1267.7753906</v>
      </c>
      <c r="H1954">
        <v>1238.9329834</v>
      </c>
      <c r="I1954">
        <v>1440.1068115</v>
      </c>
      <c r="J1954">
        <v>1403.8883057</v>
      </c>
      <c r="K1954">
        <v>0</v>
      </c>
      <c r="L1954">
        <v>2400</v>
      </c>
      <c r="M1954">
        <v>2400</v>
      </c>
      <c r="N1954">
        <v>0</v>
      </c>
    </row>
    <row r="1955" spans="1:14" x14ac:dyDescent="0.25">
      <c r="A1955">
        <v>1410.184851</v>
      </c>
      <c r="B1955" s="1">
        <f>DATE(2014,3,11) + TIME(4,26,11)</f>
        <v>41709.184849537036</v>
      </c>
      <c r="C1955">
        <v>80</v>
      </c>
      <c r="D1955">
        <v>69.446548461999996</v>
      </c>
      <c r="E1955">
        <v>50</v>
      </c>
      <c r="F1955">
        <v>49.986591339</v>
      </c>
      <c r="G1955">
        <v>1267.5897216999999</v>
      </c>
      <c r="H1955">
        <v>1238.6597899999999</v>
      </c>
      <c r="I1955">
        <v>1440.0880127</v>
      </c>
      <c r="J1955">
        <v>1403.8698730000001</v>
      </c>
      <c r="K1955">
        <v>0</v>
      </c>
      <c r="L1955">
        <v>2400</v>
      </c>
      <c r="M1955">
        <v>2400</v>
      </c>
      <c r="N1955">
        <v>0</v>
      </c>
    </row>
    <row r="1956" spans="1:14" x14ac:dyDescent="0.25">
      <c r="A1956">
        <v>1411.205899</v>
      </c>
      <c r="B1956" s="1">
        <f>DATE(2014,3,12) + TIME(4,56,29)</f>
        <v>41710.205891203703</v>
      </c>
      <c r="C1956">
        <v>80</v>
      </c>
      <c r="D1956">
        <v>69.318115234000004</v>
      </c>
      <c r="E1956">
        <v>50</v>
      </c>
      <c r="F1956">
        <v>49.986602783000002</v>
      </c>
      <c r="G1956">
        <v>1267.4034423999999</v>
      </c>
      <c r="H1956">
        <v>1238.385376</v>
      </c>
      <c r="I1956">
        <v>1440.0694579999999</v>
      </c>
      <c r="J1956">
        <v>1403.8514404</v>
      </c>
      <c r="K1956">
        <v>0</v>
      </c>
      <c r="L1956">
        <v>2400</v>
      </c>
      <c r="M1956">
        <v>2400</v>
      </c>
      <c r="N1956">
        <v>0</v>
      </c>
    </row>
    <row r="1957" spans="1:14" x14ac:dyDescent="0.25">
      <c r="A1957">
        <v>1412.226946</v>
      </c>
      <c r="B1957" s="1">
        <f>DATE(2014,3,13) + TIME(5,26,48)</f>
        <v>41711.226944444446</v>
      </c>
      <c r="C1957">
        <v>80</v>
      </c>
      <c r="D1957">
        <v>69.188163756999998</v>
      </c>
      <c r="E1957">
        <v>50</v>
      </c>
      <c r="F1957">
        <v>49.986610413000001</v>
      </c>
      <c r="G1957">
        <v>1267.2163086</v>
      </c>
      <c r="H1957">
        <v>1238.1097411999999</v>
      </c>
      <c r="I1957">
        <v>1440.0509033000001</v>
      </c>
      <c r="J1957">
        <v>1403.8332519999999</v>
      </c>
      <c r="K1957">
        <v>0</v>
      </c>
      <c r="L1957">
        <v>2400</v>
      </c>
      <c r="M1957">
        <v>2400</v>
      </c>
      <c r="N1957">
        <v>0</v>
      </c>
    </row>
    <row r="1958" spans="1:14" x14ac:dyDescent="0.25">
      <c r="A1958">
        <v>1413.2479940000001</v>
      </c>
      <c r="B1958" s="1">
        <f>DATE(2014,3,14) + TIME(5,57,6)</f>
        <v>41712.247986111113</v>
      </c>
      <c r="C1958">
        <v>80</v>
      </c>
      <c r="D1958">
        <v>69.056610106999997</v>
      </c>
      <c r="E1958">
        <v>50</v>
      </c>
      <c r="F1958">
        <v>49.986621857000003</v>
      </c>
      <c r="G1958">
        <v>1267.0284423999999</v>
      </c>
      <c r="H1958">
        <v>1237.8326416</v>
      </c>
      <c r="I1958">
        <v>1440.0325928</v>
      </c>
      <c r="J1958">
        <v>1403.8151855000001</v>
      </c>
      <c r="K1958">
        <v>0</v>
      </c>
      <c r="L1958">
        <v>2400</v>
      </c>
      <c r="M1958">
        <v>2400</v>
      </c>
      <c r="N1958">
        <v>0</v>
      </c>
    </row>
    <row r="1959" spans="1:14" x14ac:dyDescent="0.25">
      <c r="A1959">
        <v>1414.2690419999999</v>
      </c>
      <c r="B1959" s="1">
        <f>DATE(2014,3,15) + TIME(6,27,25)</f>
        <v>41713.26903935185</v>
      </c>
      <c r="C1959">
        <v>80</v>
      </c>
      <c r="D1959">
        <v>68.923454285000005</v>
      </c>
      <c r="E1959">
        <v>50</v>
      </c>
      <c r="F1959">
        <v>49.986629485999998</v>
      </c>
      <c r="G1959">
        <v>1266.8395995999999</v>
      </c>
      <c r="H1959">
        <v>1237.5539550999999</v>
      </c>
      <c r="I1959">
        <v>1440.0142822</v>
      </c>
      <c r="J1959">
        <v>1403.7971190999999</v>
      </c>
      <c r="K1959">
        <v>0</v>
      </c>
      <c r="L1959">
        <v>2400</v>
      </c>
      <c r="M1959">
        <v>2400</v>
      </c>
      <c r="N1959">
        <v>0</v>
      </c>
    </row>
    <row r="1960" spans="1:14" x14ac:dyDescent="0.25">
      <c r="A1960">
        <v>1416.3111369999999</v>
      </c>
      <c r="B1960" s="1">
        <f>DATE(2014,3,17) + TIME(7,28,2)</f>
        <v>41715.31113425926</v>
      </c>
      <c r="C1960">
        <v>80</v>
      </c>
      <c r="D1960">
        <v>68.766189574999999</v>
      </c>
      <c r="E1960">
        <v>50</v>
      </c>
      <c r="F1960">
        <v>49.986652374000002</v>
      </c>
      <c r="G1960">
        <v>1266.6533202999999</v>
      </c>
      <c r="H1960">
        <v>1237.2698975000001</v>
      </c>
      <c r="I1960">
        <v>1439.9962158000001</v>
      </c>
      <c r="J1960">
        <v>1403.7794189000001</v>
      </c>
      <c r="K1960">
        <v>0</v>
      </c>
      <c r="L1960">
        <v>2400</v>
      </c>
      <c r="M1960">
        <v>2400</v>
      </c>
      <c r="N1960">
        <v>0</v>
      </c>
    </row>
    <row r="1961" spans="1:14" x14ac:dyDescent="0.25">
      <c r="A1961">
        <v>1418.3535199999999</v>
      </c>
      <c r="B1961" s="1">
        <f>DATE(2014,3,19) + TIME(8,29,4)</f>
        <v>41717.353518518517</v>
      </c>
      <c r="C1961">
        <v>80</v>
      </c>
      <c r="D1961">
        <v>68.512016295999999</v>
      </c>
      <c r="E1961">
        <v>50</v>
      </c>
      <c r="F1961">
        <v>49.986671448000003</v>
      </c>
      <c r="G1961">
        <v>1266.2702637</v>
      </c>
      <c r="H1961">
        <v>1236.7110596</v>
      </c>
      <c r="I1961">
        <v>1439.9603271000001</v>
      </c>
      <c r="J1961">
        <v>1403.7441406</v>
      </c>
      <c r="K1961">
        <v>0</v>
      </c>
      <c r="L1961">
        <v>2400</v>
      </c>
      <c r="M1961">
        <v>2400</v>
      </c>
      <c r="N1961">
        <v>0</v>
      </c>
    </row>
    <row r="1962" spans="1:14" x14ac:dyDescent="0.25">
      <c r="A1962">
        <v>1420.0006000000001</v>
      </c>
      <c r="B1962" s="1">
        <f>DATE(2014,3,21) + TIME(0,0,51)</f>
        <v>41719.000590277778</v>
      </c>
      <c r="C1962">
        <v>80</v>
      </c>
      <c r="D1962">
        <v>68.246711731000005</v>
      </c>
      <c r="E1962">
        <v>50</v>
      </c>
      <c r="F1962">
        <v>49.986686706999997</v>
      </c>
      <c r="G1962">
        <v>1265.8881836</v>
      </c>
      <c r="H1962">
        <v>1236.1516113</v>
      </c>
      <c r="I1962">
        <v>1439.9246826000001</v>
      </c>
      <c r="J1962">
        <v>1403.7089844</v>
      </c>
      <c r="K1962">
        <v>0</v>
      </c>
      <c r="L1962">
        <v>2400</v>
      </c>
      <c r="M1962">
        <v>2400</v>
      </c>
      <c r="N1962">
        <v>0</v>
      </c>
    </row>
    <row r="1963" spans="1:14" x14ac:dyDescent="0.25">
      <c r="A1963">
        <v>1421.615143</v>
      </c>
      <c r="B1963" s="1">
        <f>DATE(2014,3,22) + TIME(14,45,48)</f>
        <v>41720.61513888889</v>
      </c>
      <c r="C1963">
        <v>80</v>
      </c>
      <c r="D1963">
        <v>68.009941100999995</v>
      </c>
      <c r="E1963">
        <v>50</v>
      </c>
      <c r="F1963">
        <v>49.986701965000002</v>
      </c>
      <c r="G1963">
        <v>1265.5750731999999</v>
      </c>
      <c r="H1963">
        <v>1235.6834716999999</v>
      </c>
      <c r="I1963">
        <v>1439.8962402</v>
      </c>
      <c r="J1963">
        <v>1403.6810303</v>
      </c>
      <c r="K1963">
        <v>0</v>
      </c>
      <c r="L1963">
        <v>2400</v>
      </c>
      <c r="M1963">
        <v>2400</v>
      </c>
      <c r="N1963">
        <v>0</v>
      </c>
    </row>
    <row r="1964" spans="1:14" x14ac:dyDescent="0.25">
      <c r="A1964">
        <v>1423.2296859999999</v>
      </c>
      <c r="B1964" s="1">
        <f>DATE(2014,3,24) + TIME(5,30,44)</f>
        <v>41722.229675925926</v>
      </c>
      <c r="C1964">
        <v>80</v>
      </c>
      <c r="D1964">
        <v>67.778388977000006</v>
      </c>
      <c r="E1964">
        <v>50</v>
      </c>
      <c r="F1964">
        <v>49.986717224000003</v>
      </c>
      <c r="G1964">
        <v>1265.2672118999999</v>
      </c>
      <c r="H1964">
        <v>1235.2248535000001</v>
      </c>
      <c r="I1964">
        <v>1439.8686522999999</v>
      </c>
      <c r="J1964">
        <v>1403.6539307</v>
      </c>
      <c r="K1964">
        <v>0</v>
      </c>
      <c r="L1964">
        <v>2400</v>
      </c>
      <c r="M1964">
        <v>2400</v>
      </c>
      <c r="N1964">
        <v>0</v>
      </c>
    </row>
    <row r="1965" spans="1:14" x14ac:dyDescent="0.25">
      <c r="A1965">
        <v>1424.844229</v>
      </c>
      <c r="B1965" s="1">
        <f>DATE(2014,3,25) + TIME(20,15,41)</f>
        <v>41723.844224537039</v>
      </c>
      <c r="C1965">
        <v>80</v>
      </c>
      <c r="D1965">
        <v>67.544914246000005</v>
      </c>
      <c r="E1965">
        <v>50</v>
      </c>
      <c r="F1965">
        <v>49.986732482999997</v>
      </c>
      <c r="G1965">
        <v>1264.9578856999999</v>
      </c>
      <c r="H1965">
        <v>1234.7642822</v>
      </c>
      <c r="I1965">
        <v>1439.8414307</v>
      </c>
      <c r="J1965">
        <v>1403.6270752</v>
      </c>
      <c r="K1965">
        <v>0</v>
      </c>
      <c r="L1965">
        <v>2400</v>
      </c>
      <c r="M1965">
        <v>2400</v>
      </c>
      <c r="N1965">
        <v>0</v>
      </c>
    </row>
    <row r="1966" spans="1:14" x14ac:dyDescent="0.25">
      <c r="A1966">
        <v>1426.458772</v>
      </c>
      <c r="B1966" s="1">
        <f>DATE(2014,3,27) + TIME(11,0,37)</f>
        <v>41725.458761574075</v>
      </c>
      <c r="C1966">
        <v>80</v>
      </c>
      <c r="D1966">
        <v>67.308097838999998</v>
      </c>
      <c r="E1966">
        <v>50</v>
      </c>
      <c r="F1966">
        <v>49.986743926999999</v>
      </c>
      <c r="G1966">
        <v>1264.6467285000001</v>
      </c>
      <c r="H1966">
        <v>1234.3004149999999</v>
      </c>
      <c r="I1966">
        <v>1439.8143310999999</v>
      </c>
      <c r="J1966">
        <v>1403.6004639</v>
      </c>
      <c r="K1966">
        <v>0</v>
      </c>
      <c r="L1966">
        <v>2400</v>
      </c>
      <c r="M1966">
        <v>2400</v>
      </c>
      <c r="N1966">
        <v>0</v>
      </c>
    </row>
    <row r="1967" spans="1:14" x14ac:dyDescent="0.25">
      <c r="A1967">
        <v>1428.073314</v>
      </c>
      <c r="B1967" s="1">
        <f>DATE(2014,3,29) + TIME(1,45,34)</f>
        <v>41727.073310185187</v>
      </c>
      <c r="C1967">
        <v>80</v>
      </c>
      <c r="D1967">
        <v>67.067749023000005</v>
      </c>
      <c r="E1967">
        <v>50</v>
      </c>
      <c r="F1967">
        <v>49.986759186</v>
      </c>
      <c r="G1967">
        <v>1264.3338623</v>
      </c>
      <c r="H1967">
        <v>1233.833374</v>
      </c>
      <c r="I1967">
        <v>1439.7874756000001</v>
      </c>
      <c r="J1967">
        <v>1403.5740966999999</v>
      </c>
      <c r="K1967">
        <v>0</v>
      </c>
      <c r="L1967">
        <v>2400</v>
      </c>
      <c r="M1967">
        <v>2400</v>
      </c>
      <c r="N1967">
        <v>0</v>
      </c>
    </row>
    <row r="1968" spans="1:14" x14ac:dyDescent="0.25">
      <c r="A1968">
        <v>1429.5366570000001</v>
      </c>
      <c r="B1968" s="1">
        <f>DATE(2014,3,30) + TIME(12,52,47)</f>
        <v>41728.53665509259</v>
      </c>
      <c r="C1968">
        <v>80</v>
      </c>
      <c r="D1968">
        <v>66.828788756999998</v>
      </c>
      <c r="E1968">
        <v>50</v>
      </c>
      <c r="F1968">
        <v>49.986774445000002</v>
      </c>
      <c r="G1968">
        <v>1264.0205077999999</v>
      </c>
      <c r="H1968">
        <v>1233.3673096</v>
      </c>
      <c r="I1968">
        <v>1439.7608643000001</v>
      </c>
      <c r="J1968">
        <v>1403.5479736</v>
      </c>
      <c r="K1968">
        <v>0</v>
      </c>
      <c r="L1968">
        <v>2400</v>
      </c>
      <c r="M1968">
        <v>2400</v>
      </c>
      <c r="N1968">
        <v>0</v>
      </c>
    </row>
    <row r="1969" spans="1:14" x14ac:dyDescent="0.25">
      <c r="A1969">
        <v>1431</v>
      </c>
      <c r="B1969" s="1">
        <f>DATE(2014,4,1) + TIME(0,0,0)</f>
        <v>41730</v>
      </c>
      <c r="C1969">
        <v>80</v>
      </c>
      <c r="D1969">
        <v>66.600776671999995</v>
      </c>
      <c r="E1969">
        <v>50</v>
      </c>
      <c r="F1969">
        <v>49.986785888999997</v>
      </c>
      <c r="G1969">
        <v>1263.7424315999999</v>
      </c>
      <c r="H1969">
        <v>1232.9514160000001</v>
      </c>
      <c r="I1969">
        <v>1439.7369385</v>
      </c>
      <c r="J1969">
        <v>1403.5244141000001</v>
      </c>
      <c r="K1969">
        <v>0</v>
      </c>
      <c r="L1969">
        <v>2400</v>
      </c>
      <c r="M1969">
        <v>2400</v>
      </c>
      <c r="N1969">
        <v>0</v>
      </c>
    </row>
    <row r="1970" spans="1:14" x14ac:dyDescent="0.25">
      <c r="A1970">
        <v>1433.926686</v>
      </c>
      <c r="B1970" s="1">
        <f>DATE(2014,4,3) + TIME(22,14,25)</f>
        <v>41732.926678240743</v>
      </c>
      <c r="C1970">
        <v>80</v>
      </c>
      <c r="D1970">
        <v>66.345382689999994</v>
      </c>
      <c r="E1970">
        <v>50</v>
      </c>
      <c r="F1970">
        <v>49.986816406000003</v>
      </c>
      <c r="G1970">
        <v>1263.4407959</v>
      </c>
      <c r="H1970">
        <v>1232.4822998</v>
      </c>
      <c r="I1970">
        <v>1439.7133789</v>
      </c>
      <c r="J1970">
        <v>1403.5013428</v>
      </c>
      <c r="K1970">
        <v>0</v>
      </c>
      <c r="L1970">
        <v>2400</v>
      </c>
      <c r="M1970">
        <v>2400</v>
      </c>
      <c r="N1970">
        <v>0</v>
      </c>
    </row>
    <row r="1971" spans="1:14" x14ac:dyDescent="0.25">
      <c r="A1971">
        <v>1435.8083469999999</v>
      </c>
      <c r="B1971" s="1">
        <f>DATE(2014,4,5) + TIME(19,24,1)</f>
        <v>41734.808344907404</v>
      </c>
      <c r="C1971">
        <v>80</v>
      </c>
      <c r="D1971">
        <v>65.937538146999998</v>
      </c>
      <c r="E1971">
        <v>50</v>
      </c>
      <c r="F1971">
        <v>49.986831664999997</v>
      </c>
      <c r="G1971">
        <v>1262.8724365</v>
      </c>
      <c r="H1971">
        <v>1231.65625</v>
      </c>
      <c r="I1971">
        <v>1439.6663818</v>
      </c>
      <c r="J1971">
        <v>1403.4550781</v>
      </c>
      <c r="K1971">
        <v>0</v>
      </c>
      <c r="L1971">
        <v>2400</v>
      </c>
      <c r="M1971">
        <v>2400</v>
      </c>
      <c r="N1971">
        <v>0</v>
      </c>
    </row>
    <row r="1972" spans="1:14" x14ac:dyDescent="0.25">
      <c r="A1972">
        <v>1437.214743</v>
      </c>
      <c r="B1972" s="1">
        <f>DATE(2014,4,7) + TIME(5,9,13)</f>
        <v>41736.214733796296</v>
      </c>
      <c r="C1972">
        <v>80</v>
      </c>
      <c r="D1972">
        <v>65.633689880000006</v>
      </c>
      <c r="E1972">
        <v>50</v>
      </c>
      <c r="F1972">
        <v>49.986843108999999</v>
      </c>
      <c r="G1972">
        <v>1262.4967041</v>
      </c>
      <c r="H1972">
        <v>1231.0895995999999</v>
      </c>
      <c r="I1972">
        <v>1439.6363524999999</v>
      </c>
      <c r="J1972">
        <v>1403.4255370999999</v>
      </c>
      <c r="K1972">
        <v>0</v>
      </c>
      <c r="L1972">
        <v>2400</v>
      </c>
      <c r="M1972">
        <v>2400</v>
      </c>
      <c r="N1972">
        <v>0</v>
      </c>
    </row>
    <row r="1973" spans="1:14" x14ac:dyDescent="0.25">
      <c r="A1973">
        <v>1438.621138</v>
      </c>
      <c r="B1973" s="1">
        <f>DATE(2014,4,8) + TIME(14,54,26)</f>
        <v>41737.621134259258</v>
      </c>
      <c r="C1973">
        <v>80</v>
      </c>
      <c r="D1973">
        <v>65.387802124000004</v>
      </c>
      <c r="E1973">
        <v>50</v>
      </c>
      <c r="F1973">
        <v>49.986854553000001</v>
      </c>
      <c r="G1973">
        <v>1262.2113036999999</v>
      </c>
      <c r="H1973">
        <v>1230.6502685999999</v>
      </c>
      <c r="I1973">
        <v>1439.6142577999999</v>
      </c>
      <c r="J1973">
        <v>1403.4038086</v>
      </c>
      <c r="K1973">
        <v>0</v>
      </c>
      <c r="L1973">
        <v>2400</v>
      </c>
      <c r="M1973">
        <v>2400</v>
      </c>
      <c r="N1973">
        <v>0</v>
      </c>
    </row>
    <row r="1974" spans="1:14" x14ac:dyDescent="0.25">
      <c r="A1974">
        <v>1440.0275340000001</v>
      </c>
      <c r="B1974" s="1">
        <f>DATE(2014,4,10) + TIME(0,39,38)</f>
        <v>41739.02752314815</v>
      </c>
      <c r="C1974">
        <v>80</v>
      </c>
      <c r="D1974">
        <v>65.152740479000002</v>
      </c>
      <c r="E1974">
        <v>50</v>
      </c>
      <c r="F1974">
        <v>49.986869812000002</v>
      </c>
      <c r="G1974">
        <v>1261.9287108999999</v>
      </c>
      <c r="H1974">
        <v>1230.2218018000001</v>
      </c>
      <c r="I1974">
        <v>1439.5921631000001</v>
      </c>
      <c r="J1974">
        <v>1403.3822021000001</v>
      </c>
      <c r="K1974">
        <v>0</v>
      </c>
      <c r="L1974">
        <v>2400</v>
      </c>
      <c r="M1974">
        <v>2400</v>
      </c>
      <c r="N1974">
        <v>0</v>
      </c>
    </row>
    <row r="1975" spans="1:14" x14ac:dyDescent="0.25">
      <c r="A1975">
        <v>1441.433929</v>
      </c>
      <c r="B1975" s="1">
        <f>DATE(2014,4,11) + TIME(10,24,51)</f>
        <v>41740.433923611112</v>
      </c>
      <c r="C1975">
        <v>80</v>
      </c>
      <c r="D1975">
        <v>64.918472289999997</v>
      </c>
      <c r="E1975">
        <v>50</v>
      </c>
      <c r="F1975">
        <v>49.986881255999997</v>
      </c>
      <c r="G1975">
        <v>1261.645874</v>
      </c>
      <c r="H1975">
        <v>1229.7943115</v>
      </c>
      <c r="I1975">
        <v>1439.5703125</v>
      </c>
      <c r="J1975">
        <v>1403.3607178</v>
      </c>
      <c r="K1975">
        <v>0</v>
      </c>
      <c r="L1975">
        <v>2400</v>
      </c>
      <c r="M1975">
        <v>2400</v>
      </c>
      <c r="N1975">
        <v>0</v>
      </c>
    </row>
    <row r="1976" spans="1:14" x14ac:dyDescent="0.25">
      <c r="A1976">
        <v>1442.840324</v>
      </c>
      <c r="B1976" s="1">
        <f>DATE(2014,4,12) + TIME(20,10,4)</f>
        <v>41741.840324074074</v>
      </c>
      <c r="C1976">
        <v>80</v>
      </c>
      <c r="D1976">
        <v>64.682807921999995</v>
      </c>
      <c r="E1976">
        <v>50</v>
      </c>
      <c r="F1976">
        <v>49.986892699999999</v>
      </c>
      <c r="G1976">
        <v>1261.3625488</v>
      </c>
      <c r="H1976">
        <v>1229.3657227000001</v>
      </c>
      <c r="I1976">
        <v>1439.5485839999999</v>
      </c>
      <c r="J1976">
        <v>1403.3393555</v>
      </c>
      <c r="K1976">
        <v>0</v>
      </c>
      <c r="L1976">
        <v>2400</v>
      </c>
      <c r="M1976">
        <v>2400</v>
      </c>
      <c r="N1976">
        <v>0</v>
      </c>
    </row>
    <row r="1977" spans="1:14" x14ac:dyDescent="0.25">
      <c r="A1977">
        <v>1444.2467200000001</v>
      </c>
      <c r="B1977" s="1">
        <f>DATE(2014,4,14) + TIME(5,55,16)</f>
        <v>41743.246712962966</v>
      </c>
      <c r="C1977">
        <v>80</v>
      </c>
      <c r="D1977">
        <v>64.445320128999995</v>
      </c>
      <c r="E1977">
        <v>50</v>
      </c>
      <c r="F1977">
        <v>49.986907959</v>
      </c>
      <c r="G1977">
        <v>1261.0783690999999</v>
      </c>
      <c r="H1977">
        <v>1228.9356689000001</v>
      </c>
      <c r="I1977">
        <v>1439.5270995999999</v>
      </c>
      <c r="J1977">
        <v>1403.3181152</v>
      </c>
      <c r="K1977">
        <v>0</v>
      </c>
      <c r="L1977">
        <v>2400</v>
      </c>
      <c r="M1977">
        <v>2400</v>
      </c>
      <c r="N1977">
        <v>0</v>
      </c>
    </row>
    <row r="1978" spans="1:14" x14ac:dyDescent="0.25">
      <c r="A1978">
        <v>1445.6531150000001</v>
      </c>
      <c r="B1978" s="1">
        <f>DATE(2014,4,15) + TIME(15,40,29)</f>
        <v>41744.653113425928</v>
      </c>
      <c r="C1978">
        <v>80</v>
      </c>
      <c r="D1978">
        <v>64.205940247000001</v>
      </c>
      <c r="E1978">
        <v>50</v>
      </c>
      <c r="F1978">
        <v>49.986919403000002</v>
      </c>
      <c r="G1978">
        <v>1260.7935791</v>
      </c>
      <c r="H1978">
        <v>1228.5040283000001</v>
      </c>
      <c r="I1978">
        <v>1439.5056152</v>
      </c>
      <c r="J1978">
        <v>1403.2971190999999</v>
      </c>
      <c r="K1978">
        <v>0</v>
      </c>
      <c r="L1978">
        <v>2400</v>
      </c>
      <c r="M1978">
        <v>2400</v>
      </c>
      <c r="N1978">
        <v>0</v>
      </c>
    </row>
    <row r="1979" spans="1:14" x14ac:dyDescent="0.25">
      <c r="A1979">
        <v>1447.0595109999999</v>
      </c>
      <c r="B1979" s="1">
        <f>DATE(2014,4,17) + TIME(1,25,41)</f>
        <v>41746.059502314813</v>
      </c>
      <c r="C1979">
        <v>80</v>
      </c>
      <c r="D1979">
        <v>63.964736938000001</v>
      </c>
      <c r="E1979">
        <v>50</v>
      </c>
      <c r="F1979">
        <v>49.986930846999996</v>
      </c>
      <c r="G1979">
        <v>1260.5080565999999</v>
      </c>
      <c r="H1979">
        <v>1228.0709228999999</v>
      </c>
      <c r="I1979">
        <v>1439.4842529</v>
      </c>
      <c r="J1979">
        <v>1403.2761230000001</v>
      </c>
      <c r="K1979">
        <v>0</v>
      </c>
      <c r="L1979">
        <v>2400</v>
      </c>
      <c r="M1979">
        <v>2400</v>
      </c>
      <c r="N1979">
        <v>0</v>
      </c>
    </row>
    <row r="1980" spans="1:14" x14ac:dyDescent="0.25">
      <c r="A1980">
        <v>1448.4659059999999</v>
      </c>
      <c r="B1980" s="1">
        <f>DATE(2014,4,18) + TIME(11,10,54)</f>
        <v>41747.465902777774</v>
      </c>
      <c r="C1980">
        <v>80</v>
      </c>
      <c r="D1980">
        <v>63.721771240000002</v>
      </c>
      <c r="E1980">
        <v>50</v>
      </c>
      <c r="F1980">
        <v>49.986942290999998</v>
      </c>
      <c r="G1980">
        <v>1260.2218018000001</v>
      </c>
      <c r="H1980">
        <v>1227.6363524999999</v>
      </c>
      <c r="I1980">
        <v>1439.4631348</v>
      </c>
      <c r="J1980">
        <v>1403.255249</v>
      </c>
      <c r="K1980">
        <v>0</v>
      </c>
      <c r="L1980">
        <v>2400</v>
      </c>
      <c r="M1980">
        <v>2400</v>
      </c>
      <c r="N1980">
        <v>0</v>
      </c>
    </row>
    <row r="1981" spans="1:14" x14ac:dyDescent="0.25">
      <c r="A1981">
        <v>1449.872302</v>
      </c>
      <c r="B1981" s="1">
        <f>DATE(2014,4,19) + TIME(20,56,6)</f>
        <v>41748.872291666667</v>
      </c>
      <c r="C1981">
        <v>80</v>
      </c>
      <c r="D1981">
        <v>63.477115630999997</v>
      </c>
      <c r="E1981">
        <v>50</v>
      </c>
      <c r="F1981">
        <v>49.986953735</v>
      </c>
      <c r="G1981">
        <v>1259.9350586</v>
      </c>
      <c r="H1981">
        <v>1227.2003173999999</v>
      </c>
      <c r="I1981">
        <v>1439.4420166</v>
      </c>
      <c r="J1981">
        <v>1403.2346190999999</v>
      </c>
      <c r="K1981">
        <v>0</v>
      </c>
      <c r="L1981">
        <v>2400</v>
      </c>
      <c r="M1981">
        <v>2400</v>
      </c>
      <c r="N1981">
        <v>0</v>
      </c>
    </row>
    <row r="1982" spans="1:14" x14ac:dyDescent="0.25">
      <c r="A1982">
        <v>1451.278697</v>
      </c>
      <c r="B1982" s="1">
        <f>DATE(2014,4,21) + TIME(6,41,19)</f>
        <v>41750.278692129628</v>
      </c>
      <c r="C1982">
        <v>80</v>
      </c>
      <c r="D1982">
        <v>63.230854033999996</v>
      </c>
      <c r="E1982">
        <v>50</v>
      </c>
      <c r="F1982">
        <v>49.986968994000001</v>
      </c>
      <c r="G1982">
        <v>1259.6477050999999</v>
      </c>
      <c r="H1982">
        <v>1226.7630615</v>
      </c>
      <c r="I1982">
        <v>1439.4210204999999</v>
      </c>
      <c r="J1982">
        <v>1403.2139893000001</v>
      </c>
      <c r="K1982">
        <v>0</v>
      </c>
      <c r="L1982">
        <v>2400</v>
      </c>
      <c r="M1982">
        <v>2400</v>
      </c>
      <c r="N1982">
        <v>0</v>
      </c>
    </row>
    <row r="1983" spans="1:14" x14ac:dyDescent="0.25">
      <c r="A1983">
        <v>1452.6850930000001</v>
      </c>
      <c r="B1983" s="1">
        <f>DATE(2014,4,22) + TIME(16,26,32)</f>
        <v>41751.68509259259</v>
      </c>
      <c r="C1983">
        <v>80</v>
      </c>
      <c r="D1983">
        <v>62.983058929000002</v>
      </c>
      <c r="E1983">
        <v>50</v>
      </c>
      <c r="F1983">
        <v>49.986980438000003</v>
      </c>
      <c r="G1983">
        <v>1259.3597411999999</v>
      </c>
      <c r="H1983">
        <v>1226.3244629000001</v>
      </c>
      <c r="I1983">
        <v>1439.4001464999999</v>
      </c>
      <c r="J1983">
        <v>1403.1934814000001</v>
      </c>
      <c r="K1983">
        <v>0</v>
      </c>
      <c r="L1983">
        <v>2400</v>
      </c>
      <c r="M1983">
        <v>2400</v>
      </c>
      <c r="N1983">
        <v>0</v>
      </c>
    </row>
    <row r="1984" spans="1:14" x14ac:dyDescent="0.25">
      <c r="A1984">
        <v>1454.091488</v>
      </c>
      <c r="B1984" s="1">
        <f>DATE(2014,4,24) + TIME(2,11,44)</f>
        <v>41753.091481481482</v>
      </c>
      <c r="C1984">
        <v>80</v>
      </c>
      <c r="D1984">
        <v>62.733810425000001</v>
      </c>
      <c r="E1984">
        <v>50</v>
      </c>
      <c r="F1984">
        <v>49.986991881999998</v>
      </c>
      <c r="G1984">
        <v>1259.0712891000001</v>
      </c>
      <c r="H1984">
        <v>1225.8847656</v>
      </c>
      <c r="I1984">
        <v>1439.3795166</v>
      </c>
      <c r="J1984">
        <v>1403.1732178</v>
      </c>
      <c r="K1984">
        <v>0</v>
      </c>
      <c r="L1984">
        <v>2400</v>
      </c>
      <c r="M1984">
        <v>2400</v>
      </c>
      <c r="N1984">
        <v>0</v>
      </c>
    </row>
    <row r="1985" spans="1:14" x14ac:dyDescent="0.25">
      <c r="A1985">
        <v>1455.4978840000001</v>
      </c>
      <c r="B1985" s="1">
        <f>DATE(2014,4,25) + TIME(11,56,57)</f>
        <v>41754.497881944444</v>
      </c>
      <c r="C1985">
        <v>80</v>
      </c>
      <c r="D1985">
        <v>62.483196259000003</v>
      </c>
      <c r="E1985">
        <v>50</v>
      </c>
      <c r="F1985">
        <v>49.987003326</v>
      </c>
      <c r="G1985">
        <v>1258.7824707</v>
      </c>
      <c r="H1985">
        <v>1225.4437256000001</v>
      </c>
      <c r="I1985">
        <v>1439.3588867000001</v>
      </c>
      <c r="J1985">
        <v>1403.1529541</v>
      </c>
      <c r="K1985">
        <v>0</v>
      </c>
      <c r="L1985">
        <v>2400</v>
      </c>
      <c r="M1985">
        <v>2400</v>
      </c>
      <c r="N1985">
        <v>0</v>
      </c>
    </row>
    <row r="1986" spans="1:14" x14ac:dyDescent="0.25">
      <c r="A1986">
        <v>1456.9042790000001</v>
      </c>
      <c r="B1986" s="1">
        <f>DATE(2014,4,26) + TIME(21,42,9)</f>
        <v>41755.904270833336</v>
      </c>
      <c r="C1986">
        <v>80</v>
      </c>
      <c r="D1986">
        <v>62.231285094999997</v>
      </c>
      <c r="E1986">
        <v>50</v>
      </c>
      <c r="F1986">
        <v>49.987014770999998</v>
      </c>
      <c r="G1986">
        <v>1258.4931641000001</v>
      </c>
      <c r="H1986">
        <v>1225.0017089999999</v>
      </c>
      <c r="I1986">
        <v>1439.3383789</v>
      </c>
      <c r="J1986">
        <v>1403.1328125</v>
      </c>
      <c r="K1986">
        <v>0</v>
      </c>
      <c r="L1986">
        <v>2400</v>
      </c>
      <c r="M1986">
        <v>2400</v>
      </c>
      <c r="N1986">
        <v>0</v>
      </c>
    </row>
    <row r="1987" spans="1:14" x14ac:dyDescent="0.25">
      <c r="A1987">
        <v>1458.3106749999999</v>
      </c>
      <c r="B1987" s="1">
        <f>DATE(2014,4,28) + TIME(7,27,22)</f>
        <v>41757.310671296298</v>
      </c>
      <c r="C1987">
        <v>80</v>
      </c>
      <c r="D1987">
        <v>61.978168488000001</v>
      </c>
      <c r="E1987">
        <v>50</v>
      </c>
      <c r="F1987">
        <v>49.987026215</v>
      </c>
      <c r="G1987">
        <v>1258.2034911999999</v>
      </c>
      <c r="H1987">
        <v>1224.5585937999999</v>
      </c>
      <c r="I1987">
        <v>1439.3179932</v>
      </c>
      <c r="J1987">
        <v>1403.1126709</v>
      </c>
      <c r="K1987">
        <v>0</v>
      </c>
      <c r="L1987">
        <v>2400</v>
      </c>
      <c r="M1987">
        <v>2400</v>
      </c>
      <c r="N1987">
        <v>0</v>
      </c>
    </row>
    <row r="1988" spans="1:14" x14ac:dyDescent="0.25">
      <c r="A1988">
        <v>1459.6553369999999</v>
      </c>
      <c r="B1988" s="1">
        <f>DATE(2014,4,29) + TIME(15,43,41)</f>
        <v>41758.655335648145</v>
      </c>
      <c r="C1988">
        <v>80</v>
      </c>
      <c r="D1988">
        <v>61.726455688000001</v>
      </c>
      <c r="E1988">
        <v>50</v>
      </c>
      <c r="F1988">
        <v>49.987037659000002</v>
      </c>
      <c r="G1988">
        <v>1257.9138184000001</v>
      </c>
      <c r="H1988">
        <v>1224.1165771000001</v>
      </c>
      <c r="I1988">
        <v>1439.2976074000001</v>
      </c>
      <c r="J1988">
        <v>1403.0927733999999</v>
      </c>
      <c r="K1988">
        <v>0</v>
      </c>
      <c r="L1988">
        <v>2400</v>
      </c>
      <c r="M1988">
        <v>2400</v>
      </c>
      <c r="N1988">
        <v>0</v>
      </c>
    </row>
    <row r="1989" spans="1:14" x14ac:dyDescent="0.25">
      <c r="A1989">
        <v>1461</v>
      </c>
      <c r="B1989" s="1">
        <f>DATE(2014,5,1) + TIME(0,0,0)</f>
        <v>41760</v>
      </c>
      <c r="C1989">
        <v>80</v>
      </c>
      <c r="D1989">
        <v>61.480426788000003</v>
      </c>
      <c r="E1989">
        <v>50</v>
      </c>
      <c r="F1989">
        <v>49.987049102999997</v>
      </c>
      <c r="G1989">
        <v>1257.6444091999999</v>
      </c>
      <c r="H1989">
        <v>1223.7047118999999</v>
      </c>
      <c r="I1989">
        <v>1439.2783202999999</v>
      </c>
      <c r="J1989">
        <v>1403.0738524999999</v>
      </c>
      <c r="K1989">
        <v>0</v>
      </c>
      <c r="L1989">
        <v>2400</v>
      </c>
      <c r="M1989">
        <v>2400</v>
      </c>
      <c r="N1989">
        <v>0</v>
      </c>
    </row>
    <row r="1990" spans="1:14" x14ac:dyDescent="0.25">
      <c r="A1990">
        <v>1461.0000010000001</v>
      </c>
      <c r="B1990" s="1">
        <f>DATE(2014,5,1) + TIME(0,0,0)</f>
        <v>41760</v>
      </c>
      <c r="C1990">
        <v>80</v>
      </c>
      <c r="D1990">
        <v>61.480739593999999</v>
      </c>
      <c r="E1990">
        <v>50</v>
      </c>
      <c r="F1990">
        <v>49.986831664999997</v>
      </c>
      <c r="G1990">
        <v>1297.3535156</v>
      </c>
      <c r="H1990">
        <v>1259.5925293</v>
      </c>
      <c r="I1990">
        <v>1401.3245850000001</v>
      </c>
      <c r="J1990">
        <v>1360.8491211</v>
      </c>
      <c r="K1990">
        <v>2400</v>
      </c>
      <c r="L1990">
        <v>0</v>
      </c>
      <c r="M1990">
        <v>0</v>
      </c>
      <c r="N1990">
        <v>2400</v>
      </c>
    </row>
    <row r="1991" spans="1:14" x14ac:dyDescent="0.25">
      <c r="A1991">
        <v>1461.000004</v>
      </c>
      <c r="B1991" s="1">
        <f>DATE(2014,5,1) + TIME(0,0,0)</f>
        <v>41760</v>
      </c>
      <c r="C1991">
        <v>80</v>
      </c>
      <c r="D1991">
        <v>61.481563567999999</v>
      </c>
      <c r="E1991">
        <v>50</v>
      </c>
      <c r="F1991">
        <v>49.986240387000002</v>
      </c>
      <c r="G1991">
        <v>1302.0161132999999</v>
      </c>
      <c r="H1991">
        <v>1264.6549072</v>
      </c>
      <c r="I1991">
        <v>1396.6597899999999</v>
      </c>
      <c r="J1991">
        <v>1356.1948242000001</v>
      </c>
      <c r="K1991">
        <v>2400</v>
      </c>
      <c r="L1991">
        <v>0</v>
      </c>
      <c r="M1991">
        <v>0</v>
      </c>
      <c r="N1991">
        <v>2400</v>
      </c>
    </row>
    <row r="1992" spans="1:14" x14ac:dyDescent="0.25">
      <c r="A1992">
        <v>1461.0000130000001</v>
      </c>
      <c r="B1992" s="1">
        <f>DATE(2014,5,1) + TIME(0,0,1)</f>
        <v>41760.000011574077</v>
      </c>
      <c r="C1992">
        <v>80</v>
      </c>
      <c r="D1992">
        <v>61.483451842999997</v>
      </c>
      <c r="E1992">
        <v>50</v>
      </c>
      <c r="F1992">
        <v>49.984924315999997</v>
      </c>
      <c r="G1992">
        <v>1312.2515868999999</v>
      </c>
      <c r="H1992">
        <v>1275.4544678</v>
      </c>
      <c r="I1992">
        <v>1386.206543</v>
      </c>
      <c r="J1992">
        <v>1345.8062743999999</v>
      </c>
      <c r="K1992">
        <v>2400</v>
      </c>
      <c r="L1992">
        <v>0</v>
      </c>
      <c r="M1992">
        <v>0</v>
      </c>
      <c r="N1992">
        <v>2400</v>
      </c>
    </row>
    <row r="1993" spans="1:14" x14ac:dyDescent="0.25">
      <c r="A1993">
        <v>1461.0000399999999</v>
      </c>
      <c r="B1993" s="1">
        <f>DATE(2014,5,1) + TIME(0,0,3)</f>
        <v>41760.000034722223</v>
      </c>
      <c r="C1993">
        <v>80</v>
      </c>
      <c r="D1993">
        <v>61.487060546999999</v>
      </c>
      <c r="E1993">
        <v>50</v>
      </c>
      <c r="F1993">
        <v>49.982730865000001</v>
      </c>
      <c r="G1993">
        <v>1328.8066406</v>
      </c>
      <c r="H1993">
        <v>1292.3795166</v>
      </c>
      <c r="I1993">
        <v>1368.8144531</v>
      </c>
      <c r="J1993">
        <v>1328.6405029</v>
      </c>
      <c r="K1993">
        <v>2400</v>
      </c>
      <c r="L1993">
        <v>0</v>
      </c>
      <c r="M1993">
        <v>0</v>
      </c>
      <c r="N1993">
        <v>2400</v>
      </c>
    </row>
    <row r="1994" spans="1:14" x14ac:dyDescent="0.25">
      <c r="A1994">
        <v>1461.000121</v>
      </c>
      <c r="B1994" s="1">
        <f>DATE(2014,5,1) + TIME(0,0,10)</f>
        <v>41760.000115740739</v>
      </c>
      <c r="C1994">
        <v>80</v>
      </c>
      <c r="D1994">
        <v>61.493755341000004</v>
      </c>
      <c r="E1994">
        <v>50</v>
      </c>
      <c r="F1994">
        <v>49.980083466000004</v>
      </c>
      <c r="G1994">
        <v>1348.2845459</v>
      </c>
      <c r="H1994">
        <v>1312.0738524999999</v>
      </c>
      <c r="I1994">
        <v>1347.8631591999999</v>
      </c>
      <c r="J1994">
        <v>1308.1987305</v>
      </c>
      <c r="K1994">
        <v>2400</v>
      </c>
      <c r="L1994">
        <v>0</v>
      </c>
      <c r="M1994">
        <v>0</v>
      </c>
      <c r="N1994">
        <v>2400</v>
      </c>
    </row>
    <row r="1995" spans="1:14" x14ac:dyDescent="0.25">
      <c r="A1995">
        <v>1461.000364</v>
      </c>
      <c r="B1995" s="1">
        <f>DATE(2014,5,1) + TIME(0,0,31)</f>
        <v>41760.000358796293</v>
      </c>
      <c r="C1995">
        <v>80</v>
      </c>
      <c r="D1995">
        <v>61.508449554000002</v>
      </c>
      <c r="E1995">
        <v>50</v>
      </c>
      <c r="F1995">
        <v>49.977428435999997</v>
      </c>
      <c r="G1995">
        <v>1367.4539795000001</v>
      </c>
      <c r="H1995">
        <v>1331.6933594</v>
      </c>
      <c r="I1995">
        <v>1326.9808350000001</v>
      </c>
      <c r="J1995">
        <v>1288.2038574000001</v>
      </c>
      <c r="K1995">
        <v>2400</v>
      </c>
      <c r="L1995">
        <v>0</v>
      </c>
      <c r="M1995">
        <v>0</v>
      </c>
      <c r="N1995">
        <v>2400</v>
      </c>
    </row>
    <row r="1996" spans="1:14" x14ac:dyDescent="0.25">
      <c r="A1996">
        <v>1461.0010930000001</v>
      </c>
      <c r="B1996" s="1">
        <f>DATE(2014,5,1) + TIME(0,1,34)</f>
        <v>41760.001087962963</v>
      </c>
      <c r="C1996">
        <v>80</v>
      </c>
      <c r="D1996">
        <v>61.546428679999998</v>
      </c>
      <c r="E1996">
        <v>50</v>
      </c>
      <c r="F1996">
        <v>49.974910735999998</v>
      </c>
      <c r="G1996">
        <v>1385.3076172000001</v>
      </c>
      <c r="H1996">
        <v>1350.2520752</v>
      </c>
      <c r="I1996">
        <v>1307.5777588000001</v>
      </c>
      <c r="J1996">
        <v>1269.9866943</v>
      </c>
      <c r="K1996">
        <v>2400</v>
      </c>
      <c r="L1996">
        <v>0</v>
      </c>
      <c r="M1996">
        <v>0</v>
      </c>
      <c r="N1996">
        <v>2400</v>
      </c>
    </row>
    <row r="1997" spans="1:14" x14ac:dyDescent="0.25">
      <c r="A1997">
        <v>1461.0032799999999</v>
      </c>
      <c r="B1997" s="1">
        <f>DATE(2014,5,1) + TIME(0,4,43)</f>
        <v>41760.003275462965</v>
      </c>
      <c r="C1997">
        <v>80</v>
      </c>
      <c r="D1997">
        <v>61.652748107999997</v>
      </c>
      <c r="E1997">
        <v>50</v>
      </c>
      <c r="F1997">
        <v>49.972564697000003</v>
      </c>
      <c r="G1997">
        <v>1401.5130615</v>
      </c>
      <c r="H1997">
        <v>1367.1307373</v>
      </c>
      <c r="I1997">
        <v>1290.6851807</v>
      </c>
      <c r="J1997">
        <v>1254.1136475000001</v>
      </c>
      <c r="K1997">
        <v>2400</v>
      </c>
      <c r="L1997">
        <v>0</v>
      </c>
      <c r="M1997">
        <v>0</v>
      </c>
      <c r="N1997">
        <v>2400</v>
      </c>
    </row>
    <row r="1998" spans="1:14" x14ac:dyDescent="0.25">
      <c r="A1998">
        <v>1461.0098410000001</v>
      </c>
      <c r="B1998" s="1">
        <f>DATE(2014,5,1) + TIME(0,14,10)</f>
        <v>41760.009837962964</v>
      </c>
      <c r="C1998">
        <v>80</v>
      </c>
      <c r="D1998">
        <v>61.958908080999997</v>
      </c>
      <c r="E1998">
        <v>50</v>
      </c>
      <c r="F1998">
        <v>49.970123291</v>
      </c>
      <c r="G1998">
        <v>1416.0050048999999</v>
      </c>
      <c r="H1998">
        <v>1382.0928954999999</v>
      </c>
      <c r="I1998">
        <v>1276.4669189000001</v>
      </c>
      <c r="J1998">
        <v>1240.3577881000001</v>
      </c>
      <c r="K1998">
        <v>2400</v>
      </c>
      <c r="L1998">
        <v>0</v>
      </c>
      <c r="M1998">
        <v>0</v>
      </c>
      <c r="N1998">
        <v>2400</v>
      </c>
    </row>
    <row r="1999" spans="1:14" x14ac:dyDescent="0.25">
      <c r="A1999">
        <v>1461.0221839999999</v>
      </c>
      <c r="B1999" s="1">
        <f>DATE(2014,5,1) + TIME(0,31,56)</f>
        <v>41760.022175925929</v>
      </c>
      <c r="C1999">
        <v>80</v>
      </c>
      <c r="D1999">
        <v>62.513240814</v>
      </c>
      <c r="E1999">
        <v>50</v>
      </c>
      <c r="F1999">
        <v>49.967735290999997</v>
      </c>
      <c r="G1999">
        <v>1425.5976562000001</v>
      </c>
      <c r="H1999">
        <v>1392.0606689000001</v>
      </c>
      <c r="I1999">
        <v>1267.2247314000001</v>
      </c>
      <c r="J1999">
        <v>1231.1910399999999</v>
      </c>
      <c r="K1999">
        <v>2400</v>
      </c>
      <c r="L1999">
        <v>0</v>
      </c>
      <c r="M1999">
        <v>0</v>
      </c>
      <c r="N1999">
        <v>2400</v>
      </c>
    </row>
    <row r="2000" spans="1:14" x14ac:dyDescent="0.25">
      <c r="A2000">
        <v>1461.0348200000001</v>
      </c>
      <c r="B2000" s="1">
        <f>DATE(2014,5,1) + TIME(0,50,8)</f>
        <v>41760.034814814811</v>
      </c>
      <c r="C2000">
        <v>80</v>
      </c>
      <c r="D2000">
        <v>63.061496734999999</v>
      </c>
      <c r="E2000">
        <v>50</v>
      </c>
      <c r="F2000">
        <v>49.965927123999997</v>
      </c>
      <c r="G2000">
        <v>1430.0737305</v>
      </c>
      <c r="H2000">
        <v>1396.8537598</v>
      </c>
      <c r="I2000">
        <v>1262.9177245999999</v>
      </c>
      <c r="J2000">
        <v>1226.8812256000001</v>
      </c>
      <c r="K2000">
        <v>2400</v>
      </c>
      <c r="L2000">
        <v>0</v>
      </c>
      <c r="M2000">
        <v>0</v>
      </c>
      <c r="N2000">
        <v>2400</v>
      </c>
    </row>
    <row r="2001" spans="1:14" x14ac:dyDescent="0.25">
      <c r="A2001">
        <v>1461.047779</v>
      </c>
      <c r="B2001" s="1">
        <f>DATE(2014,5,1) + TIME(1,8,48)</f>
        <v>41760.047777777778</v>
      </c>
      <c r="C2001">
        <v>80</v>
      </c>
      <c r="D2001">
        <v>63.604648589999996</v>
      </c>
      <c r="E2001">
        <v>50</v>
      </c>
      <c r="F2001">
        <v>49.964359283</v>
      </c>
      <c r="G2001">
        <v>1432.3027344</v>
      </c>
      <c r="H2001">
        <v>1399.3955077999999</v>
      </c>
      <c r="I2001">
        <v>1260.7423096</v>
      </c>
      <c r="J2001">
        <v>1224.6983643000001</v>
      </c>
      <c r="K2001">
        <v>2400</v>
      </c>
      <c r="L2001">
        <v>0</v>
      </c>
      <c r="M2001">
        <v>0</v>
      </c>
      <c r="N2001">
        <v>2400</v>
      </c>
    </row>
    <row r="2002" spans="1:14" x14ac:dyDescent="0.25">
      <c r="A2002">
        <v>1461.0610750000001</v>
      </c>
      <c r="B2002" s="1">
        <f>DATE(2014,5,1) + TIME(1,27,56)</f>
        <v>41760.061064814814</v>
      </c>
      <c r="C2002">
        <v>80</v>
      </c>
      <c r="D2002">
        <v>64.142662048000005</v>
      </c>
      <c r="E2002">
        <v>50</v>
      </c>
      <c r="F2002">
        <v>49.962898254000002</v>
      </c>
      <c r="G2002">
        <v>1433.364624</v>
      </c>
      <c r="H2002">
        <v>1400.7679443</v>
      </c>
      <c r="I2002">
        <v>1259.635376</v>
      </c>
      <c r="J2002">
        <v>1223.5865478999999</v>
      </c>
      <c r="K2002">
        <v>2400</v>
      </c>
      <c r="L2002">
        <v>0</v>
      </c>
      <c r="M2002">
        <v>0</v>
      </c>
      <c r="N2002">
        <v>2400</v>
      </c>
    </row>
    <row r="2003" spans="1:14" x14ac:dyDescent="0.25">
      <c r="A2003">
        <v>1461.0747260000001</v>
      </c>
      <c r="B2003" s="1">
        <f>DATE(2014,5,1) + TIME(1,47,36)</f>
        <v>41760.07472222222</v>
      </c>
      <c r="C2003">
        <v>80</v>
      </c>
      <c r="D2003">
        <v>64.675498962000006</v>
      </c>
      <c r="E2003">
        <v>50</v>
      </c>
      <c r="F2003">
        <v>49.961483002000001</v>
      </c>
      <c r="G2003">
        <v>1433.7768555</v>
      </c>
      <c r="H2003">
        <v>1401.4869385</v>
      </c>
      <c r="I2003">
        <v>1259.0876464999999</v>
      </c>
      <c r="J2003">
        <v>1223.0361327999999</v>
      </c>
      <c r="K2003">
        <v>2400</v>
      </c>
      <c r="L2003">
        <v>0</v>
      </c>
      <c r="M2003">
        <v>0</v>
      </c>
      <c r="N2003">
        <v>2400</v>
      </c>
    </row>
    <row r="2004" spans="1:14" x14ac:dyDescent="0.25">
      <c r="A2004">
        <v>1461.0887560000001</v>
      </c>
      <c r="B2004" s="1">
        <f>DATE(2014,5,1) + TIME(2,7,48)</f>
        <v>41760.088750000003</v>
      </c>
      <c r="C2004">
        <v>80</v>
      </c>
      <c r="D2004">
        <v>65.203308105000005</v>
      </c>
      <c r="E2004">
        <v>50</v>
      </c>
      <c r="F2004">
        <v>49.960075377999999</v>
      </c>
      <c r="G2004">
        <v>1433.817749</v>
      </c>
      <c r="H2004">
        <v>1401.8292236</v>
      </c>
      <c r="I2004">
        <v>1258.8326416</v>
      </c>
      <c r="J2004">
        <v>1222.7795410000001</v>
      </c>
      <c r="K2004">
        <v>2400</v>
      </c>
      <c r="L2004">
        <v>0</v>
      </c>
      <c r="M2004">
        <v>0</v>
      </c>
      <c r="N2004">
        <v>2400</v>
      </c>
    </row>
    <row r="2005" spans="1:14" x14ac:dyDescent="0.25">
      <c r="A2005">
        <v>1461.1031909999999</v>
      </c>
      <c r="B2005" s="1">
        <f>DATE(2014,5,1) + TIME(2,28,35)</f>
        <v>41760.103182870371</v>
      </c>
      <c r="C2005">
        <v>80</v>
      </c>
      <c r="D2005">
        <v>65.726348877000007</v>
      </c>
      <c r="E2005">
        <v>50</v>
      </c>
      <c r="F2005">
        <v>49.958656310999999</v>
      </c>
      <c r="G2005">
        <v>1433.6442870999999</v>
      </c>
      <c r="H2005">
        <v>1401.9514160000001</v>
      </c>
      <c r="I2005">
        <v>1258.7272949000001</v>
      </c>
      <c r="J2005">
        <v>1222.6732178</v>
      </c>
      <c r="K2005">
        <v>2400</v>
      </c>
      <c r="L2005">
        <v>0</v>
      </c>
      <c r="M2005">
        <v>0</v>
      </c>
      <c r="N2005">
        <v>2400</v>
      </c>
    </row>
    <row r="2006" spans="1:14" x14ac:dyDescent="0.25">
      <c r="A2006">
        <v>1461.118056</v>
      </c>
      <c r="B2006" s="1">
        <f>DATE(2014,5,1) + TIME(2,50,0)</f>
        <v>41760.118055555555</v>
      </c>
      <c r="C2006">
        <v>80</v>
      </c>
      <c r="D2006">
        <v>66.244491577000005</v>
      </c>
      <c r="E2006">
        <v>50</v>
      </c>
      <c r="F2006">
        <v>49.957218169999997</v>
      </c>
      <c r="G2006">
        <v>1433.3472899999999</v>
      </c>
      <c r="H2006">
        <v>1401.9437256000001</v>
      </c>
      <c r="I2006">
        <v>1258.6950684000001</v>
      </c>
      <c r="J2006">
        <v>1222.6405029</v>
      </c>
      <c r="K2006">
        <v>2400</v>
      </c>
      <c r="L2006">
        <v>0</v>
      </c>
      <c r="M2006">
        <v>0</v>
      </c>
      <c r="N2006">
        <v>2400</v>
      </c>
    </row>
    <row r="2007" spans="1:14" x14ac:dyDescent="0.25">
      <c r="A2007">
        <v>1461.1333830000001</v>
      </c>
      <c r="B2007" s="1">
        <f>DATE(2014,5,1) + TIME(3,12,4)</f>
        <v>41760.133379629631</v>
      </c>
      <c r="C2007">
        <v>80</v>
      </c>
      <c r="D2007">
        <v>66.757888793999996</v>
      </c>
      <c r="E2007">
        <v>50</v>
      </c>
      <c r="F2007">
        <v>49.955749511999997</v>
      </c>
      <c r="G2007">
        <v>1432.9796143000001</v>
      </c>
      <c r="H2007">
        <v>1401.8590088000001</v>
      </c>
      <c r="I2007">
        <v>1258.6959228999999</v>
      </c>
      <c r="J2007">
        <v>1222.6409911999999</v>
      </c>
      <c r="K2007">
        <v>2400</v>
      </c>
      <c r="L2007">
        <v>0</v>
      </c>
      <c r="M2007">
        <v>0</v>
      </c>
      <c r="N2007">
        <v>2400</v>
      </c>
    </row>
    <row r="2008" spans="1:14" x14ac:dyDescent="0.25">
      <c r="A2008">
        <v>1461.1492069999999</v>
      </c>
      <c r="B2008" s="1">
        <f>DATE(2014,5,1) + TIME(3,34,51)</f>
        <v>41760.149201388886</v>
      </c>
      <c r="C2008">
        <v>80</v>
      </c>
      <c r="D2008">
        <v>67.266677856000001</v>
      </c>
      <c r="E2008">
        <v>50</v>
      </c>
      <c r="F2008">
        <v>49.954246521000002</v>
      </c>
      <c r="G2008">
        <v>1432.5722656</v>
      </c>
      <c r="H2008">
        <v>1401.7285156</v>
      </c>
      <c r="I2008">
        <v>1258.7092285000001</v>
      </c>
      <c r="J2008">
        <v>1222.6540527</v>
      </c>
      <c r="K2008">
        <v>2400</v>
      </c>
      <c r="L2008">
        <v>0</v>
      </c>
      <c r="M2008">
        <v>0</v>
      </c>
      <c r="N2008">
        <v>2400</v>
      </c>
    </row>
    <row r="2009" spans="1:14" x14ac:dyDescent="0.25">
      <c r="A2009">
        <v>1461.1655659999999</v>
      </c>
      <c r="B2009" s="1">
        <f>DATE(2014,5,1) + TIME(3,58,24)</f>
        <v>41760.165555555555</v>
      </c>
      <c r="C2009">
        <v>80</v>
      </c>
      <c r="D2009">
        <v>67.771011353000006</v>
      </c>
      <c r="E2009">
        <v>50</v>
      </c>
      <c r="F2009">
        <v>49.952709198000001</v>
      </c>
      <c r="G2009">
        <v>1432.1436768000001</v>
      </c>
      <c r="H2009">
        <v>1401.5706786999999</v>
      </c>
      <c r="I2009">
        <v>1258.7255858999999</v>
      </c>
      <c r="J2009">
        <v>1222.6700439000001</v>
      </c>
      <c r="K2009">
        <v>2400</v>
      </c>
      <c r="L2009">
        <v>0</v>
      </c>
      <c r="M2009">
        <v>0</v>
      </c>
      <c r="N2009">
        <v>2400</v>
      </c>
    </row>
    <row r="2010" spans="1:14" x14ac:dyDescent="0.25">
      <c r="A2010">
        <v>1461.182507</v>
      </c>
      <c r="B2010" s="1">
        <f>DATE(2014,5,1) + TIME(4,22,48)</f>
        <v>41760.182500000003</v>
      </c>
      <c r="C2010">
        <v>80</v>
      </c>
      <c r="D2010">
        <v>68.271049500000004</v>
      </c>
      <c r="E2010">
        <v>50</v>
      </c>
      <c r="F2010">
        <v>49.951129913000003</v>
      </c>
      <c r="G2010">
        <v>1431.7048339999999</v>
      </c>
      <c r="H2010">
        <v>1401.3966064000001</v>
      </c>
      <c r="I2010">
        <v>1258.7404785000001</v>
      </c>
      <c r="J2010">
        <v>1222.6848144999999</v>
      </c>
      <c r="K2010">
        <v>2400</v>
      </c>
      <c r="L2010">
        <v>0</v>
      </c>
      <c r="M2010">
        <v>0</v>
      </c>
      <c r="N2010">
        <v>2400</v>
      </c>
    </row>
    <row r="2011" spans="1:14" x14ac:dyDescent="0.25">
      <c r="A2011">
        <v>1461.2000780000001</v>
      </c>
      <c r="B2011" s="1">
        <f>DATE(2014,5,1) + TIME(4,48,6)</f>
        <v>41760.200069444443</v>
      </c>
      <c r="C2011">
        <v>80</v>
      </c>
      <c r="D2011">
        <v>68.766937256000006</v>
      </c>
      <c r="E2011">
        <v>50</v>
      </c>
      <c r="F2011">
        <v>49.949504851999997</v>
      </c>
      <c r="G2011">
        <v>1431.2620850000001</v>
      </c>
      <c r="H2011">
        <v>1401.2130127</v>
      </c>
      <c r="I2011">
        <v>1258.7525635</v>
      </c>
      <c r="J2011">
        <v>1222.6966553</v>
      </c>
      <c r="K2011">
        <v>2400</v>
      </c>
      <c r="L2011">
        <v>0</v>
      </c>
      <c r="M2011">
        <v>0</v>
      </c>
      <c r="N2011">
        <v>2400</v>
      </c>
    </row>
    <row r="2012" spans="1:14" x14ac:dyDescent="0.25">
      <c r="A2012">
        <v>1461.218335</v>
      </c>
      <c r="B2012" s="1">
        <f>DATE(2014,5,1) + TIME(5,14,24)</f>
        <v>41760.218333333331</v>
      </c>
      <c r="C2012">
        <v>80</v>
      </c>
      <c r="D2012">
        <v>69.258804321</v>
      </c>
      <c r="E2012">
        <v>50</v>
      </c>
      <c r="F2012">
        <v>49.947830199999999</v>
      </c>
      <c r="G2012">
        <v>1430.8195800999999</v>
      </c>
      <c r="H2012">
        <v>1401.0240478999999</v>
      </c>
      <c r="I2012">
        <v>1258.7617187999999</v>
      </c>
      <c r="J2012">
        <v>1222.7056885</v>
      </c>
      <c r="K2012">
        <v>2400</v>
      </c>
      <c r="L2012">
        <v>0</v>
      </c>
      <c r="M2012">
        <v>0</v>
      </c>
      <c r="N2012">
        <v>2400</v>
      </c>
    </row>
    <row r="2013" spans="1:14" x14ac:dyDescent="0.25">
      <c r="A2013">
        <v>1461.237341</v>
      </c>
      <c r="B2013" s="1">
        <f>DATE(2014,5,1) + TIME(5,41,46)</f>
        <v>41760.237337962964</v>
      </c>
      <c r="C2013">
        <v>80</v>
      </c>
      <c r="D2013">
        <v>69.746795653999996</v>
      </c>
      <c r="E2013">
        <v>50</v>
      </c>
      <c r="F2013">
        <v>49.946102142000001</v>
      </c>
      <c r="G2013">
        <v>1430.3792725000001</v>
      </c>
      <c r="H2013">
        <v>1400.8321533000001</v>
      </c>
      <c r="I2013">
        <v>1258.7683105000001</v>
      </c>
      <c r="J2013">
        <v>1222.7119141000001</v>
      </c>
      <c r="K2013">
        <v>2400</v>
      </c>
      <c r="L2013">
        <v>0</v>
      </c>
      <c r="M2013">
        <v>0</v>
      </c>
      <c r="N2013">
        <v>2400</v>
      </c>
    </row>
    <row r="2014" spans="1:14" x14ac:dyDescent="0.25">
      <c r="A2014">
        <v>1461.2571700000001</v>
      </c>
      <c r="B2014" s="1">
        <f>DATE(2014,5,1) + TIME(6,10,19)</f>
        <v>41760.257164351853</v>
      </c>
      <c r="C2014">
        <v>80</v>
      </c>
      <c r="D2014">
        <v>70.230873107999997</v>
      </c>
      <c r="E2014">
        <v>50</v>
      </c>
      <c r="F2014">
        <v>49.944316864000001</v>
      </c>
      <c r="G2014">
        <v>1429.9429932</v>
      </c>
      <c r="H2014">
        <v>1400.6389160000001</v>
      </c>
      <c r="I2014">
        <v>1258.7728271000001</v>
      </c>
      <c r="J2014">
        <v>1222.7161865</v>
      </c>
      <c r="K2014">
        <v>2400</v>
      </c>
      <c r="L2014">
        <v>0</v>
      </c>
      <c r="M2014">
        <v>0</v>
      </c>
      <c r="N2014">
        <v>2400</v>
      </c>
    </row>
    <row r="2015" spans="1:14" x14ac:dyDescent="0.25">
      <c r="A2015">
        <v>1461.277916</v>
      </c>
      <c r="B2015" s="1">
        <f>DATE(2014,5,1) + TIME(6,40,11)</f>
        <v>41760.277905092589</v>
      </c>
      <c r="C2015">
        <v>80</v>
      </c>
      <c r="D2015">
        <v>70.711456299000005</v>
      </c>
      <c r="E2015">
        <v>50</v>
      </c>
      <c r="F2015">
        <v>49.942466736</v>
      </c>
      <c r="G2015">
        <v>1429.5108643000001</v>
      </c>
      <c r="H2015">
        <v>1400.4451904</v>
      </c>
      <c r="I2015">
        <v>1258.7757568</v>
      </c>
      <c r="J2015">
        <v>1222.7188721</v>
      </c>
      <c r="K2015">
        <v>2400</v>
      </c>
      <c r="L2015">
        <v>0</v>
      </c>
      <c r="M2015">
        <v>0</v>
      </c>
      <c r="N2015">
        <v>2400</v>
      </c>
    </row>
    <row r="2016" spans="1:14" x14ac:dyDescent="0.25">
      <c r="A2016">
        <v>1461.299665</v>
      </c>
      <c r="B2016" s="1">
        <f>DATE(2014,5,1) + TIME(7,11,31)</f>
        <v>41760.299664351849</v>
      </c>
      <c r="C2016">
        <v>80</v>
      </c>
      <c r="D2016">
        <v>71.188560486</v>
      </c>
      <c r="E2016">
        <v>50</v>
      </c>
      <c r="F2016">
        <v>49.940544127999999</v>
      </c>
      <c r="G2016">
        <v>1429.0836182</v>
      </c>
      <c r="H2016">
        <v>1400.2517089999999</v>
      </c>
      <c r="I2016">
        <v>1258.7775879000001</v>
      </c>
      <c r="J2016">
        <v>1222.7204589999999</v>
      </c>
      <c r="K2016">
        <v>2400</v>
      </c>
      <c r="L2016">
        <v>0</v>
      </c>
      <c r="M2016">
        <v>0</v>
      </c>
      <c r="N2016">
        <v>2400</v>
      </c>
    </row>
    <row r="2017" spans="1:14" x14ac:dyDescent="0.25">
      <c r="A2017">
        <v>1461.3225259999999</v>
      </c>
      <c r="B2017" s="1">
        <f>DATE(2014,5,1) + TIME(7,44,26)</f>
        <v>41760.322523148148</v>
      </c>
      <c r="C2017">
        <v>80</v>
      </c>
      <c r="D2017">
        <v>71.662284850999995</v>
      </c>
      <c r="E2017">
        <v>50</v>
      </c>
      <c r="F2017">
        <v>49.938541411999999</v>
      </c>
      <c r="G2017">
        <v>1428.6613769999999</v>
      </c>
      <c r="H2017">
        <v>1400.0585937999999</v>
      </c>
      <c r="I2017">
        <v>1258.7785644999999</v>
      </c>
      <c r="J2017">
        <v>1222.7211914</v>
      </c>
      <c r="K2017">
        <v>2400</v>
      </c>
      <c r="L2017">
        <v>0</v>
      </c>
      <c r="M2017">
        <v>0</v>
      </c>
      <c r="N2017">
        <v>2400</v>
      </c>
    </row>
    <row r="2018" spans="1:14" x14ac:dyDescent="0.25">
      <c r="A2018">
        <v>1461.3466269999999</v>
      </c>
      <c r="B2018" s="1">
        <f>DATE(2014,5,1) + TIME(8,19,8)</f>
        <v>41760.346620370372</v>
      </c>
      <c r="C2018">
        <v>80</v>
      </c>
      <c r="D2018">
        <v>72.132728576999995</v>
      </c>
      <c r="E2018">
        <v>50</v>
      </c>
      <c r="F2018">
        <v>49.936454773000001</v>
      </c>
      <c r="G2018">
        <v>1428.2440185999999</v>
      </c>
      <c r="H2018">
        <v>1399.8660889</v>
      </c>
      <c r="I2018">
        <v>1258.7789307</v>
      </c>
      <c r="J2018">
        <v>1222.7211914</v>
      </c>
      <c r="K2018">
        <v>2400</v>
      </c>
      <c r="L2018">
        <v>0</v>
      </c>
      <c r="M2018">
        <v>0</v>
      </c>
      <c r="N2018">
        <v>2400</v>
      </c>
    </row>
    <row r="2019" spans="1:14" x14ac:dyDescent="0.25">
      <c r="A2019">
        <v>1461.37212</v>
      </c>
      <c r="B2019" s="1">
        <f>DATE(2014,5,1) + TIME(8,55,51)</f>
        <v>41760.372118055559</v>
      </c>
      <c r="C2019">
        <v>80</v>
      </c>
      <c r="D2019">
        <v>72.599975585999999</v>
      </c>
      <c r="E2019">
        <v>50</v>
      </c>
      <c r="F2019">
        <v>49.934268951</v>
      </c>
      <c r="G2019">
        <v>1427.8312988</v>
      </c>
      <c r="H2019">
        <v>1399.6739502</v>
      </c>
      <c r="I2019">
        <v>1258.7789307</v>
      </c>
      <c r="J2019">
        <v>1222.7209473</v>
      </c>
      <c r="K2019">
        <v>2400</v>
      </c>
      <c r="L2019">
        <v>0</v>
      </c>
      <c r="M2019">
        <v>0</v>
      </c>
      <c r="N2019">
        <v>2400</v>
      </c>
    </row>
    <row r="2020" spans="1:14" x14ac:dyDescent="0.25">
      <c r="A2020">
        <v>1461.399181</v>
      </c>
      <c r="B2020" s="1">
        <f>DATE(2014,5,1) + TIME(9,34,49)</f>
        <v>41760.399178240739</v>
      </c>
      <c r="C2020">
        <v>80</v>
      </c>
      <c r="D2020">
        <v>73.064048767000003</v>
      </c>
      <c r="E2020">
        <v>50</v>
      </c>
      <c r="F2020">
        <v>49.931976317999997</v>
      </c>
      <c r="G2020">
        <v>1427.4228516000001</v>
      </c>
      <c r="H2020">
        <v>1399.4822998</v>
      </c>
      <c r="I2020">
        <v>1258.7786865</v>
      </c>
      <c r="J2020">
        <v>1222.7203368999999</v>
      </c>
      <c r="K2020">
        <v>2400</v>
      </c>
      <c r="L2020">
        <v>0</v>
      </c>
      <c r="M2020">
        <v>0</v>
      </c>
      <c r="N2020">
        <v>2400</v>
      </c>
    </row>
    <row r="2021" spans="1:14" x14ac:dyDescent="0.25">
      <c r="A2021">
        <v>1461.4280269999999</v>
      </c>
      <c r="B2021" s="1">
        <f>DATE(2014,5,1) + TIME(10,16,21)</f>
        <v>41760.428020833337</v>
      </c>
      <c r="C2021">
        <v>80</v>
      </c>
      <c r="D2021">
        <v>73.525016785000005</v>
      </c>
      <c r="E2021">
        <v>50</v>
      </c>
      <c r="F2021">
        <v>49.929557799999998</v>
      </c>
      <c r="G2021">
        <v>1427.0185547000001</v>
      </c>
      <c r="H2021">
        <v>1399.2907714999999</v>
      </c>
      <c r="I2021">
        <v>1258.7781981999999</v>
      </c>
      <c r="J2021">
        <v>1222.7194824000001</v>
      </c>
      <c r="K2021">
        <v>2400</v>
      </c>
      <c r="L2021">
        <v>0</v>
      </c>
      <c r="M2021">
        <v>0</v>
      </c>
      <c r="N2021">
        <v>2400</v>
      </c>
    </row>
    <row r="2022" spans="1:14" x14ac:dyDescent="0.25">
      <c r="A2022">
        <v>1461.4589189999999</v>
      </c>
      <c r="B2022" s="1">
        <f>DATE(2014,5,1) + TIME(11,0,50)</f>
        <v>41760.458912037036</v>
      </c>
      <c r="C2022">
        <v>80</v>
      </c>
      <c r="D2022">
        <v>73.982971191000004</v>
      </c>
      <c r="E2022">
        <v>50</v>
      </c>
      <c r="F2022">
        <v>49.926998138000002</v>
      </c>
      <c r="G2022">
        <v>1426.6177978999999</v>
      </c>
      <c r="H2022">
        <v>1399.098999</v>
      </c>
      <c r="I2022">
        <v>1258.7775879000001</v>
      </c>
      <c r="J2022">
        <v>1222.7185059000001</v>
      </c>
      <c r="K2022">
        <v>2400</v>
      </c>
      <c r="L2022">
        <v>0</v>
      </c>
      <c r="M2022">
        <v>0</v>
      </c>
      <c r="N2022">
        <v>2400</v>
      </c>
    </row>
    <row r="2023" spans="1:14" x14ac:dyDescent="0.25">
      <c r="A2023">
        <v>1461.49218</v>
      </c>
      <c r="B2023" s="1">
        <f>DATE(2014,5,1) + TIME(11,48,44)</f>
        <v>41760.492175925923</v>
      </c>
      <c r="C2023">
        <v>80</v>
      </c>
      <c r="D2023">
        <v>74.437896729000002</v>
      </c>
      <c r="E2023">
        <v>50</v>
      </c>
      <c r="F2023">
        <v>49.924278258999998</v>
      </c>
      <c r="G2023">
        <v>1426.2200928</v>
      </c>
      <c r="H2023">
        <v>1398.9068603999999</v>
      </c>
      <c r="I2023">
        <v>1258.7767334</v>
      </c>
      <c r="J2023">
        <v>1222.7174072</v>
      </c>
      <c r="K2023">
        <v>2400</v>
      </c>
      <c r="L2023">
        <v>0</v>
      </c>
      <c r="M2023">
        <v>0</v>
      </c>
      <c r="N2023">
        <v>2400</v>
      </c>
    </row>
    <row r="2024" spans="1:14" x14ac:dyDescent="0.25">
      <c r="A2024">
        <v>1461.5282079999999</v>
      </c>
      <c r="B2024" s="1">
        <f>DATE(2014,5,1) + TIME(12,40,37)</f>
        <v>41760.52820601852</v>
      </c>
      <c r="C2024">
        <v>80</v>
      </c>
      <c r="D2024">
        <v>74.889778136999993</v>
      </c>
      <c r="E2024">
        <v>50</v>
      </c>
      <c r="F2024">
        <v>49.921371460000003</v>
      </c>
      <c r="G2024">
        <v>1425.8248291</v>
      </c>
      <c r="H2024">
        <v>1398.7136230000001</v>
      </c>
      <c r="I2024">
        <v>1258.7758789</v>
      </c>
      <c r="J2024">
        <v>1222.7160644999999</v>
      </c>
      <c r="K2024">
        <v>2400</v>
      </c>
      <c r="L2024">
        <v>0</v>
      </c>
      <c r="M2024">
        <v>0</v>
      </c>
      <c r="N2024">
        <v>2400</v>
      </c>
    </row>
    <row r="2025" spans="1:14" x14ac:dyDescent="0.25">
      <c r="A2025">
        <v>1461.567515</v>
      </c>
      <c r="B2025" s="1">
        <f>DATE(2014,5,1) + TIME(13,37,13)</f>
        <v>41760.567511574074</v>
      </c>
      <c r="C2025">
        <v>80</v>
      </c>
      <c r="D2025">
        <v>75.338340759000005</v>
      </c>
      <c r="E2025">
        <v>50</v>
      </c>
      <c r="F2025">
        <v>49.918239593999999</v>
      </c>
      <c r="G2025">
        <v>1425.4315185999999</v>
      </c>
      <c r="H2025">
        <v>1398.519043</v>
      </c>
      <c r="I2025">
        <v>1258.7749022999999</v>
      </c>
      <c r="J2025">
        <v>1222.7145995999999</v>
      </c>
      <c r="K2025">
        <v>2400</v>
      </c>
      <c r="L2025">
        <v>0</v>
      </c>
      <c r="M2025">
        <v>0</v>
      </c>
      <c r="N2025">
        <v>2400</v>
      </c>
    </row>
    <row r="2026" spans="1:14" x14ac:dyDescent="0.25">
      <c r="A2026">
        <v>1461.6107689999999</v>
      </c>
      <c r="B2026" s="1">
        <f>DATE(2014,5,1) + TIME(14,39,30)</f>
        <v>41760.610763888886</v>
      </c>
      <c r="C2026">
        <v>80</v>
      </c>
      <c r="D2026">
        <v>75.783714294000006</v>
      </c>
      <c r="E2026">
        <v>50</v>
      </c>
      <c r="F2026">
        <v>49.914848327999998</v>
      </c>
      <c r="G2026">
        <v>1425.0390625</v>
      </c>
      <c r="H2026">
        <v>1398.3221435999999</v>
      </c>
      <c r="I2026">
        <v>1258.7738036999999</v>
      </c>
      <c r="J2026">
        <v>1222.7130127</v>
      </c>
      <c r="K2026">
        <v>2400</v>
      </c>
      <c r="L2026">
        <v>0</v>
      </c>
      <c r="M2026">
        <v>0</v>
      </c>
      <c r="N2026">
        <v>2400</v>
      </c>
    </row>
    <row r="2027" spans="1:14" x14ac:dyDescent="0.25">
      <c r="A2027">
        <v>1461.6588099999999</v>
      </c>
      <c r="B2027" s="1">
        <f>DATE(2014,5,1) + TIME(15,48,41)</f>
        <v>41760.658807870372</v>
      </c>
      <c r="C2027">
        <v>80</v>
      </c>
      <c r="D2027">
        <v>76.225479125999996</v>
      </c>
      <c r="E2027">
        <v>50</v>
      </c>
      <c r="F2027">
        <v>49.911140441999997</v>
      </c>
      <c r="G2027">
        <v>1424.6467285000001</v>
      </c>
      <c r="H2027">
        <v>1398.1223144999999</v>
      </c>
      <c r="I2027">
        <v>1258.7727050999999</v>
      </c>
      <c r="J2027">
        <v>1222.7113036999999</v>
      </c>
      <c r="K2027">
        <v>2400</v>
      </c>
      <c r="L2027">
        <v>0</v>
      </c>
      <c r="M2027">
        <v>0</v>
      </c>
      <c r="N2027">
        <v>2400</v>
      </c>
    </row>
    <row r="2028" spans="1:14" x14ac:dyDescent="0.25">
      <c r="A2028">
        <v>1461.7127929999999</v>
      </c>
      <c r="B2028" s="1">
        <f>DATE(2014,5,1) + TIME(17,6,25)</f>
        <v>41760.712789351855</v>
      </c>
      <c r="C2028">
        <v>80</v>
      </c>
      <c r="D2028">
        <v>76.663162231000001</v>
      </c>
      <c r="E2028">
        <v>50</v>
      </c>
      <c r="F2028">
        <v>49.907047272</v>
      </c>
      <c r="G2028">
        <v>1424.2536620999999</v>
      </c>
      <c r="H2028">
        <v>1397.9185791</v>
      </c>
      <c r="I2028">
        <v>1258.7712402</v>
      </c>
      <c r="J2028">
        <v>1222.7093506000001</v>
      </c>
      <c r="K2028">
        <v>2400</v>
      </c>
      <c r="L2028">
        <v>0</v>
      </c>
      <c r="M2028">
        <v>0</v>
      </c>
      <c r="N2028">
        <v>2400</v>
      </c>
    </row>
    <row r="2029" spans="1:14" x14ac:dyDescent="0.25">
      <c r="A2029">
        <v>1461.768319</v>
      </c>
      <c r="B2029" s="1">
        <f>DATE(2014,5,1) + TIME(18,26,22)</f>
        <v>41760.768310185187</v>
      </c>
      <c r="C2029">
        <v>80</v>
      </c>
      <c r="D2029">
        <v>77.058906554999993</v>
      </c>
      <c r="E2029">
        <v>50</v>
      </c>
      <c r="F2029">
        <v>49.902873993</v>
      </c>
      <c r="G2029">
        <v>1423.887207</v>
      </c>
      <c r="H2029">
        <v>1397.7224120999999</v>
      </c>
      <c r="I2029">
        <v>1258.7696533000001</v>
      </c>
      <c r="J2029">
        <v>1222.7072754000001</v>
      </c>
      <c r="K2029">
        <v>2400</v>
      </c>
      <c r="L2029">
        <v>0</v>
      </c>
      <c r="M2029">
        <v>0</v>
      </c>
      <c r="N2029">
        <v>2400</v>
      </c>
    </row>
    <row r="2030" spans="1:14" x14ac:dyDescent="0.25">
      <c r="A2030">
        <v>1461.8241780000001</v>
      </c>
      <c r="B2030" s="1">
        <f>DATE(2014,5,1) + TIME(19,46,48)</f>
        <v>41760.824166666665</v>
      </c>
      <c r="C2030">
        <v>80</v>
      </c>
      <c r="D2030">
        <v>77.408714294000006</v>
      </c>
      <c r="E2030">
        <v>50</v>
      </c>
      <c r="F2030">
        <v>49.898696899000001</v>
      </c>
      <c r="G2030">
        <v>1423.5544434000001</v>
      </c>
      <c r="H2030">
        <v>1397.5396728999999</v>
      </c>
      <c r="I2030">
        <v>1258.7680664</v>
      </c>
      <c r="J2030">
        <v>1222.7050781</v>
      </c>
      <c r="K2030">
        <v>2400</v>
      </c>
      <c r="L2030">
        <v>0</v>
      </c>
      <c r="M2030">
        <v>0</v>
      </c>
      <c r="N2030">
        <v>2400</v>
      </c>
    </row>
    <row r="2031" spans="1:14" x14ac:dyDescent="0.25">
      <c r="A2031">
        <v>1461.880707</v>
      </c>
      <c r="B2031" s="1">
        <f>DATE(2014,5,1) + TIME(21,8,13)</f>
        <v>41760.880706018521</v>
      </c>
      <c r="C2031">
        <v>80</v>
      </c>
      <c r="D2031">
        <v>77.719398498999993</v>
      </c>
      <c r="E2031">
        <v>50</v>
      </c>
      <c r="F2031">
        <v>49.894493103000002</v>
      </c>
      <c r="G2031">
        <v>1423.2512207</v>
      </c>
      <c r="H2031">
        <v>1397.369751</v>
      </c>
      <c r="I2031">
        <v>1258.7663574000001</v>
      </c>
      <c r="J2031">
        <v>1222.7028809000001</v>
      </c>
      <c r="K2031">
        <v>2400</v>
      </c>
      <c r="L2031">
        <v>0</v>
      </c>
      <c r="M2031">
        <v>0</v>
      </c>
      <c r="N2031">
        <v>2400</v>
      </c>
    </row>
    <row r="2032" spans="1:14" x14ac:dyDescent="0.25">
      <c r="A2032">
        <v>1461.9381519999999</v>
      </c>
      <c r="B2032" s="1">
        <f>DATE(2014,5,1) + TIME(22,30,56)</f>
        <v>41760.938148148147</v>
      </c>
      <c r="C2032">
        <v>80</v>
      </c>
      <c r="D2032">
        <v>77.996009826999995</v>
      </c>
      <c r="E2032">
        <v>50</v>
      </c>
      <c r="F2032">
        <v>49.890251159999998</v>
      </c>
      <c r="G2032">
        <v>1422.9729004000001</v>
      </c>
      <c r="H2032">
        <v>1397.2104492000001</v>
      </c>
      <c r="I2032">
        <v>1258.7646483999999</v>
      </c>
      <c r="J2032">
        <v>1222.7006836</v>
      </c>
      <c r="K2032">
        <v>2400</v>
      </c>
      <c r="L2032">
        <v>0</v>
      </c>
      <c r="M2032">
        <v>0</v>
      </c>
      <c r="N2032">
        <v>2400</v>
      </c>
    </row>
    <row r="2033" spans="1:14" x14ac:dyDescent="0.25">
      <c r="A2033">
        <v>1461.9967569999999</v>
      </c>
      <c r="B2033" s="1">
        <f>DATE(2014,5,1) + TIME(23,55,19)</f>
        <v>41760.996747685182</v>
      </c>
      <c r="C2033">
        <v>80</v>
      </c>
      <c r="D2033">
        <v>78.242683411000002</v>
      </c>
      <c r="E2033">
        <v>50</v>
      </c>
      <c r="F2033">
        <v>49.885948181000003</v>
      </c>
      <c r="G2033">
        <v>1422.7160644999999</v>
      </c>
      <c r="H2033">
        <v>1397.0601807</v>
      </c>
      <c r="I2033">
        <v>1258.7629394999999</v>
      </c>
      <c r="J2033">
        <v>1222.6983643000001</v>
      </c>
      <c r="K2033">
        <v>2400</v>
      </c>
      <c r="L2033">
        <v>0</v>
      </c>
      <c r="M2033">
        <v>0</v>
      </c>
      <c r="N2033">
        <v>2400</v>
      </c>
    </row>
    <row r="2034" spans="1:14" x14ac:dyDescent="0.25">
      <c r="A2034">
        <v>1462.0567639999999</v>
      </c>
      <c r="B2034" s="1">
        <f>DATE(2014,5,2) + TIME(1,21,44)</f>
        <v>41761.056759259256</v>
      </c>
      <c r="C2034">
        <v>80</v>
      </c>
      <c r="D2034">
        <v>78.462852478000002</v>
      </c>
      <c r="E2034">
        <v>50</v>
      </c>
      <c r="F2034">
        <v>49.881568909000002</v>
      </c>
      <c r="G2034">
        <v>1422.4777832</v>
      </c>
      <c r="H2034">
        <v>1396.9177245999999</v>
      </c>
      <c r="I2034">
        <v>1258.7612305</v>
      </c>
      <c r="J2034">
        <v>1222.6961670000001</v>
      </c>
      <c r="K2034">
        <v>2400</v>
      </c>
      <c r="L2034">
        <v>0</v>
      </c>
      <c r="M2034">
        <v>0</v>
      </c>
      <c r="N2034">
        <v>2400</v>
      </c>
    </row>
    <row r="2035" spans="1:14" x14ac:dyDescent="0.25">
      <c r="A2035">
        <v>1462.118426</v>
      </c>
      <c r="B2035" s="1">
        <f>DATE(2014,5,2) + TIME(2,50,32)</f>
        <v>41761.118425925924</v>
      </c>
      <c r="C2035">
        <v>80</v>
      </c>
      <c r="D2035">
        <v>78.659416199000006</v>
      </c>
      <c r="E2035">
        <v>50</v>
      </c>
      <c r="F2035">
        <v>49.877101897999999</v>
      </c>
      <c r="G2035">
        <v>1422.2554932</v>
      </c>
      <c r="H2035">
        <v>1396.7817382999999</v>
      </c>
      <c r="I2035">
        <v>1258.7593993999999</v>
      </c>
      <c r="J2035">
        <v>1222.6937256000001</v>
      </c>
      <c r="K2035">
        <v>2400</v>
      </c>
      <c r="L2035">
        <v>0</v>
      </c>
      <c r="M2035">
        <v>0</v>
      </c>
      <c r="N2035">
        <v>2400</v>
      </c>
    </row>
    <row r="2036" spans="1:14" x14ac:dyDescent="0.25">
      <c r="A2036">
        <v>1462.1820170000001</v>
      </c>
      <c r="B2036" s="1">
        <f>DATE(2014,5,2) + TIME(4,22,6)</f>
        <v>41761.182013888887</v>
      </c>
      <c r="C2036">
        <v>80</v>
      </c>
      <c r="D2036">
        <v>78.834861755000006</v>
      </c>
      <c r="E2036">
        <v>50</v>
      </c>
      <c r="F2036">
        <v>49.872524261000002</v>
      </c>
      <c r="G2036">
        <v>1422.0471190999999</v>
      </c>
      <c r="H2036">
        <v>1396.6513672000001</v>
      </c>
      <c r="I2036">
        <v>1258.7575684000001</v>
      </c>
      <c r="J2036">
        <v>1222.6912841999999</v>
      </c>
      <c r="K2036">
        <v>2400</v>
      </c>
      <c r="L2036">
        <v>0</v>
      </c>
      <c r="M2036">
        <v>0</v>
      </c>
      <c r="N2036">
        <v>2400</v>
      </c>
    </row>
    <row r="2037" spans="1:14" x14ac:dyDescent="0.25">
      <c r="A2037">
        <v>1462.247852</v>
      </c>
      <c r="B2037" s="1">
        <f>DATE(2014,5,2) + TIME(5,56,54)</f>
        <v>41761.247847222221</v>
      </c>
      <c r="C2037">
        <v>80</v>
      </c>
      <c r="D2037">
        <v>78.991355896000002</v>
      </c>
      <c r="E2037">
        <v>50</v>
      </c>
      <c r="F2037">
        <v>49.867820739999999</v>
      </c>
      <c r="G2037">
        <v>1421.8507079999999</v>
      </c>
      <c r="H2037">
        <v>1396.5256348</v>
      </c>
      <c r="I2037">
        <v>1258.7556152</v>
      </c>
      <c r="J2037">
        <v>1222.6888428</v>
      </c>
      <c r="K2037">
        <v>2400</v>
      </c>
      <c r="L2037">
        <v>0</v>
      </c>
      <c r="M2037">
        <v>0</v>
      </c>
      <c r="N2037">
        <v>2400</v>
      </c>
    </row>
    <row r="2038" spans="1:14" x14ac:dyDescent="0.25">
      <c r="A2038">
        <v>1462.3162150000001</v>
      </c>
      <c r="B2038" s="1">
        <f>DATE(2014,5,2) + TIME(7,35,21)</f>
        <v>41761.31621527778</v>
      </c>
      <c r="C2038">
        <v>80</v>
      </c>
      <c r="D2038">
        <v>79.130645752000007</v>
      </c>
      <c r="E2038">
        <v>50</v>
      </c>
      <c r="F2038">
        <v>49.862968445</v>
      </c>
      <c r="G2038">
        <v>1421.6649170000001</v>
      </c>
      <c r="H2038">
        <v>1396.4038086</v>
      </c>
      <c r="I2038">
        <v>1258.7536620999999</v>
      </c>
      <c r="J2038">
        <v>1222.6861572</v>
      </c>
      <c r="K2038">
        <v>2400</v>
      </c>
      <c r="L2038">
        <v>0</v>
      </c>
      <c r="M2038">
        <v>0</v>
      </c>
      <c r="N2038">
        <v>2400</v>
      </c>
    </row>
    <row r="2039" spans="1:14" x14ac:dyDescent="0.25">
      <c r="A2039">
        <v>1462.3874619999999</v>
      </c>
      <c r="B2039" s="1">
        <f>DATE(2014,5,2) + TIME(9,17,56)</f>
        <v>41761.387453703705</v>
      </c>
      <c r="C2039">
        <v>80</v>
      </c>
      <c r="D2039">
        <v>79.254371642999999</v>
      </c>
      <c r="E2039">
        <v>50</v>
      </c>
      <c r="F2039">
        <v>49.857952118</v>
      </c>
      <c r="G2039">
        <v>1421.4881591999999</v>
      </c>
      <c r="H2039">
        <v>1396.2852783000001</v>
      </c>
      <c r="I2039">
        <v>1258.7515868999999</v>
      </c>
      <c r="J2039">
        <v>1222.6834716999999</v>
      </c>
      <c r="K2039">
        <v>2400</v>
      </c>
      <c r="L2039">
        <v>0</v>
      </c>
      <c r="M2039">
        <v>0</v>
      </c>
      <c r="N2039">
        <v>2400</v>
      </c>
    </row>
    <row r="2040" spans="1:14" x14ac:dyDescent="0.25">
      <c r="A2040">
        <v>1462.461992</v>
      </c>
      <c r="B2040" s="1">
        <f>DATE(2014,5,2) + TIME(11,5,16)</f>
        <v>41761.46199074074</v>
      </c>
      <c r="C2040">
        <v>80</v>
      </c>
      <c r="D2040">
        <v>79.363952636999997</v>
      </c>
      <c r="E2040">
        <v>50</v>
      </c>
      <c r="F2040">
        <v>49.852745056000003</v>
      </c>
      <c r="G2040">
        <v>1421.3193358999999</v>
      </c>
      <c r="H2040">
        <v>1396.1691894999999</v>
      </c>
      <c r="I2040">
        <v>1258.7493896000001</v>
      </c>
      <c r="J2040">
        <v>1222.6806641000001</v>
      </c>
      <c r="K2040">
        <v>2400</v>
      </c>
      <c r="L2040">
        <v>0</v>
      </c>
      <c r="M2040">
        <v>0</v>
      </c>
      <c r="N2040">
        <v>2400</v>
      </c>
    </row>
    <row r="2041" spans="1:14" x14ac:dyDescent="0.25">
      <c r="A2041">
        <v>1462.540268</v>
      </c>
      <c r="B2041" s="1">
        <f>DATE(2014,5,2) + TIME(12,57,59)</f>
        <v>41761.540266203701</v>
      </c>
      <c r="C2041">
        <v>80</v>
      </c>
      <c r="D2041">
        <v>79.460685729999994</v>
      </c>
      <c r="E2041">
        <v>50</v>
      </c>
      <c r="F2041">
        <v>49.847320557000003</v>
      </c>
      <c r="G2041">
        <v>1421.1571045000001</v>
      </c>
      <c r="H2041">
        <v>1396.0551757999999</v>
      </c>
      <c r="I2041">
        <v>1258.7470702999999</v>
      </c>
      <c r="J2041">
        <v>1222.6776123</v>
      </c>
      <c r="K2041">
        <v>2400</v>
      </c>
      <c r="L2041">
        <v>0</v>
      </c>
      <c r="M2041">
        <v>0</v>
      </c>
      <c r="N2041">
        <v>2400</v>
      </c>
    </row>
    <row r="2042" spans="1:14" x14ac:dyDescent="0.25">
      <c r="A2042">
        <v>1462.6228080000001</v>
      </c>
      <c r="B2042" s="1">
        <f>DATE(2014,5,2) + TIME(14,56,50)</f>
        <v>41761.622800925928</v>
      </c>
      <c r="C2042">
        <v>80</v>
      </c>
      <c r="D2042">
        <v>79.545692443999997</v>
      </c>
      <c r="E2042">
        <v>50</v>
      </c>
      <c r="F2042">
        <v>49.841648102000001</v>
      </c>
      <c r="G2042">
        <v>1421.0004882999999</v>
      </c>
      <c r="H2042">
        <v>1395.9425048999999</v>
      </c>
      <c r="I2042">
        <v>1258.744751</v>
      </c>
      <c r="J2042">
        <v>1222.6745605000001</v>
      </c>
      <c r="K2042">
        <v>2400</v>
      </c>
      <c r="L2042">
        <v>0</v>
      </c>
      <c r="M2042">
        <v>0</v>
      </c>
      <c r="N2042">
        <v>2400</v>
      </c>
    </row>
    <row r="2043" spans="1:14" x14ac:dyDescent="0.25">
      <c r="A2043">
        <v>1462.7102609999999</v>
      </c>
      <c r="B2043" s="1">
        <f>DATE(2014,5,2) + TIME(17,2,46)</f>
        <v>41761.71025462963</v>
      </c>
      <c r="C2043">
        <v>80</v>
      </c>
      <c r="D2043">
        <v>79.620040893999999</v>
      </c>
      <c r="E2043">
        <v>50</v>
      </c>
      <c r="F2043">
        <v>49.835689545000001</v>
      </c>
      <c r="G2043">
        <v>1420.8482666</v>
      </c>
      <c r="H2043">
        <v>1395.8304443</v>
      </c>
      <c r="I2043">
        <v>1258.7421875</v>
      </c>
      <c r="J2043">
        <v>1222.6712646000001</v>
      </c>
      <c r="K2043">
        <v>2400</v>
      </c>
      <c r="L2043">
        <v>0</v>
      </c>
      <c r="M2043">
        <v>0</v>
      </c>
      <c r="N2043">
        <v>2400</v>
      </c>
    </row>
    <row r="2044" spans="1:14" x14ac:dyDescent="0.25">
      <c r="A2044">
        <v>1462.8033840000001</v>
      </c>
      <c r="B2044" s="1">
        <f>DATE(2014,5,2) + TIME(19,16,52)</f>
        <v>41761.803379629629</v>
      </c>
      <c r="C2044">
        <v>80</v>
      </c>
      <c r="D2044">
        <v>79.684684752999999</v>
      </c>
      <c r="E2044">
        <v>50</v>
      </c>
      <c r="F2044">
        <v>49.829402924</v>
      </c>
      <c r="G2044">
        <v>1420.6994629000001</v>
      </c>
      <c r="H2044">
        <v>1395.7186279</v>
      </c>
      <c r="I2044">
        <v>1258.7395019999999</v>
      </c>
      <c r="J2044">
        <v>1222.6677245999999</v>
      </c>
      <c r="K2044">
        <v>2400</v>
      </c>
      <c r="L2044">
        <v>0</v>
      </c>
      <c r="M2044">
        <v>0</v>
      </c>
      <c r="N2044">
        <v>2400</v>
      </c>
    </row>
    <row r="2045" spans="1:14" x14ac:dyDescent="0.25">
      <c r="A2045">
        <v>1462.9023930000001</v>
      </c>
      <c r="B2045" s="1">
        <f>DATE(2014,5,2) + TIME(21,39,26)</f>
        <v>41761.902384259258</v>
      </c>
      <c r="C2045">
        <v>80</v>
      </c>
      <c r="D2045">
        <v>79.740188599000007</v>
      </c>
      <c r="E2045">
        <v>50</v>
      </c>
      <c r="F2045">
        <v>49.822776793999999</v>
      </c>
      <c r="G2045">
        <v>1420.5533447</v>
      </c>
      <c r="H2045">
        <v>1395.6063231999999</v>
      </c>
      <c r="I2045">
        <v>1258.7366943</v>
      </c>
      <c r="J2045">
        <v>1222.6640625</v>
      </c>
      <c r="K2045">
        <v>2400</v>
      </c>
      <c r="L2045">
        <v>0</v>
      </c>
      <c r="M2045">
        <v>0</v>
      </c>
      <c r="N2045">
        <v>2400</v>
      </c>
    </row>
    <row r="2046" spans="1:14" x14ac:dyDescent="0.25">
      <c r="A2046">
        <v>1463.007854</v>
      </c>
      <c r="B2046" s="1">
        <f>DATE(2014,5,3) + TIME(0,11,18)</f>
        <v>41762.007847222223</v>
      </c>
      <c r="C2046">
        <v>80</v>
      </c>
      <c r="D2046">
        <v>79.787353515999996</v>
      </c>
      <c r="E2046">
        <v>50</v>
      </c>
      <c r="F2046">
        <v>49.815776825</v>
      </c>
      <c r="G2046">
        <v>1420.409668</v>
      </c>
      <c r="H2046">
        <v>1395.4935303</v>
      </c>
      <c r="I2046">
        <v>1258.7336425999999</v>
      </c>
      <c r="J2046">
        <v>1222.6600341999999</v>
      </c>
      <c r="K2046">
        <v>2400</v>
      </c>
      <c r="L2046">
        <v>0</v>
      </c>
      <c r="M2046">
        <v>0</v>
      </c>
      <c r="N2046">
        <v>2400</v>
      </c>
    </row>
    <row r="2047" spans="1:14" x14ac:dyDescent="0.25">
      <c r="A2047">
        <v>1463.1208220000001</v>
      </c>
      <c r="B2047" s="1">
        <f>DATE(2014,5,3) + TIME(2,53,58)</f>
        <v>41762.120810185188</v>
      </c>
      <c r="C2047">
        <v>80</v>
      </c>
      <c r="D2047">
        <v>79.827117920000006</v>
      </c>
      <c r="E2047">
        <v>50</v>
      </c>
      <c r="F2047">
        <v>49.808349608999997</v>
      </c>
      <c r="G2047">
        <v>1420.2675781</v>
      </c>
      <c r="H2047">
        <v>1395.3801269999999</v>
      </c>
      <c r="I2047">
        <v>1258.7303466999999</v>
      </c>
      <c r="J2047">
        <v>1222.6558838000001</v>
      </c>
      <c r="K2047">
        <v>2400</v>
      </c>
      <c r="L2047">
        <v>0</v>
      </c>
      <c r="M2047">
        <v>0</v>
      </c>
      <c r="N2047">
        <v>2400</v>
      </c>
    </row>
    <row r="2048" spans="1:14" x14ac:dyDescent="0.25">
      <c r="A2048">
        <v>1463.242561</v>
      </c>
      <c r="B2048" s="1">
        <f>DATE(2014,5,3) + TIME(5,49,17)</f>
        <v>41762.24255787037</v>
      </c>
      <c r="C2048">
        <v>80</v>
      </c>
      <c r="D2048">
        <v>79.860313415999997</v>
      </c>
      <c r="E2048">
        <v>50</v>
      </c>
      <c r="F2048">
        <v>49.800422668000003</v>
      </c>
      <c r="G2048">
        <v>1420.1262207</v>
      </c>
      <c r="H2048">
        <v>1395.2651367000001</v>
      </c>
      <c r="I2048">
        <v>1258.7268065999999</v>
      </c>
      <c r="J2048">
        <v>1222.6513672000001</v>
      </c>
      <c r="K2048">
        <v>2400</v>
      </c>
      <c r="L2048">
        <v>0</v>
      </c>
      <c r="M2048">
        <v>0</v>
      </c>
      <c r="N2048">
        <v>2400</v>
      </c>
    </row>
    <row r="2049" spans="1:14" x14ac:dyDescent="0.25">
      <c r="A2049">
        <v>1463.3695339999999</v>
      </c>
      <c r="B2049" s="1">
        <f>DATE(2014,5,3) + TIME(8,52,7)</f>
        <v>41762.369525462964</v>
      </c>
      <c r="C2049">
        <v>80</v>
      </c>
      <c r="D2049">
        <v>79.886901855000005</v>
      </c>
      <c r="E2049">
        <v>50</v>
      </c>
      <c r="F2049">
        <v>49.792171478</v>
      </c>
      <c r="G2049">
        <v>1419.9848632999999</v>
      </c>
      <c r="H2049">
        <v>1395.1481934000001</v>
      </c>
      <c r="I2049">
        <v>1258.7230225000001</v>
      </c>
      <c r="J2049">
        <v>1222.6464844</v>
      </c>
      <c r="K2049">
        <v>2400</v>
      </c>
      <c r="L2049">
        <v>0</v>
      </c>
      <c r="M2049">
        <v>0</v>
      </c>
      <c r="N2049">
        <v>2400</v>
      </c>
    </row>
    <row r="2050" spans="1:14" x14ac:dyDescent="0.25">
      <c r="A2050">
        <v>1463.4968779999999</v>
      </c>
      <c r="B2050" s="1">
        <f>DATE(2014,5,3) + TIME(11,55,30)</f>
        <v>41762.496874999997</v>
      </c>
      <c r="C2050">
        <v>80</v>
      </c>
      <c r="D2050">
        <v>79.907371521000002</v>
      </c>
      <c r="E2050">
        <v>50</v>
      </c>
      <c r="F2050">
        <v>49.783843994000001</v>
      </c>
      <c r="G2050">
        <v>1419.8474120999999</v>
      </c>
      <c r="H2050">
        <v>1395.0329589999999</v>
      </c>
      <c r="I2050">
        <v>1258.7188721</v>
      </c>
      <c r="J2050">
        <v>1222.6414795000001</v>
      </c>
      <c r="K2050">
        <v>2400</v>
      </c>
      <c r="L2050">
        <v>0</v>
      </c>
      <c r="M2050">
        <v>0</v>
      </c>
      <c r="N2050">
        <v>2400</v>
      </c>
    </row>
    <row r="2051" spans="1:14" x14ac:dyDescent="0.25">
      <c r="A2051">
        <v>1463.625243</v>
      </c>
      <c r="B2051" s="1">
        <f>DATE(2014,5,3) + TIME(15,0,20)</f>
        <v>41762.625231481485</v>
      </c>
      <c r="C2051">
        <v>80</v>
      </c>
      <c r="D2051">
        <v>79.923210143999995</v>
      </c>
      <c r="E2051">
        <v>50</v>
      </c>
      <c r="F2051">
        <v>49.775428771999998</v>
      </c>
      <c r="G2051">
        <v>1419.7180175999999</v>
      </c>
      <c r="H2051">
        <v>1394.9232178</v>
      </c>
      <c r="I2051">
        <v>1258.7148437999999</v>
      </c>
      <c r="J2051">
        <v>1222.6363524999999</v>
      </c>
      <c r="K2051">
        <v>2400</v>
      </c>
      <c r="L2051">
        <v>0</v>
      </c>
      <c r="M2051">
        <v>0</v>
      </c>
      <c r="N2051">
        <v>2400</v>
      </c>
    </row>
    <row r="2052" spans="1:14" x14ac:dyDescent="0.25">
      <c r="A2052">
        <v>1463.7552330000001</v>
      </c>
      <c r="B2052" s="1">
        <f>DATE(2014,5,3) + TIME(18,7,32)</f>
        <v>41762.755231481482</v>
      </c>
      <c r="C2052">
        <v>80</v>
      </c>
      <c r="D2052">
        <v>79.935493468999994</v>
      </c>
      <c r="E2052">
        <v>50</v>
      </c>
      <c r="F2052">
        <v>49.766902924</v>
      </c>
      <c r="G2052">
        <v>1419.5949707</v>
      </c>
      <c r="H2052">
        <v>1394.8179932</v>
      </c>
      <c r="I2052">
        <v>1258.7106934000001</v>
      </c>
      <c r="J2052">
        <v>1222.6312256000001</v>
      </c>
      <c r="K2052">
        <v>2400</v>
      </c>
      <c r="L2052">
        <v>0</v>
      </c>
      <c r="M2052">
        <v>0</v>
      </c>
      <c r="N2052">
        <v>2400</v>
      </c>
    </row>
    <row r="2053" spans="1:14" x14ac:dyDescent="0.25">
      <c r="A2053">
        <v>1463.887424</v>
      </c>
      <c r="B2053" s="1">
        <f>DATE(2014,5,3) + TIME(21,17,53)</f>
        <v>41762.887418981481</v>
      </c>
      <c r="C2053">
        <v>80</v>
      </c>
      <c r="D2053">
        <v>79.945030212000006</v>
      </c>
      <c r="E2053">
        <v>50</v>
      </c>
      <c r="F2053">
        <v>49.758255005000002</v>
      </c>
      <c r="G2053">
        <v>1419.4769286999999</v>
      </c>
      <c r="H2053">
        <v>1394.7163086</v>
      </c>
      <c r="I2053">
        <v>1258.706543</v>
      </c>
      <c r="J2053">
        <v>1222.6259766000001</v>
      </c>
      <c r="K2053">
        <v>2400</v>
      </c>
      <c r="L2053">
        <v>0</v>
      </c>
      <c r="M2053">
        <v>0</v>
      </c>
      <c r="N2053">
        <v>2400</v>
      </c>
    </row>
    <row r="2054" spans="1:14" x14ac:dyDescent="0.25">
      <c r="A2054">
        <v>1464.0223900000001</v>
      </c>
      <c r="B2054" s="1">
        <f>DATE(2014,5,4) + TIME(0,32,14)</f>
        <v>41763.02238425926</v>
      </c>
      <c r="C2054">
        <v>80</v>
      </c>
      <c r="D2054">
        <v>79.952445983999993</v>
      </c>
      <c r="E2054">
        <v>50</v>
      </c>
      <c r="F2054">
        <v>49.749454497999999</v>
      </c>
      <c r="G2054">
        <v>1419.3630370999999</v>
      </c>
      <c r="H2054">
        <v>1394.6175536999999</v>
      </c>
      <c r="I2054">
        <v>1258.7023925999999</v>
      </c>
      <c r="J2054">
        <v>1222.6207274999999</v>
      </c>
      <c r="K2054">
        <v>2400</v>
      </c>
      <c r="L2054">
        <v>0</v>
      </c>
      <c r="M2054">
        <v>0</v>
      </c>
      <c r="N2054">
        <v>2400</v>
      </c>
    </row>
    <row r="2055" spans="1:14" x14ac:dyDescent="0.25">
      <c r="A2055">
        <v>1464.160807</v>
      </c>
      <c r="B2055" s="1">
        <f>DATE(2014,5,4) + TIME(3,51,33)</f>
        <v>41763.160798611112</v>
      </c>
      <c r="C2055">
        <v>80</v>
      </c>
      <c r="D2055">
        <v>79.958213806000003</v>
      </c>
      <c r="E2055">
        <v>50</v>
      </c>
      <c r="F2055">
        <v>49.740470885999997</v>
      </c>
      <c r="G2055">
        <v>1419.2524414</v>
      </c>
      <c r="H2055">
        <v>1394.5211182</v>
      </c>
      <c r="I2055">
        <v>1258.6981201000001</v>
      </c>
      <c r="J2055">
        <v>1222.6152344</v>
      </c>
      <c r="K2055">
        <v>2400</v>
      </c>
      <c r="L2055">
        <v>0</v>
      </c>
      <c r="M2055">
        <v>0</v>
      </c>
      <c r="N2055">
        <v>2400</v>
      </c>
    </row>
    <row r="2056" spans="1:14" x14ac:dyDescent="0.25">
      <c r="A2056">
        <v>1464.303212</v>
      </c>
      <c r="B2056" s="1">
        <f>DATE(2014,5,4) + TIME(7,16,37)</f>
        <v>41763.303206018521</v>
      </c>
      <c r="C2056">
        <v>80</v>
      </c>
      <c r="D2056">
        <v>79.962692261000001</v>
      </c>
      <c r="E2056">
        <v>50</v>
      </c>
      <c r="F2056">
        <v>49.731277466000002</v>
      </c>
      <c r="G2056">
        <v>1419.1444091999999</v>
      </c>
      <c r="H2056">
        <v>1394.4263916</v>
      </c>
      <c r="I2056">
        <v>1258.6937256000001</v>
      </c>
      <c r="J2056">
        <v>1222.6097411999999</v>
      </c>
      <c r="K2056">
        <v>2400</v>
      </c>
      <c r="L2056">
        <v>0</v>
      </c>
      <c r="M2056">
        <v>0</v>
      </c>
      <c r="N2056">
        <v>2400</v>
      </c>
    </row>
    <row r="2057" spans="1:14" x14ac:dyDescent="0.25">
      <c r="A2057">
        <v>1464.45028</v>
      </c>
      <c r="B2057" s="1">
        <f>DATE(2014,5,4) + TIME(10,48,24)</f>
        <v>41763.450277777774</v>
      </c>
      <c r="C2057">
        <v>80</v>
      </c>
      <c r="D2057">
        <v>79.966156006000006</v>
      </c>
      <c r="E2057">
        <v>50</v>
      </c>
      <c r="F2057">
        <v>49.721843718999999</v>
      </c>
      <c r="G2057">
        <v>1419.0383300999999</v>
      </c>
      <c r="H2057">
        <v>1394.3331298999999</v>
      </c>
      <c r="I2057">
        <v>1258.6892089999999</v>
      </c>
      <c r="J2057">
        <v>1222.6040039</v>
      </c>
      <c r="K2057">
        <v>2400</v>
      </c>
      <c r="L2057">
        <v>0</v>
      </c>
      <c r="M2057">
        <v>0</v>
      </c>
      <c r="N2057">
        <v>2400</v>
      </c>
    </row>
    <row r="2058" spans="1:14" x14ac:dyDescent="0.25">
      <c r="A2058">
        <v>1464.602756</v>
      </c>
      <c r="B2058" s="1">
        <f>DATE(2014,5,4) + TIME(14,27,58)</f>
        <v>41763.602754629632</v>
      </c>
      <c r="C2058">
        <v>80</v>
      </c>
      <c r="D2058">
        <v>79.968841553000004</v>
      </c>
      <c r="E2058">
        <v>50</v>
      </c>
      <c r="F2058">
        <v>49.712127686000002</v>
      </c>
      <c r="G2058">
        <v>1418.9337158000001</v>
      </c>
      <c r="H2058">
        <v>1394.2407227000001</v>
      </c>
      <c r="I2058">
        <v>1258.6844481999999</v>
      </c>
      <c r="J2058">
        <v>1222.5980225000001</v>
      </c>
      <c r="K2058">
        <v>2400</v>
      </c>
      <c r="L2058">
        <v>0</v>
      </c>
      <c r="M2058">
        <v>0</v>
      </c>
      <c r="N2058">
        <v>2400</v>
      </c>
    </row>
    <row r="2059" spans="1:14" x14ac:dyDescent="0.25">
      <c r="A2059">
        <v>1464.761391</v>
      </c>
      <c r="B2059" s="1">
        <f>DATE(2014,5,4) + TIME(18,16,24)</f>
        <v>41763.761388888888</v>
      </c>
      <c r="C2059">
        <v>80</v>
      </c>
      <c r="D2059">
        <v>79.970909118999998</v>
      </c>
      <c r="E2059">
        <v>50</v>
      </c>
      <c r="F2059">
        <v>49.702091217000003</v>
      </c>
      <c r="G2059">
        <v>1418.8299560999999</v>
      </c>
      <c r="H2059">
        <v>1394.1488036999999</v>
      </c>
      <c r="I2059">
        <v>1258.6795654</v>
      </c>
      <c r="J2059">
        <v>1222.5919189000001</v>
      </c>
      <c r="K2059">
        <v>2400</v>
      </c>
      <c r="L2059">
        <v>0</v>
      </c>
      <c r="M2059">
        <v>0</v>
      </c>
      <c r="N2059">
        <v>2400</v>
      </c>
    </row>
    <row r="2060" spans="1:14" x14ac:dyDescent="0.25">
      <c r="A2060">
        <v>1464.9266359999999</v>
      </c>
      <c r="B2060" s="1">
        <f>DATE(2014,5,4) + TIME(22,14,21)</f>
        <v>41763.926631944443</v>
      </c>
      <c r="C2060">
        <v>80</v>
      </c>
      <c r="D2060">
        <v>79.972496032999999</v>
      </c>
      <c r="E2060">
        <v>50</v>
      </c>
      <c r="F2060">
        <v>49.691711425999998</v>
      </c>
      <c r="G2060">
        <v>1418.7266846</v>
      </c>
      <c r="H2060">
        <v>1394.0570068</v>
      </c>
      <c r="I2060">
        <v>1258.6745605000001</v>
      </c>
      <c r="J2060">
        <v>1222.5854492000001</v>
      </c>
      <c r="K2060">
        <v>2400</v>
      </c>
      <c r="L2060">
        <v>0</v>
      </c>
      <c r="M2060">
        <v>0</v>
      </c>
      <c r="N2060">
        <v>2400</v>
      </c>
    </row>
    <row r="2061" spans="1:14" x14ac:dyDescent="0.25">
      <c r="A2061">
        <v>1465.099485</v>
      </c>
      <c r="B2061" s="1">
        <f>DATE(2014,5,5) + TIME(2,23,15)</f>
        <v>41764.099479166667</v>
      </c>
      <c r="C2061">
        <v>80</v>
      </c>
      <c r="D2061">
        <v>79.973709106000001</v>
      </c>
      <c r="E2061">
        <v>50</v>
      </c>
      <c r="F2061">
        <v>49.680934905999997</v>
      </c>
      <c r="G2061">
        <v>1418.6237793</v>
      </c>
      <c r="H2061">
        <v>1393.965332</v>
      </c>
      <c r="I2061">
        <v>1258.6693115</v>
      </c>
      <c r="J2061">
        <v>1222.5788574000001</v>
      </c>
      <c r="K2061">
        <v>2400</v>
      </c>
      <c r="L2061">
        <v>0</v>
      </c>
      <c r="M2061">
        <v>0</v>
      </c>
      <c r="N2061">
        <v>2400</v>
      </c>
    </row>
    <row r="2062" spans="1:14" x14ac:dyDescent="0.25">
      <c r="A2062">
        <v>1465.2811469999999</v>
      </c>
      <c r="B2062" s="1">
        <f>DATE(2014,5,5) + TIME(6,44,51)</f>
        <v>41764.281145833331</v>
      </c>
      <c r="C2062">
        <v>80</v>
      </c>
      <c r="D2062">
        <v>79.974639893000003</v>
      </c>
      <c r="E2062">
        <v>50</v>
      </c>
      <c r="F2062">
        <v>49.669700622999997</v>
      </c>
      <c r="G2062">
        <v>1418.5206298999999</v>
      </c>
      <c r="H2062">
        <v>1393.8734131000001</v>
      </c>
      <c r="I2062">
        <v>1258.6636963000001</v>
      </c>
      <c r="J2062">
        <v>1222.5717772999999</v>
      </c>
      <c r="K2062">
        <v>2400</v>
      </c>
      <c r="L2062">
        <v>0</v>
      </c>
      <c r="M2062">
        <v>0</v>
      </c>
      <c r="N2062">
        <v>2400</v>
      </c>
    </row>
    <row r="2063" spans="1:14" x14ac:dyDescent="0.25">
      <c r="A2063">
        <v>1465.473031</v>
      </c>
      <c r="B2063" s="1">
        <f>DATE(2014,5,5) + TIME(11,21,9)</f>
        <v>41764.473020833335</v>
      </c>
      <c r="C2063">
        <v>80</v>
      </c>
      <c r="D2063">
        <v>79.975349425999994</v>
      </c>
      <c r="E2063">
        <v>50</v>
      </c>
      <c r="F2063">
        <v>49.657939911</v>
      </c>
      <c r="G2063">
        <v>1418.4169922000001</v>
      </c>
      <c r="H2063">
        <v>1393.7806396000001</v>
      </c>
      <c r="I2063">
        <v>1258.6579589999999</v>
      </c>
      <c r="J2063">
        <v>1222.5644531</v>
      </c>
      <c r="K2063">
        <v>2400</v>
      </c>
      <c r="L2063">
        <v>0</v>
      </c>
      <c r="M2063">
        <v>0</v>
      </c>
      <c r="N2063">
        <v>2400</v>
      </c>
    </row>
    <row r="2064" spans="1:14" x14ac:dyDescent="0.25">
      <c r="A2064">
        <v>1465.676835</v>
      </c>
      <c r="B2064" s="1">
        <f>DATE(2014,5,5) + TIME(16,14,38)</f>
        <v>41764.676828703705</v>
      </c>
      <c r="C2064">
        <v>80</v>
      </c>
      <c r="D2064">
        <v>79.975891113000003</v>
      </c>
      <c r="E2064">
        <v>50</v>
      </c>
      <c r="F2064">
        <v>49.645568848000003</v>
      </c>
      <c r="G2064">
        <v>1418.3122559000001</v>
      </c>
      <c r="H2064">
        <v>1393.6867675999999</v>
      </c>
      <c r="I2064">
        <v>1258.6517334</v>
      </c>
      <c r="J2064">
        <v>1222.5566406</v>
      </c>
      <c r="K2064">
        <v>2400</v>
      </c>
      <c r="L2064">
        <v>0</v>
      </c>
      <c r="M2064">
        <v>0</v>
      </c>
      <c r="N2064">
        <v>2400</v>
      </c>
    </row>
    <row r="2065" spans="1:14" x14ac:dyDescent="0.25">
      <c r="A2065">
        <v>1465.8918100000001</v>
      </c>
      <c r="B2065" s="1">
        <f>DATE(2014,5,5) + TIME(21,24,12)</f>
        <v>41764.891805555555</v>
      </c>
      <c r="C2065">
        <v>80</v>
      </c>
      <c r="D2065">
        <v>79.976303100999999</v>
      </c>
      <c r="E2065">
        <v>50</v>
      </c>
      <c r="F2065">
        <v>49.632598877</v>
      </c>
      <c r="G2065">
        <v>1418.2059326000001</v>
      </c>
      <c r="H2065">
        <v>1393.5911865</v>
      </c>
      <c r="I2065">
        <v>1258.6451416</v>
      </c>
      <c r="J2065">
        <v>1222.5484618999999</v>
      </c>
      <c r="K2065">
        <v>2400</v>
      </c>
      <c r="L2065">
        <v>0</v>
      </c>
      <c r="M2065">
        <v>0</v>
      </c>
      <c r="N2065">
        <v>2400</v>
      </c>
    </row>
    <row r="2066" spans="1:14" x14ac:dyDescent="0.25">
      <c r="A2066">
        <v>1466.115086</v>
      </c>
      <c r="B2066" s="1">
        <f>DATE(2014,5,6) + TIME(2,45,43)</f>
        <v>41765.115081018521</v>
      </c>
      <c r="C2066">
        <v>80</v>
      </c>
      <c r="D2066">
        <v>79.976608275999993</v>
      </c>
      <c r="E2066">
        <v>50</v>
      </c>
      <c r="F2066">
        <v>49.619136810000001</v>
      </c>
      <c r="G2066">
        <v>1418.0986327999999</v>
      </c>
      <c r="H2066">
        <v>1393.494751</v>
      </c>
      <c r="I2066">
        <v>1258.6381836</v>
      </c>
      <c r="J2066">
        <v>1222.5396728999999</v>
      </c>
      <c r="K2066">
        <v>2400</v>
      </c>
      <c r="L2066">
        <v>0</v>
      </c>
      <c r="M2066">
        <v>0</v>
      </c>
      <c r="N2066">
        <v>2400</v>
      </c>
    </row>
    <row r="2067" spans="1:14" x14ac:dyDescent="0.25">
      <c r="A2067">
        <v>1466.3390609999999</v>
      </c>
      <c r="B2067" s="1">
        <f>DATE(2014,5,6) + TIME(8,8,14)</f>
        <v>41765.339050925926</v>
      </c>
      <c r="C2067">
        <v>80</v>
      </c>
      <c r="D2067">
        <v>79.976829529</v>
      </c>
      <c r="E2067">
        <v>50</v>
      </c>
      <c r="F2067">
        <v>49.605503081999998</v>
      </c>
      <c r="G2067">
        <v>1417.9923096</v>
      </c>
      <c r="H2067">
        <v>1393.3988036999999</v>
      </c>
      <c r="I2067">
        <v>1258.6308594</v>
      </c>
      <c r="J2067">
        <v>1222.5307617000001</v>
      </c>
      <c r="K2067">
        <v>2400</v>
      </c>
      <c r="L2067">
        <v>0</v>
      </c>
      <c r="M2067">
        <v>0</v>
      </c>
      <c r="N2067">
        <v>2400</v>
      </c>
    </row>
    <row r="2068" spans="1:14" x14ac:dyDescent="0.25">
      <c r="A2068">
        <v>1466.56485</v>
      </c>
      <c r="B2068" s="1">
        <f>DATE(2014,5,6) + TIME(13,33,23)</f>
        <v>41765.564849537041</v>
      </c>
      <c r="C2068">
        <v>80</v>
      </c>
      <c r="D2068">
        <v>79.976989746000001</v>
      </c>
      <c r="E2068">
        <v>50</v>
      </c>
      <c r="F2068">
        <v>49.591716765999998</v>
      </c>
      <c r="G2068">
        <v>1417.8902588000001</v>
      </c>
      <c r="H2068">
        <v>1393.3067627</v>
      </c>
      <c r="I2068">
        <v>1258.6235352000001</v>
      </c>
      <c r="J2068">
        <v>1222.5216064000001</v>
      </c>
      <c r="K2068">
        <v>2400</v>
      </c>
      <c r="L2068">
        <v>0</v>
      </c>
      <c r="M2068">
        <v>0</v>
      </c>
      <c r="N2068">
        <v>2400</v>
      </c>
    </row>
    <row r="2069" spans="1:14" x14ac:dyDescent="0.25">
      <c r="A2069">
        <v>1466.7935179999999</v>
      </c>
      <c r="B2069" s="1">
        <f>DATE(2014,5,6) + TIME(19,2,39)</f>
        <v>41765.793506944443</v>
      </c>
      <c r="C2069">
        <v>80</v>
      </c>
      <c r="D2069">
        <v>79.977119446000003</v>
      </c>
      <c r="E2069">
        <v>50</v>
      </c>
      <c r="F2069">
        <v>49.577770233000003</v>
      </c>
      <c r="G2069">
        <v>1417.7917480000001</v>
      </c>
      <c r="H2069">
        <v>1393.2176514</v>
      </c>
      <c r="I2069">
        <v>1258.6160889</v>
      </c>
      <c r="J2069">
        <v>1222.5124512</v>
      </c>
      <c r="K2069">
        <v>2400</v>
      </c>
      <c r="L2069">
        <v>0</v>
      </c>
      <c r="M2069">
        <v>0</v>
      </c>
      <c r="N2069">
        <v>2400</v>
      </c>
    </row>
    <row r="2070" spans="1:14" x14ac:dyDescent="0.25">
      <c r="A2070">
        <v>1467.0261869999999</v>
      </c>
      <c r="B2070" s="1">
        <f>DATE(2014,5,7) + TIME(0,37,42)</f>
        <v>41766.026180555556</v>
      </c>
      <c r="C2070">
        <v>80</v>
      </c>
      <c r="D2070">
        <v>79.977210998999993</v>
      </c>
      <c r="E2070">
        <v>50</v>
      </c>
      <c r="F2070">
        <v>49.563632964999996</v>
      </c>
      <c r="G2070">
        <v>1417.6961670000001</v>
      </c>
      <c r="H2070">
        <v>1393.1311035000001</v>
      </c>
      <c r="I2070">
        <v>1258.6086425999999</v>
      </c>
      <c r="J2070">
        <v>1222.5031738</v>
      </c>
      <c r="K2070">
        <v>2400</v>
      </c>
      <c r="L2070">
        <v>0</v>
      </c>
      <c r="M2070">
        <v>0</v>
      </c>
      <c r="N2070">
        <v>2400</v>
      </c>
    </row>
    <row r="2071" spans="1:14" x14ac:dyDescent="0.25">
      <c r="A2071">
        <v>1467.263931</v>
      </c>
      <c r="B2071" s="1">
        <f>DATE(2014,5,7) + TIME(6,20,3)</f>
        <v>41766.263923611114</v>
      </c>
      <c r="C2071">
        <v>80</v>
      </c>
      <c r="D2071">
        <v>79.977287292</v>
      </c>
      <c r="E2071">
        <v>50</v>
      </c>
      <c r="F2071">
        <v>49.549270630000002</v>
      </c>
      <c r="G2071">
        <v>1417.6027832</v>
      </c>
      <c r="H2071">
        <v>1393.0463867000001</v>
      </c>
      <c r="I2071">
        <v>1258.6009521000001</v>
      </c>
      <c r="J2071">
        <v>1222.4936522999999</v>
      </c>
      <c r="K2071">
        <v>2400</v>
      </c>
      <c r="L2071">
        <v>0</v>
      </c>
      <c r="M2071">
        <v>0</v>
      </c>
      <c r="N2071">
        <v>2400</v>
      </c>
    </row>
    <row r="2072" spans="1:14" x14ac:dyDescent="0.25">
      <c r="A2072">
        <v>1467.5077859999999</v>
      </c>
      <c r="B2072" s="1">
        <f>DATE(2014,5,7) + TIME(12,11,12)</f>
        <v>41766.507777777777</v>
      </c>
      <c r="C2072">
        <v>80</v>
      </c>
      <c r="D2072">
        <v>79.977340698000006</v>
      </c>
      <c r="E2072">
        <v>50</v>
      </c>
      <c r="F2072">
        <v>49.534633636000002</v>
      </c>
      <c r="G2072">
        <v>1417.5111084</v>
      </c>
      <c r="H2072">
        <v>1392.9630127</v>
      </c>
      <c r="I2072">
        <v>1258.5932617000001</v>
      </c>
      <c r="J2072">
        <v>1222.4838867000001</v>
      </c>
      <c r="K2072">
        <v>2400</v>
      </c>
      <c r="L2072">
        <v>0</v>
      </c>
      <c r="M2072">
        <v>0</v>
      </c>
      <c r="N2072">
        <v>2400</v>
      </c>
    </row>
    <row r="2073" spans="1:14" x14ac:dyDescent="0.25">
      <c r="A2073">
        <v>1467.7585759999999</v>
      </c>
      <c r="B2073" s="1">
        <f>DATE(2014,5,7) + TIME(18,12,20)</f>
        <v>41766.758564814816</v>
      </c>
      <c r="C2073">
        <v>80</v>
      </c>
      <c r="D2073">
        <v>79.977386475000003</v>
      </c>
      <c r="E2073">
        <v>50</v>
      </c>
      <c r="F2073">
        <v>49.519687652999998</v>
      </c>
      <c r="G2073">
        <v>1417.4206543</v>
      </c>
      <c r="H2073">
        <v>1392.8807373</v>
      </c>
      <c r="I2073">
        <v>1258.5852050999999</v>
      </c>
      <c r="J2073">
        <v>1222.4738769999999</v>
      </c>
      <c r="K2073">
        <v>2400</v>
      </c>
      <c r="L2073">
        <v>0</v>
      </c>
      <c r="M2073">
        <v>0</v>
      </c>
      <c r="N2073">
        <v>2400</v>
      </c>
    </row>
    <row r="2074" spans="1:14" x14ac:dyDescent="0.25">
      <c r="A2074">
        <v>1468.0162989999999</v>
      </c>
      <c r="B2074" s="1">
        <f>DATE(2014,5,8) + TIME(0,23,28)</f>
        <v>41767.016296296293</v>
      </c>
      <c r="C2074">
        <v>80</v>
      </c>
      <c r="D2074">
        <v>79.977424622000001</v>
      </c>
      <c r="E2074">
        <v>50</v>
      </c>
      <c r="F2074">
        <v>49.504417418999999</v>
      </c>
      <c r="G2074">
        <v>1417.3311768000001</v>
      </c>
      <c r="H2074">
        <v>1392.7993164</v>
      </c>
      <c r="I2074">
        <v>1258.5769043</v>
      </c>
      <c r="J2074">
        <v>1222.4636230000001</v>
      </c>
      <c r="K2074">
        <v>2400</v>
      </c>
      <c r="L2074">
        <v>0</v>
      </c>
      <c r="M2074">
        <v>0</v>
      </c>
      <c r="N2074">
        <v>2400</v>
      </c>
    </row>
    <row r="2075" spans="1:14" x14ac:dyDescent="0.25">
      <c r="A2075">
        <v>1468.282222</v>
      </c>
      <c r="B2075" s="1">
        <f>DATE(2014,5,8) + TIME(6,46,23)</f>
        <v>41767.282210648147</v>
      </c>
      <c r="C2075">
        <v>80</v>
      </c>
      <c r="D2075">
        <v>79.977447510000005</v>
      </c>
      <c r="E2075">
        <v>50</v>
      </c>
      <c r="F2075">
        <v>49.488769531000003</v>
      </c>
      <c r="G2075">
        <v>1417.2426757999999</v>
      </c>
      <c r="H2075">
        <v>1392.7186279</v>
      </c>
      <c r="I2075">
        <v>1258.5684814000001</v>
      </c>
      <c r="J2075">
        <v>1222.4530029</v>
      </c>
      <c r="K2075">
        <v>2400</v>
      </c>
      <c r="L2075">
        <v>0</v>
      </c>
      <c r="M2075">
        <v>0</v>
      </c>
      <c r="N2075">
        <v>2400</v>
      </c>
    </row>
    <row r="2076" spans="1:14" x14ac:dyDescent="0.25">
      <c r="A2076">
        <v>1468.5577249999999</v>
      </c>
      <c r="B2076" s="1">
        <f>DATE(2014,5,8) + TIME(13,23,7)</f>
        <v>41767.557719907411</v>
      </c>
      <c r="C2076">
        <v>80</v>
      </c>
      <c r="D2076">
        <v>79.977470397999994</v>
      </c>
      <c r="E2076">
        <v>50</v>
      </c>
      <c r="F2076">
        <v>49.472686768000003</v>
      </c>
      <c r="G2076">
        <v>1417.1547852000001</v>
      </c>
      <c r="H2076">
        <v>1392.6383057</v>
      </c>
      <c r="I2076">
        <v>1258.5596923999999</v>
      </c>
      <c r="J2076">
        <v>1222.4420166</v>
      </c>
      <c r="K2076">
        <v>2400</v>
      </c>
      <c r="L2076">
        <v>0</v>
      </c>
      <c r="M2076">
        <v>0</v>
      </c>
      <c r="N2076">
        <v>2400</v>
      </c>
    </row>
    <row r="2077" spans="1:14" x14ac:dyDescent="0.25">
      <c r="A2077">
        <v>1468.844347</v>
      </c>
      <c r="B2077" s="1">
        <f>DATE(2014,5,8) + TIME(20,15,51)</f>
        <v>41767.844340277778</v>
      </c>
      <c r="C2077">
        <v>80</v>
      </c>
      <c r="D2077">
        <v>79.977485657000003</v>
      </c>
      <c r="E2077">
        <v>50</v>
      </c>
      <c r="F2077">
        <v>49.456092834000003</v>
      </c>
      <c r="G2077">
        <v>1417.0670166</v>
      </c>
      <c r="H2077">
        <v>1392.5581055</v>
      </c>
      <c r="I2077">
        <v>1258.5505370999999</v>
      </c>
      <c r="J2077">
        <v>1222.4306641000001</v>
      </c>
      <c r="K2077">
        <v>2400</v>
      </c>
      <c r="L2077">
        <v>0</v>
      </c>
      <c r="M2077">
        <v>0</v>
      </c>
      <c r="N2077">
        <v>2400</v>
      </c>
    </row>
    <row r="2078" spans="1:14" x14ac:dyDescent="0.25">
      <c r="A2078">
        <v>1469.1438800000001</v>
      </c>
      <c r="B2078" s="1">
        <f>DATE(2014,5,9) + TIME(3,27,11)</f>
        <v>41768.143877314818</v>
      </c>
      <c r="C2078">
        <v>80</v>
      </c>
      <c r="D2078">
        <v>79.977500915999997</v>
      </c>
      <c r="E2078">
        <v>50</v>
      </c>
      <c r="F2078">
        <v>49.438903809000003</v>
      </c>
      <c r="G2078">
        <v>1416.979126</v>
      </c>
      <c r="H2078">
        <v>1392.4776611</v>
      </c>
      <c r="I2078">
        <v>1258.5410156</v>
      </c>
      <c r="J2078">
        <v>1222.4188231999999</v>
      </c>
      <c r="K2078">
        <v>2400</v>
      </c>
      <c r="L2078">
        <v>0</v>
      </c>
      <c r="M2078">
        <v>0</v>
      </c>
      <c r="N2078">
        <v>2400</v>
      </c>
    </row>
    <row r="2079" spans="1:14" x14ac:dyDescent="0.25">
      <c r="A2079">
        <v>1469.458482</v>
      </c>
      <c r="B2079" s="1">
        <f>DATE(2014,5,9) + TIME(11,0,12)</f>
        <v>41768.458472222221</v>
      </c>
      <c r="C2079">
        <v>80</v>
      </c>
      <c r="D2079">
        <v>79.977516174000002</v>
      </c>
      <c r="E2079">
        <v>50</v>
      </c>
      <c r="F2079">
        <v>49.421024322999997</v>
      </c>
      <c r="G2079">
        <v>1416.8907471</v>
      </c>
      <c r="H2079">
        <v>1392.3967285000001</v>
      </c>
      <c r="I2079">
        <v>1258.5310059000001</v>
      </c>
      <c r="J2079">
        <v>1222.4063721</v>
      </c>
      <c r="K2079">
        <v>2400</v>
      </c>
      <c r="L2079">
        <v>0</v>
      </c>
      <c r="M2079">
        <v>0</v>
      </c>
      <c r="N2079">
        <v>2400</v>
      </c>
    </row>
    <row r="2080" spans="1:14" x14ac:dyDescent="0.25">
      <c r="A2080">
        <v>1469.785707</v>
      </c>
      <c r="B2080" s="1">
        <f>DATE(2014,5,9) + TIME(18,51,25)</f>
        <v>41768.78570601852</v>
      </c>
      <c r="C2080">
        <v>80</v>
      </c>
      <c r="D2080">
        <v>79.977523804</v>
      </c>
      <c r="E2080">
        <v>50</v>
      </c>
      <c r="F2080">
        <v>49.402496337999999</v>
      </c>
      <c r="G2080">
        <v>1416.8012695</v>
      </c>
      <c r="H2080">
        <v>1392.3145752</v>
      </c>
      <c r="I2080">
        <v>1258.5205077999999</v>
      </c>
      <c r="J2080">
        <v>1222.3933105000001</v>
      </c>
      <c r="K2080">
        <v>2400</v>
      </c>
      <c r="L2080">
        <v>0</v>
      </c>
      <c r="M2080">
        <v>0</v>
      </c>
      <c r="N2080">
        <v>2400</v>
      </c>
    </row>
    <row r="2081" spans="1:14" x14ac:dyDescent="0.25">
      <c r="A2081">
        <v>1470.1138249999999</v>
      </c>
      <c r="B2081" s="1">
        <f>DATE(2014,5,10) + TIME(2,43,54)</f>
        <v>41769.113819444443</v>
      </c>
      <c r="C2081">
        <v>80</v>
      </c>
      <c r="D2081">
        <v>79.977531432999996</v>
      </c>
      <c r="E2081">
        <v>50</v>
      </c>
      <c r="F2081">
        <v>49.383705139</v>
      </c>
      <c r="G2081">
        <v>1416.7117920000001</v>
      </c>
      <c r="H2081">
        <v>1392.2324219</v>
      </c>
      <c r="I2081">
        <v>1258.5093993999999</v>
      </c>
      <c r="J2081">
        <v>1222.3797606999999</v>
      </c>
      <c r="K2081">
        <v>2400</v>
      </c>
      <c r="L2081">
        <v>0</v>
      </c>
      <c r="M2081">
        <v>0</v>
      </c>
      <c r="N2081">
        <v>2400</v>
      </c>
    </row>
    <row r="2082" spans="1:14" x14ac:dyDescent="0.25">
      <c r="A2082">
        <v>1470.4443819999999</v>
      </c>
      <c r="B2082" s="1">
        <f>DATE(2014,5,10) + TIME(10,39,54)</f>
        <v>41769.444374999999</v>
      </c>
      <c r="C2082">
        <v>80</v>
      </c>
      <c r="D2082">
        <v>79.977531432999996</v>
      </c>
      <c r="E2082">
        <v>50</v>
      </c>
      <c r="F2082">
        <v>49.364730835000003</v>
      </c>
      <c r="G2082">
        <v>1416.6253661999999</v>
      </c>
      <c r="H2082">
        <v>1392.1529541</v>
      </c>
      <c r="I2082">
        <v>1258.4982910000001</v>
      </c>
      <c r="J2082">
        <v>1222.3660889</v>
      </c>
      <c r="K2082">
        <v>2400</v>
      </c>
      <c r="L2082">
        <v>0</v>
      </c>
      <c r="M2082">
        <v>0</v>
      </c>
      <c r="N2082">
        <v>2400</v>
      </c>
    </row>
    <row r="2083" spans="1:14" x14ac:dyDescent="0.25">
      <c r="A2083">
        <v>1470.7788880000001</v>
      </c>
      <c r="B2083" s="1">
        <f>DATE(2014,5,10) + TIME(18,41,35)</f>
        <v>41769.778877314813</v>
      </c>
      <c r="C2083">
        <v>80</v>
      </c>
      <c r="D2083">
        <v>79.977539062000005</v>
      </c>
      <c r="E2083">
        <v>50</v>
      </c>
      <c r="F2083">
        <v>49.345584869</v>
      </c>
      <c r="G2083">
        <v>1416.5413818</v>
      </c>
      <c r="H2083">
        <v>1392.0756836</v>
      </c>
      <c r="I2083">
        <v>1258.4870605000001</v>
      </c>
      <c r="J2083">
        <v>1222.3521728999999</v>
      </c>
      <c r="K2083">
        <v>2400</v>
      </c>
      <c r="L2083">
        <v>0</v>
      </c>
      <c r="M2083">
        <v>0</v>
      </c>
      <c r="N2083">
        <v>2400</v>
      </c>
    </row>
    <row r="2084" spans="1:14" x14ac:dyDescent="0.25">
      <c r="A2084">
        <v>1471.119072</v>
      </c>
      <c r="B2084" s="1">
        <f>DATE(2014,5,11) + TIME(2,51,27)</f>
        <v>41770.119062500002</v>
      </c>
      <c r="C2084">
        <v>80</v>
      </c>
      <c r="D2084">
        <v>79.977539062000005</v>
      </c>
      <c r="E2084">
        <v>50</v>
      </c>
      <c r="F2084">
        <v>49.326221466</v>
      </c>
      <c r="G2084">
        <v>1416.4594727000001</v>
      </c>
      <c r="H2084">
        <v>1392.0001221</v>
      </c>
      <c r="I2084">
        <v>1258.4758300999999</v>
      </c>
      <c r="J2084">
        <v>1222.3381348</v>
      </c>
      <c r="K2084">
        <v>2400</v>
      </c>
      <c r="L2084">
        <v>0</v>
      </c>
      <c r="M2084">
        <v>0</v>
      </c>
      <c r="N2084">
        <v>2400</v>
      </c>
    </row>
    <row r="2085" spans="1:14" x14ac:dyDescent="0.25">
      <c r="A2085">
        <v>1471.466287</v>
      </c>
      <c r="B2085" s="1">
        <f>DATE(2014,5,11) + TIME(11,11,27)</f>
        <v>41770.466284722221</v>
      </c>
      <c r="C2085">
        <v>80</v>
      </c>
      <c r="D2085">
        <v>79.977546692000004</v>
      </c>
      <c r="E2085">
        <v>50</v>
      </c>
      <c r="F2085">
        <v>49.306598663000003</v>
      </c>
      <c r="G2085">
        <v>1416.3790283000001</v>
      </c>
      <c r="H2085">
        <v>1391.9259033000001</v>
      </c>
      <c r="I2085">
        <v>1258.4642334</v>
      </c>
      <c r="J2085">
        <v>1222.3237305</v>
      </c>
      <c r="K2085">
        <v>2400</v>
      </c>
      <c r="L2085">
        <v>0</v>
      </c>
      <c r="M2085">
        <v>0</v>
      </c>
      <c r="N2085">
        <v>2400</v>
      </c>
    </row>
    <row r="2086" spans="1:14" x14ac:dyDescent="0.25">
      <c r="A2086">
        <v>1471.8221530000001</v>
      </c>
      <c r="B2086" s="1">
        <f>DATE(2014,5,11) + TIME(19,43,54)</f>
        <v>41770.822152777779</v>
      </c>
      <c r="C2086">
        <v>80</v>
      </c>
      <c r="D2086">
        <v>79.977546692000004</v>
      </c>
      <c r="E2086">
        <v>50</v>
      </c>
      <c r="F2086">
        <v>49.286647797000001</v>
      </c>
      <c r="G2086">
        <v>1416.2996826000001</v>
      </c>
      <c r="H2086">
        <v>1391.8526611</v>
      </c>
      <c r="I2086">
        <v>1258.4523925999999</v>
      </c>
      <c r="J2086">
        <v>1222.309082</v>
      </c>
      <c r="K2086">
        <v>2400</v>
      </c>
      <c r="L2086">
        <v>0</v>
      </c>
      <c r="M2086">
        <v>0</v>
      </c>
      <c r="N2086">
        <v>2400</v>
      </c>
    </row>
    <row r="2087" spans="1:14" x14ac:dyDescent="0.25">
      <c r="A2087">
        <v>1472.188427</v>
      </c>
      <c r="B2087" s="1">
        <f>DATE(2014,5,12) + TIME(4,31,20)</f>
        <v>41771.188425925924</v>
      </c>
      <c r="C2087">
        <v>80</v>
      </c>
      <c r="D2087">
        <v>79.977546692000004</v>
      </c>
      <c r="E2087">
        <v>50</v>
      </c>
      <c r="F2087">
        <v>49.266292571999998</v>
      </c>
      <c r="G2087">
        <v>1416.2210693</v>
      </c>
      <c r="H2087">
        <v>1391.7800293</v>
      </c>
      <c r="I2087">
        <v>1258.4401855000001</v>
      </c>
      <c r="J2087">
        <v>1222.2939452999999</v>
      </c>
      <c r="K2087">
        <v>2400</v>
      </c>
      <c r="L2087">
        <v>0</v>
      </c>
      <c r="M2087">
        <v>0</v>
      </c>
      <c r="N2087">
        <v>2400</v>
      </c>
    </row>
    <row r="2088" spans="1:14" x14ac:dyDescent="0.25">
      <c r="A2088">
        <v>1472.5654959999999</v>
      </c>
      <c r="B2088" s="1">
        <f>DATE(2014,5,12) + TIME(13,34,18)</f>
        <v>41771.565486111111</v>
      </c>
      <c r="C2088">
        <v>80</v>
      </c>
      <c r="D2088">
        <v>79.977546692000004</v>
      </c>
      <c r="E2088">
        <v>50</v>
      </c>
      <c r="F2088">
        <v>49.245483397999998</v>
      </c>
      <c r="G2088">
        <v>1416.1428223</v>
      </c>
      <c r="H2088">
        <v>1391.7076416</v>
      </c>
      <c r="I2088">
        <v>1258.4276123</v>
      </c>
      <c r="J2088">
        <v>1222.2784423999999</v>
      </c>
      <c r="K2088">
        <v>2400</v>
      </c>
      <c r="L2088">
        <v>0</v>
      </c>
      <c r="M2088">
        <v>0</v>
      </c>
      <c r="N2088">
        <v>2400</v>
      </c>
    </row>
    <row r="2089" spans="1:14" x14ac:dyDescent="0.25">
      <c r="A2089">
        <v>1472.953602</v>
      </c>
      <c r="B2089" s="1">
        <f>DATE(2014,5,12) + TIME(22,53,11)</f>
        <v>41771.953599537039</v>
      </c>
      <c r="C2089">
        <v>80</v>
      </c>
      <c r="D2089">
        <v>79.977554321</v>
      </c>
      <c r="E2089">
        <v>50</v>
      </c>
      <c r="F2089">
        <v>49.224201202000003</v>
      </c>
      <c r="G2089">
        <v>1416.0648193</v>
      </c>
      <c r="H2089">
        <v>1391.6354980000001</v>
      </c>
      <c r="I2089">
        <v>1258.4145507999999</v>
      </c>
      <c r="J2089">
        <v>1222.2623291</v>
      </c>
      <c r="K2089">
        <v>2400</v>
      </c>
      <c r="L2089">
        <v>0</v>
      </c>
      <c r="M2089">
        <v>0</v>
      </c>
      <c r="N2089">
        <v>2400</v>
      </c>
    </row>
    <row r="2090" spans="1:14" x14ac:dyDescent="0.25">
      <c r="A2090">
        <v>1473.3547920000001</v>
      </c>
      <c r="B2090" s="1">
        <f>DATE(2014,5,13) + TIME(8,30,54)</f>
        <v>41772.354791666665</v>
      </c>
      <c r="C2090">
        <v>80</v>
      </c>
      <c r="D2090">
        <v>79.977554321</v>
      </c>
      <c r="E2090">
        <v>50</v>
      </c>
      <c r="F2090">
        <v>49.202369689999998</v>
      </c>
      <c r="G2090">
        <v>1415.9873047000001</v>
      </c>
      <c r="H2090">
        <v>1391.5635986</v>
      </c>
      <c r="I2090">
        <v>1258.4011230000001</v>
      </c>
      <c r="J2090">
        <v>1222.2456055</v>
      </c>
      <c r="K2090">
        <v>2400</v>
      </c>
      <c r="L2090">
        <v>0</v>
      </c>
      <c r="M2090">
        <v>0</v>
      </c>
      <c r="N2090">
        <v>2400</v>
      </c>
    </row>
    <row r="2091" spans="1:14" x14ac:dyDescent="0.25">
      <c r="A2091">
        <v>1473.7712750000001</v>
      </c>
      <c r="B2091" s="1">
        <f>DATE(2014,5,13) + TIME(18,30,38)</f>
        <v>41772.771273148152</v>
      </c>
      <c r="C2091">
        <v>80</v>
      </c>
      <c r="D2091">
        <v>79.977554321</v>
      </c>
      <c r="E2091">
        <v>50</v>
      </c>
      <c r="F2091">
        <v>49.179901123</v>
      </c>
      <c r="G2091">
        <v>1415.909668</v>
      </c>
      <c r="H2091">
        <v>1391.4915771000001</v>
      </c>
      <c r="I2091">
        <v>1258.387207</v>
      </c>
      <c r="J2091">
        <v>1222.2283935999999</v>
      </c>
      <c r="K2091">
        <v>2400</v>
      </c>
      <c r="L2091">
        <v>0</v>
      </c>
      <c r="M2091">
        <v>0</v>
      </c>
      <c r="N2091">
        <v>2400</v>
      </c>
    </row>
    <row r="2092" spans="1:14" x14ac:dyDescent="0.25">
      <c r="A2092">
        <v>1474.2056709999999</v>
      </c>
      <c r="B2092" s="1">
        <f>DATE(2014,5,14) + TIME(4,56,9)</f>
        <v>41773.205659722225</v>
      </c>
      <c r="C2092">
        <v>80</v>
      </c>
      <c r="D2092">
        <v>79.977561950999998</v>
      </c>
      <c r="E2092">
        <v>50</v>
      </c>
      <c r="F2092">
        <v>49.156688690000003</v>
      </c>
      <c r="G2092">
        <v>1415.8317870999999</v>
      </c>
      <c r="H2092">
        <v>1391.4191894999999</v>
      </c>
      <c r="I2092">
        <v>1258.3726807</v>
      </c>
      <c r="J2092">
        <v>1222.2103271000001</v>
      </c>
      <c r="K2092">
        <v>2400</v>
      </c>
      <c r="L2092">
        <v>0</v>
      </c>
      <c r="M2092">
        <v>0</v>
      </c>
      <c r="N2092">
        <v>2400</v>
      </c>
    </row>
    <row r="2093" spans="1:14" x14ac:dyDescent="0.25">
      <c r="A2093">
        <v>1474.6603299999999</v>
      </c>
      <c r="B2093" s="1">
        <f>DATE(2014,5,14) + TIME(15,50,52)</f>
        <v>41773.660324074073</v>
      </c>
      <c r="C2093">
        <v>80</v>
      </c>
      <c r="D2093">
        <v>79.977561950999998</v>
      </c>
      <c r="E2093">
        <v>50</v>
      </c>
      <c r="F2093">
        <v>49.132617949999997</v>
      </c>
      <c r="G2093">
        <v>1415.7531738</v>
      </c>
      <c r="H2093">
        <v>1391.3461914</v>
      </c>
      <c r="I2093">
        <v>1258.3574219</v>
      </c>
      <c r="J2093">
        <v>1222.1914062000001</v>
      </c>
      <c r="K2093">
        <v>2400</v>
      </c>
      <c r="L2093">
        <v>0</v>
      </c>
      <c r="M2093">
        <v>0</v>
      </c>
      <c r="N2093">
        <v>2400</v>
      </c>
    </row>
    <row r="2094" spans="1:14" x14ac:dyDescent="0.25">
      <c r="A2094">
        <v>1475.116221</v>
      </c>
      <c r="B2094" s="1">
        <f>DATE(2014,5,15) + TIME(2,47,21)</f>
        <v>41774.116215277776</v>
      </c>
      <c r="C2094">
        <v>80</v>
      </c>
      <c r="D2094">
        <v>79.977561950999998</v>
      </c>
      <c r="E2094">
        <v>50</v>
      </c>
      <c r="F2094">
        <v>49.108139037999997</v>
      </c>
      <c r="G2094">
        <v>1415.6735839999999</v>
      </c>
      <c r="H2094">
        <v>1391.2722168</v>
      </c>
      <c r="I2094">
        <v>1258.3413086</v>
      </c>
      <c r="J2094">
        <v>1222.1717529</v>
      </c>
      <c r="K2094">
        <v>2400</v>
      </c>
      <c r="L2094">
        <v>0</v>
      </c>
      <c r="M2094">
        <v>0</v>
      </c>
      <c r="N2094">
        <v>2400</v>
      </c>
    </row>
    <row r="2095" spans="1:14" x14ac:dyDescent="0.25">
      <c r="A2095">
        <v>1475.5755039999999</v>
      </c>
      <c r="B2095" s="1">
        <f>DATE(2014,5,15) + TIME(13,48,43)</f>
        <v>41774.575497685182</v>
      </c>
      <c r="C2095">
        <v>80</v>
      </c>
      <c r="D2095">
        <v>79.977569579999994</v>
      </c>
      <c r="E2095">
        <v>50</v>
      </c>
      <c r="F2095">
        <v>49.083427428999997</v>
      </c>
      <c r="G2095">
        <v>1415.5963135</v>
      </c>
      <c r="H2095">
        <v>1391.2004394999999</v>
      </c>
      <c r="I2095">
        <v>1258.3250731999999</v>
      </c>
      <c r="J2095">
        <v>1222.1517334</v>
      </c>
      <c r="K2095">
        <v>2400</v>
      </c>
      <c r="L2095">
        <v>0</v>
      </c>
      <c r="M2095">
        <v>0</v>
      </c>
      <c r="N2095">
        <v>2400</v>
      </c>
    </row>
    <row r="2096" spans="1:14" x14ac:dyDescent="0.25">
      <c r="A2096">
        <v>1476.0404980000001</v>
      </c>
      <c r="B2096" s="1">
        <f>DATE(2014,5,16) + TIME(0,58,19)</f>
        <v>41775.040497685186</v>
      </c>
      <c r="C2096">
        <v>80</v>
      </c>
      <c r="D2096">
        <v>79.977569579999994</v>
      </c>
      <c r="E2096">
        <v>50</v>
      </c>
      <c r="F2096">
        <v>49.058521270999996</v>
      </c>
      <c r="G2096">
        <v>1415.5211182</v>
      </c>
      <c r="H2096">
        <v>1391.130249</v>
      </c>
      <c r="I2096">
        <v>1258.3087158000001</v>
      </c>
      <c r="J2096">
        <v>1222.1314697</v>
      </c>
      <c r="K2096">
        <v>2400</v>
      </c>
      <c r="L2096">
        <v>0</v>
      </c>
      <c r="M2096">
        <v>0</v>
      </c>
      <c r="N2096">
        <v>2400</v>
      </c>
    </row>
    <row r="2097" spans="1:14" x14ac:dyDescent="0.25">
      <c r="A2097">
        <v>1476.513316</v>
      </c>
      <c r="B2097" s="1">
        <f>DATE(2014,5,16) + TIME(12,19,10)</f>
        <v>41775.513310185182</v>
      </c>
      <c r="C2097">
        <v>80</v>
      </c>
      <c r="D2097">
        <v>79.977577209000003</v>
      </c>
      <c r="E2097">
        <v>50</v>
      </c>
      <c r="F2097">
        <v>49.033370972</v>
      </c>
      <c r="G2097">
        <v>1415.4472656</v>
      </c>
      <c r="H2097">
        <v>1391.0615233999999</v>
      </c>
      <c r="I2097">
        <v>1258.2919922000001</v>
      </c>
      <c r="J2097">
        <v>1222.1108397999999</v>
      </c>
      <c r="K2097">
        <v>2400</v>
      </c>
      <c r="L2097">
        <v>0</v>
      </c>
      <c r="M2097">
        <v>0</v>
      </c>
      <c r="N2097">
        <v>2400</v>
      </c>
    </row>
    <row r="2098" spans="1:14" x14ac:dyDescent="0.25">
      <c r="A2098">
        <v>1476.9960510000001</v>
      </c>
      <c r="B2098" s="1">
        <f>DATE(2014,5,16) + TIME(23,54,18)</f>
        <v>41775.996041666665</v>
      </c>
      <c r="C2098">
        <v>80</v>
      </c>
      <c r="D2098">
        <v>79.977577209000003</v>
      </c>
      <c r="E2098">
        <v>50</v>
      </c>
      <c r="F2098">
        <v>49.007907867</v>
      </c>
      <c r="G2098">
        <v>1415.3745117000001</v>
      </c>
      <c r="H2098">
        <v>1390.9936522999999</v>
      </c>
      <c r="I2098">
        <v>1258.2750243999999</v>
      </c>
      <c r="J2098">
        <v>1222.0897216999999</v>
      </c>
      <c r="K2098">
        <v>2400</v>
      </c>
      <c r="L2098">
        <v>0</v>
      </c>
      <c r="M2098">
        <v>0</v>
      </c>
      <c r="N2098">
        <v>2400</v>
      </c>
    </row>
    <row r="2099" spans="1:14" x14ac:dyDescent="0.25">
      <c r="A2099">
        <v>1477.491059</v>
      </c>
      <c r="B2099" s="1">
        <f>DATE(2014,5,17) + TIME(11,47,7)</f>
        <v>41776.491053240738</v>
      </c>
      <c r="C2099">
        <v>80</v>
      </c>
      <c r="D2099">
        <v>79.977584839000002</v>
      </c>
      <c r="E2099">
        <v>50</v>
      </c>
      <c r="F2099">
        <v>48.982036591000004</v>
      </c>
      <c r="G2099">
        <v>1415.3023682</v>
      </c>
      <c r="H2099">
        <v>1390.9263916</v>
      </c>
      <c r="I2099">
        <v>1258.2575684000001</v>
      </c>
      <c r="J2099">
        <v>1222.0681152</v>
      </c>
      <c r="K2099">
        <v>2400</v>
      </c>
      <c r="L2099">
        <v>0</v>
      </c>
      <c r="M2099">
        <v>0</v>
      </c>
      <c r="N2099">
        <v>2400</v>
      </c>
    </row>
    <row r="2100" spans="1:14" x14ac:dyDescent="0.25">
      <c r="A2100">
        <v>1477.999513</v>
      </c>
      <c r="B2100" s="1">
        <f>DATE(2014,5,17) + TIME(23,59,17)</f>
        <v>41776.999502314815</v>
      </c>
      <c r="C2100">
        <v>80</v>
      </c>
      <c r="D2100">
        <v>79.977584839000002</v>
      </c>
      <c r="E2100">
        <v>50</v>
      </c>
      <c r="F2100">
        <v>48.955677031999997</v>
      </c>
      <c r="G2100">
        <v>1415.2307129000001</v>
      </c>
      <c r="H2100">
        <v>1390.8594971</v>
      </c>
      <c r="I2100">
        <v>1258.2395019999999</v>
      </c>
      <c r="J2100">
        <v>1222.0457764</v>
      </c>
      <c r="K2100">
        <v>2400</v>
      </c>
      <c r="L2100">
        <v>0</v>
      </c>
      <c r="M2100">
        <v>0</v>
      </c>
      <c r="N2100">
        <v>2400</v>
      </c>
    </row>
    <row r="2101" spans="1:14" x14ac:dyDescent="0.25">
      <c r="A2101">
        <v>1478.5189270000001</v>
      </c>
      <c r="B2101" s="1">
        <f>DATE(2014,5,18) + TIME(12,27,15)</f>
        <v>41777.518923611111</v>
      </c>
      <c r="C2101">
        <v>80</v>
      </c>
      <c r="D2101">
        <v>79.977592467999997</v>
      </c>
      <c r="E2101">
        <v>50</v>
      </c>
      <c r="F2101">
        <v>48.928852081000002</v>
      </c>
      <c r="G2101">
        <v>1415.1591797000001</v>
      </c>
      <c r="H2101">
        <v>1390.7927245999999</v>
      </c>
      <c r="I2101">
        <v>1258.2208252</v>
      </c>
      <c r="J2101">
        <v>1222.0227050999999</v>
      </c>
      <c r="K2101">
        <v>2400</v>
      </c>
      <c r="L2101">
        <v>0</v>
      </c>
      <c r="M2101">
        <v>0</v>
      </c>
      <c r="N2101">
        <v>2400</v>
      </c>
    </row>
    <row r="2102" spans="1:14" x14ac:dyDescent="0.25">
      <c r="A2102">
        <v>1479.0517890000001</v>
      </c>
      <c r="B2102" s="1">
        <f>DATE(2014,5,19) + TIME(1,14,34)</f>
        <v>41778.051782407405</v>
      </c>
      <c r="C2102">
        <v>80</v>
      </c>
      <c r="D2102">
        <v>79.977600097999996</v>
      </c>
      <c r="E2102">
        <v>50</v>
      </c>
      <c r="F2102">
        <v>48.901527405000003</v>
      </c>
      <c r="G2102">
        <v>1415.0883789</v>
      </c>
      <c r="H2102">
        <v>1390.7264404</v>
      </c>
      <c r="I2102">
        <v>1258.2016602000001</v>
      </c>
      <c r="J2102">
        <v>1221.9990233999999</v>
      </c>
      <c r="K2102">
        <v>2400</v>
      </c>
      <c r="L2102">
        <v>0</v>
      </c>
      <c r="M2102">
        <v>0</v>
      </c>
      <c r="N2102">
        <v>2400</v>
      </c>
    </row>
    <row r="2103" spans="1:14" x14ac:dyDescent="0.25">
      <c r="A2103">
        <v>1479.6007300000001</v>
      </c>
      <c r="B2103" s="1">
        <f>DATE(2014,5,19) + TIME(14,25,3)</f>
        <v>41778.600729166668</v>
      </c>
      <c r="C2103">
        <v>80</v>
      </c>
      <c r="D2103">
        <v>79.977600097999996</v>
      </c>
      <c r="E2103">
        <v>50</v>
      </c>
      <c r="F2103">
        <v>48.873611449999999</v>
      </c>
      <c r="G2103">
        <v>1415.0178223</v>
      </c>
      <c r="H2103">
        <v>1390.6604004000001</v>
      </c>
      <c r="I2103">
        <v>1258.1818848</v>
      </c>
      <c r="J2103">
        <v>1221.9744873</v>
      </c>
      <c r="K2103">
        <v>2400</v>
      </c>
      <c r="L2103">
        <v>0</v>
      </c>
      <c r="M2103">
        <v>0</v>
      </c>
      <c r="N2103">
        <v>2400</v>
      </c>
    </row>
    <row r="2104" spans="1:14" x14ac:dyDescent="0.25">
      <c r="A2104">
        <v>1480.168686</v>
      </c>
      <c r="B2104" s="1">
        <f>DATE(2014,5,20) + TIME(4,2,54)</f>
        <v>41779.168680555558</v>
      </c>
      <c r="C2104">
        <v>80</v>
      </c>
      <c r="D2104">
        <v>79.977607727000006</v>
      </c>
      <c r="E2104">
        <v>50</v>
      </c>
      <c r="F2104">
        <v>48.845001220999997</v>
      </c>
      <c r="G2104">
        <v>1414.9471435999999</v>
      </c>
      <c r="H2104">
        <v>1390.5943603999999</v>
      </c>
      <c r="I2104">
        <v>1258.1613769999999</v>
      </c>
      <c r="J2104">
        <v>1221.9489745999999</v>
      </c>
      <c r="K2104">
        <v>2400</v>
      </c>
      <c r="L2104">
        <v>0</v>
      </c>
      <c r="M2104">
        <v>0</v>
      </c>
      <c r="N2104">
        <v>2400</v>
      </c>
    </row>
    <row r="2105" spans="1:14" x14ac:dyDescent="0.25">
      <c r="A2105">
        <v>1480.7582629999999</v>
      </c>
      <c r="B2105" s="1">
        <f>DATE(2014,5,20) + TIME(18,11,53)</f>
        <v>41779.758252314816</v>
      </c>
      <c r="C2105">
        <v>80</v>
      </c>
      <c r="D2105">
        <v>79.977615356000001</v>
      </c>
      <c r="E2105">
        <v>50</v>
      </c>
      <c r="F2105">
        <v>48.815570831000002</v>
      </c>
      <c r="G2105">
        <v>1414.8762207</v>
      </c>
      <c r="H2105">
        <v>1390.5279541</v>
      </c>
      <c r="I2105">
        <v>1258.1400146000001</v>
      </c>
      <c r="J2105">
        <v>1221.9224853999999</v>
      </c>
      <c r="K2105">
        <v>2400</v>
      </c>
      <c r="L2105">
        <v>0</v>
      </c>
      <c r="M2105">
        <v>0</v>
      </c>
      <c r="N2105">
        <v>2400</v>
      </c>
    </row>
    <row r="2106" spans="1:14" x14ac:dyDescent="0.25">
      <c r="A2106">
        <v>1481.350107</v>
      </c>
      <c r="B2106" s="1">
        <f>DATE(2014,5,21) + TIME(8,24,9)</f>
        <v>41780.350104166668</v>
      </c>
      <c r="C2106">
        <v>80</v>
      </c>
      <c r="D2106">
        <v>79.977622986</v>
      </c>
      <c r="E2106">
        <v>50</v>
      </c>
      <c r="F2106">
        <v>48.785678863999998</v>
      </c>
      <c r="G2106">
        <v>1414.8048096</v>
      </c>
      <c r="H2106">
        <v>1390.4609375</v>
      </c>
      <c r="I2106">
        <v>1258.1174315999999</v>
      </c>
      <c r="J2106">
        <v>1221.8947754000001</v>
      </c>
      <c r="K2106">
        <v>2400</v>
      </c>
      <c r="L2106">
        <v>0</v>
      </c>
      <c r="M2106">
        <v>0</v>
      </c>
      <c r="N2106">
        <v>2400</v>
      </c>
    </row>
    <row r="2107" spans="1:14" x14ac:dyDescent="0.25">
      <c r="A2107">
        <v>1481.9469549999999</v>
      </c>
      <c r="B2107" s="1">
        <f>DATE(2014,5,21) + TIME(22,43,36)</f>
        <v>41780.946944444448</v>
      </c>
      <c r="C2107">
        <v>80</v>
      </c>
      <c r="D2107">
        <v>79.977622986</v>
      </c>
      <c r="E2107">
        <v>50</v>
      </c>
      <c r="F2107">
        <v>48.755550384999999</v>
      </c>
      <c r="G2107">
        <v>1414.7349853999999</v>
      </c>
      <c r="H2107">
        <v>1390.3956298999999</v>
      </c>
      <c r="I2107">
        <v>1258.0948486</v>
      </c>
      <c r="J2107">
        <v>1221.8666992000001</v>
      </c>
      <c r="K2107">
        <v>2400</v>
      </c>
      <c r="L2107">
        <v>0</v>
      </c>
      <c r="M2107">
        <v>0</v>
      </c>
      <c r="N2107">
        <v>2400</v>
      </c>
    </row>
    <row r="2108" spans="1:14" x14ac:dyDescent="0.25">
      <c r="A2108">
        <v>1482.551888</v>
      </c>
      <c r="B2108" s="1">
        <f>DATE(2014,5,22) + TIME(13,14,43)</f>
        <v>41781.551886574074</v>
      </c>
      <c r="C2108">
        <v>80</v>
      </c>
      <c r="D2108">
        <v>79.977630614999995</v>
      </c>
      <c r="E2108">
        <v>50</v>
      </c>
      <c r="F2108">
        <v>48.725208281999997</v>
      </c>
      <c r="G2108">
        <v>1414.6667480000001</v>
      </c>
      <c r="H2108">
        <v>1390.331543</v>
      </c>
      <c r="I2108">
        <v>1258.0717772999999</v>
      </c>
      <c r="J2108">
        <v>1221.8381348</v>
      </c>
      <c r="K2108">
        <v>2400</v>
      </c>
      <c r="L2108">
        <v>0</v>
      </c>
      <c r="M2108">
        <v>0</v>
      </c>
      <c r="N2108">
        <v>2400</v>
      </c>
    </row>
    <row r="2109" spans="1:14" x14ac:dyDescent="0.25">
      <c r="A2109">
        <v>1483.1673370000001</v>
      </c>
      <c r="B2109" s="1">
        <f>DATE(2014,5,23) + TIME(4,0,57)</f>
        <v>41782.167326388888</v>
      </c>
      <c r="C2109">
        <v>80</v>
      </c>
      <c r="D2109">
        <v>79.977638244999994</v>
      </c>
      <c r="E2109">
        <v>50</v>
      </c>
      <c r="F2109">
        <v>48.694583893000001</v>
      </c>
      <c r="G2109">
        <v>1414.5993652</v>
      </c>
      <c r="H2109">
        <v>1390.2684326000001</v>
      </c>
      <c r="I2109">
        <v>1258.0482178</v>
      </c>
      <c r="J2109">
        <v>1221.8089600000001</v>
      </c>
      <c r="K2109">
        <v>2400</v>
      </c>
      <c r="L2109">
        <v>0</v>
      </c>
      <c r="M2109">
        <v>0</v>
      </c>
      <c r="N2109">
        <v>2400</v>
      </c>
    </row>
    <row r="2110" spans="1:14" x14ac:dyDescent="0.25">
      <c r="A2110">
        <v>1483.7961539999999</v>
      </c>
      <c r="B2110" s="1">
        <f>DATE(2014,5,23) + TIME(19,6,27)</f>
        <v>41782.79614583333</v>
      </c>
      <c r="C2110">
        <v>80</v>
      </c>
      <c r="D2110">
        <v>79.977645874000004</v>
      </c>
      <c r="E2110">
        <v>50</v>
      </c>
      <c r="F2110">
        <v>48.663574218999997</v>
      </c>
      <c r="G2110">
        <v>1414.5327147999999</v>
      </c>
      <c r="H2110">
        <v>1390.2058105000001</v>
      </c>
      <c r="I2110">
        <v>1258.0240478999999</v>
      </c>
      <c r="J2110">
        <v>1221.7789307</v>
      </c>
      <c r="K2110">
        <v>2400</v>
      </c>
      <c r="L2110">
        <v>0</v>
      </c>
      <c r="M2110">
        <v>0</v>
      </c>
      <c r="N2110">
        <v>2400</v>
      </c>
    </row>
    <row r="2111" spans="1:14" x14ac:dyDescent="0.25">
      <c r="A2111">
        <v>1484.441429</v>
      </c>
      <c r="B2111" s="1">
        <f>DATE(2014,5,24) + TIME(10,35,39)</f>
        <v>41783.441423611112</v>
      </c>
      <c r="C2111">
        <v>80</v>
      </c>
      <c r="D2111">
        <v>79.977653502999999</v>
      </c>
      <c r="E2111">
        <v>50</v>
      </c>
      <c r="F2111">
        <v>48.632049561000002</v>
      </c>
      <c r="G2111">
        <v>1414.4664307</v>
      </c>
      <c r="H2111">
        <v>1390.1435547000001</v>
      </c>
      <c r="I2111">
        <v>1257.9992675999999</v>
      </c>
      <c r="J2111">
        <v>1221.7479248</v>
      </c>
      <c r="K2111">
        <v>2400</v>
      </c>
      <c r="L2111">
        <v>0</v>
      </c>
      <c r="M2111">
        <v>0</v>
      </c>
      <c r="N2111">
        <v>2400</v>
      </c>
    </row>
    <row r="2112" spans="1:14" x14ac:dyDescent="0.25">
      <c r="A2112">
        <v>1485.1052830000001</v>
      </c>
      <c r="B2112" s="1">
        <f>DATE(2014,5,25) + TIME(2,31,36)</f>
        <v>41784.10527777778</v>
      </c>
      <c r="C2112">
        <v>80</v>
      </c>
      <c r="D2112">
        <v>79.977661132999998</v>
      </c>
      <c r="E2112">
        <v>50</v>
      </c>
      <c r="F2112">
        <v>48.599899292000003</v>
      </c>
      <c r="G2112">
        <v>1414.4002685999999</v>
      </c>
      <c r="H2112">
        <v>1390.0814209</v>
      </c>
      <c r="I2112">
        <v>1257.9733887</v>
      </c>
      <c r="J2112">
        <v>1221.7158202999999</v>
      </c>
      <c r="K2112">
        <v>2400</v>
      </c>
      <c r="L2112">
        <v>0</v>
      </c>
      <c r="M2112">
        <v>0</v>
      </c>
      <c r="N2112">
        <v>2400</v>
      </c>
    </row>
    <row r="2113" spans="1:14" x14ac:dyDescent="0.25">
      <c r="A2113">
        <v>1485.7827239999999</v>
      </c>
      <c r="B2113" s="1">
        <f>DATE(2014,5,25) + TIME(18,47,7)</f>
        <v>41784.782719907409</v>
      </c>
      <c r="C2113">
        <v>80</v>
      </c>
      <c r="D2113">
        <v>79.977668761999993</v>
      </c>
      <c r="E2113">
        <v>50</v>
      </c>
      <c r="F2113">
        <v>48.567150116000001</v>
      </c>
      <c r="G2113">
        <v>1414.3339844</v>
      </c>
      <c r="H2113">
        <v>1390.0191649999999</v>
      </c>
      <c r="I2113">
        <v>1257.9466553</v>
      </c>
      <c r="J2113">
        <v>1221.6826172000001</v>
      </c>
      <c r="K2113">
        <v>2400</v>
      </c>
      <c r="L2113">
        <v>0</v>
      </c>
      <c r="M2113">
        <v>0</v>
      </c>
      <c r="N2113">
        <v>2400</v>
      </c>
    </row>
    <row r="2114" spans="1:14" x14ac:dyDescent="0.25">
      <c r="A2114">
        <v>1486.4770189999999</v>
      </c>
      <c r="B2114" s="1">
        <f>DATE(2014,5,26) + TIME(11,26,54)</f>
        <v>41785.477013888885</v>
      </c>
      <c r="C2114">
        <v>80</v>
      </c>
      <c r="D2114">
        <v>79.977676392000006</v>
      </c>
      <c r="E2114">
        <v>50</v>
      </c>
      <c r="F2114">
        <v>48.533802031999997</v>
      </c>
      <c r="G2114">
        <v>1414.2680664</v>
      </c>
      <c r="H2114">
        <v>1389.9571533000001</v>
      </c>
      <c r="I2114">
        <v>1257.9190673999999</v>
      </c>
      <c r="J2114">
        <v>1221.6481934000001</v>
      </c>
      <c r="K2114">
        <v>2400</v>
      </c>
      <c r="L2114">
        <v>0</v>
      </c>
      <c r="M2114">
        <v>0</v>
      </c>
      <c r="N2114">
        <v>2400</v>
      </c>
    </row>
    <row r="2115" spans="1:14" x14ac:dyDescent="0.25">
      <c r="A2115">
        <v>1487.191595</v>
      </c>
      <c r="B2115" s="1">
        <f>DATE(2014,5,27) + TIME(4,35,53)</f>
        <v>41786.19158564815</v>
      </c>
      <c r="C2115">
        <v>80</v>
      </c>
      <c r="D2115">
        <v>79.977684021000002</v>
      </c>
      <c r="E2115">
        <v>50</v>
      </c>
      <c r="F2115">
        <v>48.499767302999999</v>
      </c>
      <c r="G2115">
        <v>1414.2022704999999</v>
      </c>
      <c r="H2115">
        <v>1389.8952637</v>
      </c>
      <c r="I2115">
        <v>1257.8905029</v>
      </c>
      <c r="J2115">
        <v>1221.6125488</v>
      </c>
      <c r="K2115">
        <v>2400</v>
      </c>
      <c r="L2115">
        <v>0</v>
      </c>
      <c r="M2115">
        <v>0</v>
      </c>
      <c r="N2115">
        <v>2400</v>
      </c>
    </row>
    <row r="2116" spans="1:14" x14ac:dyDescent="0.25">
      <c r="A2116">
        <v>1487.9299559999999</v>
      </c>
      <c r="B2116" s="1">
        <f>DATE(2014,5,27) + TIME(22,19,8)</f>
        <v>41786.9299537037</v>
      </c>
      <c r="C2116">
        <v>80</v>
      </c>
      <c r="D2116">
        <v>79.977691649999997</v>
      </c>
      <c r="E2116">
        <v>50</v>
      </c>
      <c r="F2116">
        <v>48.464912415000001</v>
      </c>
      <c r="G2116">
        <v>1414.1363524999999</v>
      </c>
      <c r="H2116">
        <v>1389.8332519999999</v>
      </c>
      <c r="I2116">
        <v>1257.8607178</v>
      </c>
      <c r="J2116">
        <v>1221.5753173999999</v>
      </c>
      <c r="K2116">
        <v>2400</v>
      </c>
      <c r="L2116">
        <v>0</v>
      </c>
      <c r="M2116">
        <v>0</v>
      </c>
      <c r="N2116">
        <v>2400</v>
      </c>
    </row>
    <row r="2117" spans="1:14" x14ac:dyDescent="0.25">
      <c r="A2117">
        <v>1488.672057</v>
      </c>
      <c r="B2117" s="1">
        <f>DATE(2014,5,28) + TIME(16,7,45)</f>
        <v>41787.672048611108</v>
      </c>
      <c r="C2117">
        <v>80</v>
      </c>
      <c r="D2117">
        <v>79.977699279999996</v>
      </c>
      <c r="E2117">
        <v>50</v>
      </c>
      <c r="F2117">
        <v>48.429508208999998</v>
      </c>
      <c r="G2117">
        <v>1414.0700684000001</v>
      </c>
      <c r="H2117">
        <v>1389.770874</v>
      </c>
      <c r="I2117">
        <v>1257.8297118999999</v>
      </c>
      <c r="J2117">
        <v>1221.5366211</v>
      </c>
      <c r="K2117">
        <v>2400</v>
      </c>
      <c r="L2117">
        <v>0</v>
      </c>
      <c r="M2117">
        <v>0</v>
      </c>
      <c r="N2117">
        <v>2400</v>
      </c>
    </row>
    <row r="2118" spans="1:14" x14ac:dyDescent="0.25">
      <c r="A2118">
        <v>1489.4215819999999</v>
      </c>
      <c r="B2118" s="1">
        <f>DATE(2014,5,29) + TIME(10,7,4)</f>
        <v>41788.421574074076</v>
      </c>
      <c r="C2118">
        <v>80</v>
      </c>
      <c r="D2118">
        <v>79.977714539000004</v>
      </c>
      <c r="E2118">
        <v>50</v>
      </c>
      <c r="F2118">
        <v>48.393829345999997</v>
      </c>
      <c r="G2118">
        <v>1414.0051269999999</v>
      </c>
      <c r="H2118">
        <v>1389.7097168</v>
      </c>
      <c r="I2118">
        <v>1257.7980957</v>
      </c>
      <c r="J2118">
        <v>1221.4970702999999</v>
      </c>
      <c r="K2118">
        <v>2400</v>
      </c>
      <c r="L2118">
        <v>0</v>
      </c>
      <c r="M2118">
        <v>0</v>
      </c>
      <c r="N2118">
        <v>2400</v>
      </c>
    </row>
    <row r="2119" spans="1:14" x14ac:dyDescent="0.25">
      <c r="A2119">
        <v>1490.182002</v>
      </c>
      <c r="B2119" s="1">
        <f>DATE(2014,5,30) + TIME(4,22,4)</f>
        <v>41789.181990740741</v>
      </c>
      <c r="C2119">
        <v>80</v>
      </c>
      <c r="D2119">
        <v>79.977722168</v>
      </c>
      <c r="E2119">
        <v>50</v>
      </c>
      <c r="F2119">
        <v>48.357872008999998</v>
      </c>
      <c r="G2119">
        <v>1413.9411620999999</v>
      </c>
      <c r="H2119">
        <v>1389.6494141000001</v>
      </c>
      <c r="I2119">
        <v>1257.7657471</v>
      </c>
      <c r="J2119">
        <v>1221.456543</v>
      </c>
      <c r="K2119">
        <v>2400</v>
      </c>
      <c r="L2119">
        <v>0</v>
      </c>
      <c r="M2119">
        <v>0</v>
      </c>
      <c r="N2119">
        <v>2400</v>
      </c>
    </row>
    <row r="2120" spans="1:14" x14ac:dyDescent="0.25">
      <c r="A2120">
        <v>1490.956563</v>
      </c>
      <c r="B2120" s="1">
        <f>DATE(2014,5,30) + TIME(22,57,27)</f>
        <v>41789.956562500003</v>
      </c>
      <c r="C2120">
        <v>80</v>
      </c>
      <c r="D2120">
        <v>79.977729796999995</v>
      </c>
      <c r="E2120">
        <v>50</v>
      </c>
      <c r="F2120">
        <v>48.321537018000001</v>
      </c>
      <c r="G2120">
        <v>1413.8778076000001</v>
      </c>
      <c r="H2120">
        <v>1389.5897216999999</v>
      </c>
      <c r="I2120">
        <v>1257.7326660000001</v>
      </c>
      <c r="J2120">
        <v>1221.4149170000001</v>
      </c>
      <c r="K2120">
        <v>2400</v>
      </c>
      <c r="L2120">
        <v>0</v>
      </c>
      <c r="M2120">
        <v>0</v>
      </c>
      <c r="N2120">
        <v>2400</v>
      </c>
    </row>
    <row r="2121" spans="1:14" x14ac:dyDescent="0.25">
      <c r="A2121">
        <v>1491.7489869999999</v>
      </c>
      <c r="B2121" s="1">
        <f>DATE(2014,5,31) + TIME(17,58,32)</f>
        <v>41790.748981481483</v>
      </c>
      <c r="C2121">
        <v>80</v>
      </c>
      <c r="D2121">
        <v>79.977737426999994</v>
      </c>
      <c r="E2121">
        <v>50</v>
      </c>
      <c r="F2121">
        <v>48.284687042000002</v>
      </c>
      <c r="G2121">
        <v>1413.8149414</v>
      </c>
      <c r="H2121">
        <v>1389.5305175999999</v>
      </c>
      <c r="I2121">
        <v>1257.6984863</v>
      </c>
      <c r="J2121">
        <v>1221.3719481999999</v>
      </c>
      <c r="K2121">
        <v>2400</v>
      </c>
      <c r="L2121">
        <v>0</v>
      </c>
      <c r="M2121">
        <v>0</v>
      </c>
      <c r="N2121">
        <v>2400</v>
      </c>
    </row>
    <row r="2122" spans="1:14" x14ac:dyDescent="0.25">
      <c r="A2122">
        <v>1492</v>
      </c>
      <c r="B2122" s="1">
        <f>DATE(2014,6,1) + TIME(0,0,0)</f>
        <v>41791</v>
      </c>
      <c r="C2122">
        <v>80</v>
      </c>
      <c r="D2122">
        <v>79.977737426999994</v>
      </c>
      <c r="E2122">
        <v>50</v>
      </c>
      <c r="F2122">
        <v>48.263885498</v>
      </c>
      <c r="G2122">
        <v>1413.7526855000001</v>
      </c>
      <c r="H2122">
        <v>1389.4718018000001</v>
      </c>
      <c r="I2122">
        <v>1257.6606445</v>
      </c>
      <c r="J2122">
        <v>1221.3317870999999</v>
      </c>
      <c r="K2122">
        <v>2400</v>
      </c>
      <c r="L2122">
        <v>0</v>
      </c>
      <c r="M2122">
        <v>0</v>
      </c>
      <c r="N2122">
        <v>2400</v>
      </c>
    </row>
    <row r="2123" spans="1:14" x14ac:dyDescent="0.25">
      <c r="A2123">
        <v>1492.8143130000001</v>
      </c>
      <c r="B2123" s="1">
        <f>DATE(2014,6,1) + TIME(19,32,36)</f>
        <v>41791.814305555556</v>
      </c>
      <c r="C2123">
        <v>80</v>
      </c>
      <c r="D2123">
        <v>79.977752686000002</v>
      </c>
      <c r="E2123">
        <v>50</v>
      </c>
      <c r="F2123">
        <v>48.232128142999997</v>
      </c>
      <c r="G2123">
        <v>1413.7322998</v>
      </c>
      <c r="H2123">
        <v>1389.4525146000001</v>
      </c>
      <c r="I2123">
        <v>1257.6518555</v>
      </c>
      <c r="J2123">
        <v>1221.3117675999999</v>
      </c>
      <c r="K2123">
        <v>2400</v>
      </c>
      <c r="L2123">
        <v>0</v>
      </c>
      <c r="M2123">
        <v>0</v>
      </c>
      <c r="N2123">
        <v>2400</v>
      </c>
    </row>
    <row r="2124" spans="1:14" x14ac:dyDescent="0.25">
      <c r="A2124">
        <v>1493.6531600000001</v>
      </c>
      <c r="B2124" s="1">
        <f>DATE(2014,6,2) + TIME(15,40,33)</f>
        <v>41792.65315972222</v>
      </c>
      <c r="C2124">
        <v>80</v>
      </c>
      <c r="D2124">
        <v>79.977760314999998</v>
      </c>
      <c r="E2124">
        <v>50</v>
      </c>
      <c r="F2124">
        <v>48.195877074999999</v>
      </c>
      <c r="G2124">
        <v>1413.6701660000001</v>
      </c>
      <c r="H2124">
        <v>1389.3939209</v>
      </c>
      <c r="I2124">
        <v>1257.6147461</v>
      </c>
      <c r="J2124">
        <v>1221.2658690999999</v>
      </c>
      <c r="K2124">
        <v>2400</v>
      </c>
      <c r="L2124">
        <v>0</v>
      </c>
      <c r="M2124">
        <v>0</v>
      </c>
      <c r="N2124">
        <v>2400</v>
      </c>
    </row>
    <row r="2125" spans="1:14" x14ac:dyDescent="0.25">
      <c r="A2125">
        <v>1494.5075179999999</v>
      </c>
      <c r="B2125" s="1">
        <f>DATE(2014,6,3) + TIME(12,10,49)</f>
        <v>41793.507511574076</v>
      </c>
      <c r="C2125">
        <v>80</v>
      </c>
      <c r="D2125">
        <v>79.977775574000006</v>
      </c>
      <c r="E2125">
        <v>50</v>
      </c>
      <c r="F2125">
        <v>48.157505035</v>
      </c>
      <c r="G2125">
        <v>1413.6072998</v>
      </c>
      <c r="H2125">
        <v>1389.3345947</v>
      </c>
      <c r="I2125">
        <v>1257.5759277</v>
      </c>
      <c r="J2125">
        <v>1221.2171631000001</v>
      </c>
      <c r="K2125">
        <v>2400</v>
      </c>
      <c r="L2125">
        <v>0</v>
      </c>
      <c r="M2125">
        <v>0</v>
      </c>
      <c r="N2125">
        <v>2400</v>
      </c>
    </row>
    <row r="2126" spans="1:14" x14ac:dyDescent="0.25">
      <c r="A2126">
        <v>1495.3813130000001</v>
      </c>
      <c r="B2126" s="1">
        <f>DATE(2014,6,4) + TIME(9,9,5)</f>
        <v>41794.381307870368</v>
      </c>
      <c r="C2126">
        <v>80</v>
      </c>
      <c r="D2126">
        <v>79.977783203000001</v>
      </c>
      <c r="E2126">
        <v>50</v>
      </c>
      <c r="F2126">
        <v>48.117954253999997</v>
      </c>
      <c r="G2126">
        <v>1413.5447998</v>
      </c>
      <c r="H2126">
        <v>1389.2756348</v>
      </c>
      <c r="I2126">
        <v>1257.5358887</v>
      </c>
      <c r="J2126">
        <v>1221.1665039</v>
      </c>
      <c r="K2126">
        <v>2400</v>
      </c>
      <c r="L2126">
        <v>0</v>
      </c>
      <c r="M2126">
        <v>0</v>
      </c>
      <c r="N2126">
        <v>2400</v>
      </c>
    </row>
    <row r="2127" spans="1:14" x14ac:dyDescent="0.25">
      <c r="A2127">
        <v>1496.2787089999999</v>
      </c>
      <c r="B2127" s="1">
        <f>DATE(2014,6,5) + TIME(6,41,20)</f>
        <v>41795.278703703705</v>
      </c>
      <c r="C2127">
        <v>80</v>
      </c>
      <c r="D2127">
        <v>79.977798461999996</v>
      </c>
      <c r="E2127">
        <v>50</v>
      </c>
      <c r="F2127">
        <v>48.077442169000001</v>
      </c>
      <c r="G2127">
        <v>1413.4824219</v>
      </c>
      <c r="H2127">
        <v>1389.2166748</v>
      </c>
      <c r="I2127">
        <v>1257.4943848</v>
      </c>
      <c r="J2127">
        <v>1221.1137695</v>
      </c>
      <c r="K2127">
        <v>2400</v>
      </c>
      <c r="L2127">
        <v>0</v>
      </c>
      <c r="M2127">
        <v>0</v>
      </c>
      <c r="N2127">
        <v>2400</v>
      </c>
    </row>
    <row r="2128" spans="1:14" x14ac:dyDescent="0.25">
      <c r="A2128">
        <v>1497.1839689999999</v>
      </c>
      <c r="B2128" s="1">
        <f>DATE(2014,6,6) + TIME(4,24,54)</f>
        <v>41796.183958333335</v>
      </c>
      <c r="C2128">
        <v>80</v>
      </c>
      <c r="D2128">
        <v>79.977806091000005</v>
      </c>
      <c r="E2128">
        <v>50</v>
      </c>
      <c r="F2128">
        <v>48.036216736</v>
      </c>
      <c r="G2128">
        <v>1413.4197998</v>
      </c>
      <c r="H2128">
        <v>1389.1574707</v>
      </c>
      <c r="I2128">
        <v>1257.4510498</v>
      </c>
      <c r="J2128">
        <v>1221.0588379000001</v>
      </c>
      <c r="K2128">
        <v>2400</v>
      </c>
      <c r="L2128">
        <v>0</v>
      </c>
      <c r="M2128">
        <v>0</v>
      </c>
      <c r="N2128">
        <v>2400</v>
      </c>
    </row>
    <row r="2129" spans="1:14" x14ac:dyDescent="0.25">
      <c r="A2129">
        <v>1498.097957</v>
      </c>
      <c r="B2129" s="1">
        <f>DATE(2014,6,7) + TIME(2,21,3)</f>
        <v>41797.097951388889</v>
      </c>
      <c r="C2129">
        <v>80</v>
      </c>
      <c r="D2129">
        <v>79.977821349999999</v>
      </c>
      <c r="E2129">
        <v>50</v>
      </c>
      <c r="F2129">
        <v>47.994594573999997</v>
      </c>
      <c r="G2129">
        <v>1413.3580322</v>
      </c>
      <c r="H2129">
        <v>1389.0992432</v>
      </c>
      <c r="I2129">
        <v>1257.4066161999999</v>
      </c>
      <c r="J2129">
        <v>1221.0021973</v>
      </c>
      <c r="K2129">
        <v>2400</v>
      </c>
      <c r="L2129">
        <v>0</v>
      </c>
      <c r="M2129">
        <v>0</v>
      </c>
      <c r="N2129">
        <v>2400</v>
      </c>
    </row>
    <row r="2130" spans="1:14" x14ac:dyDescent="0.25">
      <c r="A2130">
        <v>1499.0249879999999</v>
      </c>
      <c r="B2130" s="1">
        <f>DATE(2014,6,8) + TIME(0,35,58)</f>
        <v>41798.024976851855</v>
      </c>
      <c r="C2130">
        <v>80</v>
      </c>
      <c r="D2130">
        <v>79.977828978999995</v>
      </c>
      <c r="E2130">
        <v>50</v>
      </c>
      <c r="F2130">
        <v>47.952594757</v>
      </c>
      <c r="G2130">
        <v>1413.2971190999999</v>
      </c>
      <c r="H2130">
        <v>1389.041626</v>
      </c>
      <c r="I2130">
        <v>1257.3610839999999</v>
      </c>
      <c r="J2130">
        <v>1220.9439697</v>
      </c>
      <c r="K2130">
        <v>2400</v>
      </c>
      <c r="L2130">
        <v>0</v>
      </c>
      <c r="M2130">
        <v>0</v>
      </c>
      <c r="N2130">
        <v>2400</v>
      </c>
    </row>
    <row r="2131" spans="1:14" x14ac:dyDescent="0.25">
      <c r="A2131">
        <v>1499.968856</v>
      </c>
      <c r="B2131" s="1">
        <f>DATE(2014,6,8) + TIME(23,15,9)</f>
        <v>41798.968854166669</v>
      </c>
      <c r="C2131">
        <v>80</v>
      </c>
      <c r="D2131">
        <v>79.977844238000003</v>
      </c>
      <c r="E2131">
        <v>50</v>
      </c>
      <c r="F2131">
        <v>47.910087584999999</v>
      </c>
      <c r="G2131">
        <v>1413.2366943</v>
      </c>
      <c r="H2131">
        <v>1388.9846190999999</v>
      </c>
      <c r="I2131">
        <v>1257.3140868999999</v>
      </c>
      <c r="J2131">
        <v>1220.8836670000001</v>
      </c>
      <c r="K2131">
        <v>2400</v>
      </c>
      <c r="L2131">
        <v>0</v>
      </c>
      <c r="M2131">
        <v>0</v>
      </c>
      <c r="N2131">
        <v>2400</v>
      </c>
    </row>
    <row r="2132" spans="1:14" x14ac:dyDescent="0.25">
      <c r="A2132">
        <v>1500.9339669999999</v>
      </c>
      <c r="B2132" s="1">
        <f>DATE(2014,6,9) + TIME(22,24,54)</f>
        <v>41799.933958333335</v>
      </c>
      <c r="C2132">
        <v>80</v>
      </c>
      <c r="D2132">
        <v>79.977859496999997</v>
      </c>
      <c r="E2132">
        <v>50</v>
      </c>
      <c r="F2132">
        <v>47.866916656000001</v>
      </c>
      <c r="G2132">
        <v>1413.1766356999999</v>
      </c>
      <c r="H2132">
        <v>1388.9277344</v>
      </c>
      <c r="I2132">
        <v>1257.2655029</v>
      </c>
      <c r="J2132">
        <v>1220.8211670000001</v>
      </c>
      <c r="K2132">
        <v>2400</v>
      </c>
      <c r="L2132">
        <v>0</v>
      </c>
      <c r="M2132">
        <v>0</v>
      </c>
      <c r="N2132">
        <v>2400</v>
      </c>
    </row>
    <row r="2133" spans="1:14" x14ac:dyDescent="0.25">
      <c r="A2133">
        <v>1501.925115</v>
      </c>
      <c r="B2133" s="1">
        <f>DATE(2014,6,10) + TIME(22,12,9)</f>
        <v>41800.925104166665</v>
      </c>
      <c r="C2133">
        <v>80</v>
      </c>
      <c r="D2133">
        <v>79.977867126000007</v>
      </c>
      <c r="E2133">
        <v>50</v>
      </c>
      <c r="F2133">
        <v>47.822868346999996</v>
      </c>
      <c r="G2133">
        <v>1413.1164550999999</v>
      </c>
      <c r="H2133">
        <v>1388.8708495999999</v>
      </c>
      <c r="I2133">
        <v>1257.2148437999999</v>
      </c>
      <c r="J2133">
        <v>1220.7559814000001</v>
      </c>
      <c r="K2133">
        <v>2400</v>
      </c>
      <c r="L2133">
        <v>0</v>
      </c>
      <c r="M2133">
        <v>0</v>
      </c>
      <c r="N2133">
        <v>2400</v>
      </c>
    </row>
    <row r="2134" spans="1:14" x14ac:dyDescent="0.25">
      <c r="A2134">
        <v>1502.944258</v>
      </c>
      <c r="B2134" s="1">
        <f>DATE(2014,6,11) + TIME(22,39,43)</f>
        <v>41801.944247685184</v>
      </c>
      <c r="C2134">
        <v>80</v>
      </c>
      <c r="D2134">
        <v>79.977882385000001</v>
      </c>
      <c r="E2134">
        <v>50</v>
      </c>
      <c r="F2134">
        <v>47.777770996000001</v>
      </c>
      <c r="G2134">
        <v>1413.0560303</v>
      </c>
      <c r="H2134">
        <v>1388.8137207</v>
      </c>
      <c r="I2134">
        <v>1257.1619873</v>
      </c>
      <c r="J2134">
        <v>1220.6877440999999</v>
      </c>
      <c r="K2134">
        <v>2400</v>
      </c>
      <c r="L2134">
        <v>0</v>
      </c>
      <c r="M2134">
        <v>0</v>
      </c>
      <c r="N2134">
        <v>2400</v>
      </c>
    </row>
    <row r="2135" spans="1:14" x14ac:dyDescent="0.25">
      <c r="A2135">
        <v>1503.9796180000001</v>
      </c>
      <c r="B2135" s="1">
        <f>DATE(2014,6,12) + TIME(23,30,38)</f>
        <v>41802.97960648148</v>
      </c>
      <c r="C2135">
        <v>80</v>
      </c>
      <c r="D2135">
        <v>79.977897643999995</v>
      </c>
      <c r="E2135">
        <v>50</v>
      </c>
      <c r="F2135">
        <v>47.731685638000002</v>
      </c>
      <c r="G2135">
        <v>1412.9952393000001</v>
      </c>
      <c r="H2135">
        <v>1388.7562256000001</v>
      </c>
      <c r="I2135">
        <v>1257.1065673999999</v>
      </c>
      <c r="J2135">
        <v>1220.6159668</v>
      </c>
      <c r="K2135">
        <v>2400</v>
      </c>
      <c r="L2135">
        <v>0</v>
      </c>
      <c r="M2135">
        <v>0</v>
      </c>
      <c r="N2135">
        <v>2400</v>
      </c>
    </row>
    <row r="2136" spans="1:14" x14ac:dyDescent="0.25">
      <c r="A2136">
        <v>1505.0352620000001</v>
      </c>
      <c r="B2136" s="1">
        <f>DATE(2014,6,14) + TIME(0,50,46)</f>
        <v>41804.035254629627</v>
      </c>
      <c r="C2136">
        <v>80</v>
      </c>
      <c r="D2136">
        <v>79.977905273000005</v>
      </c>
      <c r="E2136">
        <v>50</v>
      </c>
      <c r="F2136">
        <v>47.684761047000002</v>
      </c>
      <c r="G2136">
        <v>1412.9348144999999</v>
      </c>
      <c r="H2136">
        <v>1388.6989745999999</v>
      </c>
      <c r="I2136">
        <v>1257.0491943</v>
      </c>
      <c r="J2136">
        <v>1220.5415039</v>
      </c>
      <c r="K2136">
        <v>2400</v>
      </c>
      <c r="L2136">
        <v>0</v>
      </c>
      <c r="M2136">
        <v>0</v>
      </c>
      <c r="N2136">
        <v>2400</v>
      </c>
    </row>
    <row r="2137" spans="1:14" x14ac:dyDescent="0.25">
      <c r="A2137">
        <v>1506.1023150000001</v>
      </c>
      <c r="B2137" s="1">
        <f>DATE(2014,6,15) + TIME(2,27,20)</f>
        <v>41805.102314814816</v>
      </c>
      <c r="C2137">
        <v>80</v>
      </c>
      <c r="D2137">
        <v>79.977920531999999</v>
      </c>
      <c r="E2137">
        <v>50</v>
      </c>
      <c r="F2137">
        <v>47.637092590000002</v>
      </c>
      <c r="G2137">
        <v>1412.8745117000001</v>
      </c>
      <c r="H2137">
        <v>1388.6418457</v>
      </c>
      <c r="I2137">
        <v>1256.9895019999999</v>
      </c>
      <c r="J2137">
        <v>1220.4638672000001</v>
      </c>
      <c r="K2137">
        <v>2400</v>
      </c>
      <c r="L2137">
        <v>0</v>
      </c>
      <c r="M2137">
        <v>0</v>
      </c>
      <c r="N2137">
        <v>2400</v>
      </c>
    </row>
    <row r="2138" spans="1:14" x14ac:dyDescent="0.25">
      <c r="A2138">
        <v>1507.1784640000001</v>
      </c>
      <c r="B2138" s="1">
        <f>DATE(2014,6,16) + TIME(4,16,59)</f>
        <v>41806.178460648145</v>
      </c>
      <c r="C2138">
        <v>80</v>
      </c>
      <c r="D2138">
        <v>79.977935790999993</v>
      </c>
      <c r="E2138">
        <v>50</v>
      </c>
      <c r="F2138">
        <v>47.588871001999998</v>
      </c>
      <c r="G2138">
        <v>1412.8149414</v>
      </c>
      <c r="H2138">
        <v>1388.5853271000001</v>
      </c>
      <c r="I2138">
        <v>1256.9281006000001</v>
      </c>
      <c r="J2138">
        <v>1220.3835449000001</v>
      </c>
      <c r="K2138">
        <v>2400</v>
      </c>
      <c r="L2138">
        <v>0</v>
      </c>
      <c r="M2138">
        <v>0</v>
      </c>
      <c r="N2138">
        <v>2400</v>
      </c>
    </row>
    <row r="2139" spans="1:14" x14ac:dyDescent="0.25">
      <c r="A2139">
        <v>1508.2689760000001</v>
      </c>
      <c r="B2139" s="1">
        <f>DATE(2014,6,17) + TIME(6,27,19)</f>
        <v>41807.268969907411</v>
      </c>
      <c r="C2139">
        <v>80</v>
      </c>
      <c r="D2139">
        <v>79.977951050000001</v>
      </c>
      <c r="E2139">
        <v>50</v>
      </c>
      <c r="F2139">
        <v>47.540119171000001</v>
      </c>
      <c r="G2139">
        <v>1412.7559814000001</v>
      </c>
      <c r="H2139">
        <v>1388.5295410000001</v>
      </c>
      <c r="I2139">
        <v>1256.8647461</v>
      </c>
      <c r="J2139">
        <v>1220.3006591999999</v>
      </c>
      <c r="K2139">
        <v>2400</v>
      </c>
      <c r="L2139">
        <v>0</v>
      </c>
      <c r="M2139">
        <v>0</v>
      </c>
      <c r="N2139">
        <v>2400</v>
      </c>
    </row>
    <row r="2140" spans="1:14" x14ac:dyDescent="0.25">
      <c r="A2140">
        <v>1509.3781899999999</v>
      </c>
      <c r="B2140" s="1">
        <f>DATE(2014,6,18) + TIME(9,4,35)</f>
        <v>41808.378182870372</v>
      </c>
      <c r="C2140">
        <v>80</v>
      </c>
      <c r="D2140">
        <v>79.977966308999996</v>
      </c>
      <c r="E2140">
        <v>50</v>
      </c>
      <c r="F2140">
        <v>47.490669250000003</v>
      </c>
      <c r="G2140">
        <v>1412.6973877</v>
      </c>
      <c r="H2140">
        <v>1388.4741211</v>
      </c>
      <c r="I2140">
        <v>1256.7994385</v>
      </c>
      <c r="J2140">
        <v>1220.2145995999999</v>
      </c>
      <c r="K2140">
        <v>2400</v>
      </c>
      <c r="L2140">
        <v>0</v>
      </c>
      <c r="M2140">
        <v>0</v>
      </c>
      <c r="N2140">
        <v>2400</v>
      </c>
    </row>
    <row r="2141" spans="1:14" x14ac:dyDescent="0.25">
      <c r="A2141">
        <v>1510.511182</v>
      </c>
      <c r="B2141" s="1">
        <f>DATE(2014,6,19) + TIME(12,16,6)</f>
        <v>41809.511180555557</v>
      </c>
      <c r="C2141">
        <v>80</v>
      </c>
      <c r="D2141">
        <v>79.977981567</v>
      </c>
      <c r="E2141">
        <v>50</v>
      </c>
      <c r="F2141">
        <v>47.440307617000002</v>
      </c>
      <c r="G2141">
        <v>1412.6391602000001</v>
      </c>
      <c r="H2141">
        <v>1388.4188231999999</v>
      </c>
      <c r="I2141">
        <v>1256.7314452999999</v>
      </c>
      <c r="J2141">
        <v>1220.125</v>
      </c>
      <c r="K2141">
        <v>2400</v>
      </c>
      <c r="L2141">
        <v>0</v>
      </c>
      <c r="M2141">
        <v>0</v>
      </c>
      <c r="N2141">
        <v>2400</v>
      </c>
    </row>
    <row r="2142" spans="1:14" x14ac:dyDescent="0.25">
      <c r="A2142">
        <v>1511.673483</v>
      </c>
      <c r="B2142" s="1">
        <f>DATE(2014,6,20) + TIME(16,9,48)</f>
        <v>41810.673472222225</v>
      </c>
      <c r="C2142">
        <v>80</v>
      </c>
      <c r="D2142">
        <v>79.977996825999995</v>
      </c>
      <c r="E2142">
        <v>50</v>
      </c>
      <c r="F2142">
        <v>47.388782501000001</v>
      </c>
      <c r="G2142">
        <v>1412.5806885</v>
      </c>
      <c r="H2142">
        <v>1388.3635254000001</v>
      </c>
      <c r="I2142">
        <v>1256.6606445</v>
      </c>
      <c r="J2142">
        <v>1220.03125</v>
      </c>
      <c r="K2142">
        <v>2400</v>
      </c>
      <c r="L2142">
        <v>0</v>
      </c>
      <c r="M2142">
        <v>0</v>
      </c>
      <c r="N2142">
        <v>2400</v>
      </c>
    </row>
    <row r="2143" spans="1:14" x14ac:dyDescent="0.25">
      <c r="A2143">
        <v>1512.869089</v>
      </c>
      <c r="B2143" s="1">
        <f>DATE(2014,6,21) + TIME(20,51,29)</f>
        <v>41811.869085648148</v>
      </c>
      <c r="C2143">
        <v>80</v>
      </c>
      <c r="D2143">
        <v>79.978012085000003</v>
      </c>
      <c r="E2143">
        <v>50</v>
      </c>
      <c r="F2143">
        <v>47.335834503000001</v>
      </c>
      <c r="G2143">
        <v>1412.5220947</v>
      </c>
      <c r="H2143">
        <v>1388.3077393000001</v>
      </c>
      <c r="I2143">
        <v>1256.5865478999999</v>
      </c>
      <c r="J2143">
        <v>1219.9326172000001</v>
      </c>
      <c r="K2143">
        <v>2400</v>
      </c>
      <c r="L2143">
        <v>0</v>
      </c>
      <c r="M2143">
        <v>0</v>
      </c>
      <c r="N2143">
        <v>2400</v>
      </c>
    </row>
    <row r="2144" spans="1:14" x14ac:dyDescent="0.25">
      <c r="A2144">
        <v>1514.0907589999999</v>
      </c>
      <c r="B2144" s="1">
        <f>DATE(2014,6,23) + TIME(2,10,41)</f>
        <v>41813.090752314813</v>
      </c>
      <c r="C2144">
        <v>80</v>
      </c>
      <c r="D2144">
        <v>79.978027343999997</v>
      </c>
      <c r="E2144">
        <v>50</v>
      </c>
      <c r="F2144">
        <v>47.281368256</v>
      </c>
      <c r="G2144">
        <v>1412.4628906</v>
      </c>
      <c r="H2144">
        <v>1388.2515868999999</v>
      </c>
      <c r="I2144">
        <v>1256.5085449000001</v>
      </c>
      <c r="J2144">
        <v>1219.8287353999999</v>
      </c>
      <c r="K2144">
        <v>2400</v>
      </c>
      <c r="L2144">
        <v>0</v>
      </c>
      <c r="M2144">
        <v>0</v>
      </c>
      <c r="N2144">
        <v>2400</v>
      </c>
    </row>
    <row r="2145" spans="1:14" x14ac:dyDescent="0.25">
      <c r="A2145">
        <v>1515.3296680000001</v>
      </c>
      <c r="B2145" s="1">
        <f>DATE(2014,6,24) + TIME(7,54,43)</f>
        <v>41814.329664351855</v>
      </c>
      <c r="C2145">
        <v>80</v>
      </c>
      <c r="D2145">
        <v>79.978042603000006</v>
      </c>
      <c r="E2145">
        <v>50</v>
      </c>
      <c r="F2145">
        <v>47.225574493000003</v>
      </c>
      <c r="G2145">
        <v>1412.4035644999999</v>
      </c>
      <c r="H2145">
        <v>1388.1953125</v>
      </c>
      <c r="I2145">
        <v>1256.4270019999999</v>
      </c>
      <c r="J2145">
        <v>1219.7198486</v>
      </c>
      <c r="K2145">
        <v>2400</v>
      </c>
      <c r="L2145">
        <v>0</v>
      </c>
      <c r="M2145">
        <v>0</v>
      </c>
      <c r="N2145">
        <v>2400</v>
      </c>
    </row>
    <row r="2146" spans="1:14" x14ac:dyDescent="0.25">
      <c r="A2146">
        <v>1516.5800850000001</v>
      </c>
      <c r="B2146" s="1">
        <f>DATE(2014,6,25) + TIME(13,55,19)</f>
        <v>41815.580081018517</v>
      </c>
      <c r="C2146">
        <v>80</v>
      </c>
      <c r="D2146">
        <v>79.978057860999996</v>
      </c>
      <c r="E2146">
        <v>50</v>
      </c>
      <c r="F2146">
        <v>47.168727875000002</v>
      </c>
      <c r="G2146">
        <v>1412.3446045000001</v>
      </c>
      <c r="H2146">
        <v>1388.1394043</v>
      </c>
      <c r="I2146">
        <v>1256.3425293</v>
      </c>
      <c r="J2146">
        <v>1219.6064452999999</v>
      </c>
      <c r="K2146">
        <v>2400</v>
      </c>
      <c r="L2146">
        <v>0</v>
      </c>
      <c r="M2146">
        <v>0</v>
      </c>
      <c r="N2146">
        <v>2400</v>
      </c>
    </row>
    <row r="2147" spans="1:14" x14ac:dyDescent="0.25">
      <c r="A2147">
        <v>1517.8413559999999</v>
      </c>
      <c r="B2147" s="1">
        <f>DATE(2014,6,26) + TIME(20,11,33)</f>
        <v>41816.841354166667</v>
      </c>
      <c r="C2147">
        <v>80</v>
      </c>
      <c r="D2147">
        <v>79.978073120000005</v>
      </c>
      <c r="E2147">
        <v>50</v>
      </c>
      <c r="F2147">
        <v>47.110996245999999</v>
      </c>
      <c r="G2147">
        <v>1412.2861327999999</v>
      </c>
      <c r="H2147">
        <v>1388.0839844</v>
      </c>
      <c r="I2147">
        <v>1256.255249</v>
      </c>
      <c r="J2147">
        <v>1219.4888916</v>
      </c>
      <c r="K2147">
        <v>2400</v>
      </c>
      <c r="L2147">
        <v>0</v>
      </c>
      <c r="M2147">
        <v>0</v>
      </c>
      <c r="N2147">
        <v>2400</v>
      </c>
    </row>
    <row r="2148" spans="1:14" x14ac:dyDescent="0.25">
      <c r="A2148">
        <v>1519.1177319999999</v>
      </c>
      <c r="B2148" s="1">
        <f>DATE(2014,6,28) + TIME(2,49,32)</f>
        <v>41818.117731481485</v>
      </c>
      <c r="C2148">
        <v>80</v>
      </c>
      <c r="D2148">
        <v>79.978096007999994</v>
      </c>
      <c r="E2148">
        <v>50</v>
      </c>
      <c r="F2148">
        <v>47.052360534999998</v>
      </c>
      <c r="G2148">
        <v>1412.2283935999999</v>
      </c>
      <c r="H2148">
        <v>1388.0291748</v>
      </c>
      <c r="I2148">
        <v>1256.1651611</v>
      </c>
      <c r="J2148">
        <v>1219.3670654</v>
      </c>
      <c r="K2148">
        <v>2400</v>
      </c>
      <c r="L2148">
        <v>0</v>
      </c>
      <c r="M2148">
        <v>0</v>
      </c>
      <c r="N2148">
        <v>2400</v>
      </c>
    </row>
    <row r="2149" spans="1:14" x14ac:dyDescent="0.25">
      <c r="A2149">
        <v>1520.4137470000001</v>
      </c>
      <c r="B2149" s="1">
        <f>DATE(2014,6,29) + TIME(9,55,47)</f>
        <v>41819.413738425923</v>
      </c>
      <c r="C2149">
        <v>80</v>
      </c>
      <c r="D2149">
        <v>79.978111267000003</v>
      </c>
      <c r="E2149">
        <v>50</v>
      </c>
      <c r="F2149">
        <v>46.992618561</v>
      </c>
      <c r="G2149">
        <v>1412.1710204999999</v>
      </c>
      <c r="H2149">
        <v>1387.9746094</v>
      </c>
      <c r="I2149">
        <v>1256.0720214999999</v>
      </c>
      <c r="J2149">
        <v>1219.2406006000001</v>
      </c>
      <c r="K2149">
        <v>2400</v>
      </c>
      <c r="L2149">
        <v>0</v>
      </c>
      <c r="M2149">
        <v>0</v>
      </c>
      <c r="N2149">
        <v>2400</v>
      </c>
    </row>
    <row r="2150" spans="1:14" x14ac:dyDescent="0.25">
      <c r="A2150">
        <v>1521.734723</v>
      </c>
      <c r="B2150" s="1">
        <f>DATE(2014,6,30) + TIME(17,38,0)</f>
        <v>41820.734722222223</v>
      </c>
      <c r="C2150">
        <v>80</v>
      </c>
      <c r="D2150">
        <v>79.978126525999997</v>
      </c>
      <c r="E2150">
        <v>50</v>
      </c>
      <c r="F2150">
        <v>46.931514739999997</v>
      </c>
      <c r="G2150">
        <v>1412.1138916</v>
      </c>
      <c r="H2150">
        <v>1387.9202881000001</v>
      </c>
      <c r="I2150">
        <v>1255.9750977000001</v>
      </c>
      <c r="J2150">
        <v>1219.1086425999999</v>
      </c>
      <c r="K2150">
        <v>2400</v>
      </c>
      <c r="L2150">
        <v>0</v>
      </c>
      <c r="M2150">
        <v>0</v>
      </c>
      <c r="N2150">
        <v>2400</v>
      </c>
    </row>
    <row r="2151" spans="1:14" x14ac:dyDescent="0.25">
      <c r="A2151">
        <v>1522</v>
      </c>
      <c r="B2151" s="1">
        <f>DATE(2014,7,1) + TIME(0,0,0)</f>
        <v>41821</v>
      </c>
      <c r="C2151">
        <v>80</v>
      </c>
      <c r="D2151">
        <v>79.978126525999997</v>
      </c>
      <c r="E2151">
        <v>50</v>
      </c>
      <c r="F2151">
        <v>46.900730133000003</v>
      </c>
      <c r="G2151">
        <v>1412.0578613</v>
      </c>
      <c r="H2151">
        <v>1387.8670654</v>
      </c>
      <c r="I2151">
        <v>1255.8754882999999</v>
      </c>
      <c r="J2151">
        <v>1218.9907227000001</v>
      </c>
      <c r="K2151">
        <v>2400</v>
      </c>
      <c r="L2151">
        <v>0</v>
      </c>
      <c r="M2151">
        <v>0</v>
      </c>
      <c r="N2151">
        <v>2400</v>
      </c>
    </row>
    <row r="2152" spans="1:14" x14ac:dyDescent="0.25">
      <c r="A2152">
        <v>1523.3520269999999</v>
      </c>
      <c r="B2152" s="1">
        <f>DATE(2014,7,2) + TIME(8,26,55)</f>
        <v>41822.352025462962</v>
      </c>
      <c r="C2152">
        <v>80</v>
      </c>
      <c r="D2152">
        <v>79.978149414000001</v>
      </c>
      <c r="E2152">
        <v>50</v>
      </c>
      <c r="F2152">
        <v>46.851398467999999</v>
      </c>
      <c r="G2152">
        <v>1412.0449219</v>
      </c>
      <c r="H2152">
        <v>1387.8547363</v>
      </c>
      <c r="I2152">
        <v>1255.8527832</v>
      </c>
      <c r="J2152">
        <v>1218.9382324000001</v>
      </c>
      <c r="K2152">
        <v>2400</v>
      </c>
      <c r="L2152">
        <v>0</v>
      </c>
      <c r="M2152">
        <v>0</v>
      </c>
      <c r="N2152">
        <v>2400</v>
      </c>
    </row>
    <row r="2153" spans="1:14" x14ac:dyDescent="0.25">
      <c r="A2153">
        <v>1524.750378</v>
      </c>
      <c r="B2153" s="1">
        <f>DATE(2014,7,3) + TIME(18,0,32)</f>
        <v>41823.75037037037</v>
      </c>
      <c r="C2153">
        <v>80</v>
      </c>
      <c r="D2153">
        <v>79.978164672999995</v>
      </c>
      <c r="E2153">
        <v>50</v>
      </c>
      <c r="F2153">
        <v>46.789825438999998</v>
      </c>
      <c r="G2153">
        <v>1411.9879149999999</v>
      </c>
      <c r="H2153">
        <v>1387.8006591999999</v>
      </c>
      <c r="I2153">
        <v>1255.7470702999999</v>
      </c>
      <c r="J2153">
        <v>1218.7951660000001</v>
      </c>
      <c r="K2153">
        <v>2400</v>
      </c>
      <c r="L2153">
        <v>0</v>
      </c>
      <c r="M2153">
        <v>0</v>
      </c>
      <c r="N2153">
        <v>2400</v>
      </c>
    </row>
    <row r="2154" spans="1:14" x14ac:dyDescent="0.25">
      <c r="A2154">
        <v>1526.1745100000001</v>
      </c>
      <c r="B2154" s="1">
        <f>DATE(2014,7,5) + TIME(4,11,17)</f>
        <v>41825.174502314818</v>
      </c>
      <c r="C2154">
        <v>80</v>
      </c>
      <c r="D2154">
        <v>79.978187560999999</v>
      </c>
      <c r="E2154">
        <v>50</v>
      </c>
      <c r="F2154">
        <v>46.723182678000001</v>
      </c>
      <c r="G2154">
        <v>1411.9296875</v>
      </c>
      <c r="H2154">
        <v>1387.7452393000001</v>
      </c>
      <c r="I2154">
        <v>1255.6347656</v>
      </c>
      <c r="J2154">
        <v>1218.6408690999999</v>
      </c>
      <c r="K2154">
        <v>2400</v>
      </c>
      <c r="L2154">
        <v>0</v>
      </c>
      <c r="M2154">
        <v>0</v>
      </c>
      <c r="N2154">
        <v>2400</v>
      </c>
    </row>
    <row r="2155" spans="1:14" x14ac:dyDescent="0.25">
      <c r="A2155">
        <v>1527.6021330000001</v>
      </c>
      <c r="B2155" s="1">
        <f>DATE(2014,7,6) + TIME(14,27,4)</f>
        <v>41826.602129629631</v>
      </c>
      <c r="C2155">
        <v>80</v>
      </c>
      <c r="D2155">
        <v>79.978202820000007</v>
      </c>
      <c r="E2155">
        <v>50</v>
      </c>
      <c r="F2155">
        <v>46.654014586999999</v>
      </c>
      <c r="G2155">
        <v>1411.8714600000001</v>
      </c>
      <c r="H2155">
        <v>1387.6899414</v>
      </c>
      <c r="I2155">
        <v>1255.5174560999999</v>
      </c>
      <c r="J2155">
        <v>1218.4790039</v>
      </c>
      <c r="K2155">
        <v>2400</v>
      </c>
      <c r="L2155">
        <v>0</v>
      </c>
      <c r="M2155">
        <v>0</v>
      </c>
      <c r="N2155">
        <v>2400</v>
      </c>
    </row>
    <row r="2156" spans="1:14" x14ac:dyDescent="0.25">
      <c r="A2156">
        <v>1529.039227</v>
      </c>
      <c r="B2156" s="1">
        <f>DATE(2014,7,8) + TIME(0,56,29)</f>
        <v>41828.039224537039</v>
      </c>
      <c r="C2156">
        <v>80</v>
      </c>
      <c r="D2156">
        <v>79.978225707999997</v>
      </c>
      <c r="E2156">
        <v>50</v>
      </c>
      <c r="F2156">
        <v>46.583400726000001</v>
      </c>
      <c r="G2156">
        <v>1411.8142089999999</v>
      </c>
      <c r="H2156">
        <v>1387.635376</v>
      </c>
      <c r="I2156">
        <v>1255.3969727000001</v>
      </c>
      <c r="J2156">
        <v>1218.3116454999999</v>
      </c>
      <c r="K2156">
        <v>2400</v>
      </c>
      <c r="L2156">
        <v>0</v>
      </c>
      <c r="M2156">
        <v>0</v>
      </c>
      <c r="N2156">
        <v>2400</v>
      </c>
    </row>
    <row r="2157" spans="1:14" x14ac:dyDescent="0.25">
      <c r="A2157">
        <v>1530.4922489999999</v>
      </c>
      <c r="B2157" s="1">
        <f>DATE(2014,7,9) + TIME(11,48,50)</f>
        <v>41829.492245370369</v>
      </c>
      <c r="C2157">
        <v>80</v>
      </c>
      <c r="D2157">
        <v>79.978240967000005</v>
      </c>
      <c r="E2157">
        <v>50</v>
      </c>
      <c r="F2157">
        <v>46.511322020999998</v>
      </c>
      <c r="G2157">
        <v>1411.7574463000001</v>
      </c>
      <c r="H2157">
        <v>1387.5812988</v>
      </c>
      <c r="I2157">
        <v>1255.2728271000001</v>
      </c>
      <c r="J2157">
        <v>1218.1385498</v>
      </c>
      <c r="K2157">
        <v>2400</v>
      </c>
      <c r="L2157">
        <v>0</v>
      </c>
      <c r="M2157">
        <v>0</v>
      </c>
      <c r="N2157">
        <v>2400</v>
      </c>
    </row>
    <row r="2158" spans="1:14" x14ac:dyDescent="0.25">
      <c r="A2158">
        <v>1531.9674640000001</v>
      </c>
      <c r="B2158" s="1">
        <f>DATE(2014,7,10) + TIME(23,13,8)</f>
        <v>41830.967453703706</v>
      </c>
      <c r="C2158">
        <v>80</v>
      </c>
      <c r="D2158">
        <v>79.978263854999994</v>
      </c>
      <c r="E2158">
        <v>50</v>
      </c>
      <c r="F2158">
        <v>46.437469481999997</v>
      </c>
      <c r="G2158">
        <v>1411.7010498</v>
      </c>
      <c r="H2158">
        <v>1387.5277100000001</v>
      </c>
      <c r="I2158">
        <v>1255.1444091999999</v>
      </c>
      <c r="J2158">
        <v>1217.9588623</v>
      </c>
      <c r="K2158">
        <v>2400</v>
      </c>
      <c r="L2158">
        <v>0</v>
      </c>
      <c r="M2158">
        <v>0</v>
      </c>
      <c r="N2158">
        <v>2400</v>
      </c>
    </row>
    <row r="2159" spans="1:14" x14ac:dyDescent="0.25">
      <c r="A2159">
        <v>1533.470795</v>
      </c>
      <c r="B2159" s="1">
        <f>DATE(2014,7,12) + TIME(11,17,56)</f>
        <v>41832.47078703704</v>
      </c>
      <c r="C2159">
        <v>80</v>
      </c>
      <c r="D2159">
        <v>79.978279114000003</v>
      </c>
      <c r="E2159">
        <v>50</v>
      </c>
      <c r="F2159">
        <v>46.361457825000002</v>
      </c>
      <c r="G2159">
        <v>1411.6447754000001</v>
      </c>
      <c r="H2159">
        <v>1387.4741211</v>
      </c>
      <c r="I2159">
        <v>1255.0109863</v>
      </c>
      <c r="J2159">
        <v>1217.7713623</v>
      </c>
      <c r="K2159">
        <v>2400</v>
      </c>
      <c r="L2159">
        <v>0</v>
      </c>
      <c r="M2159">
        <v>0</v>
      </c>
      <c r="N2159">
        <v>2400</v>
      </c>
    </row>
    <row r="2160" spans="1:14" x14ac:dyDescent="0.25">
      <c r="A2160">
        <v>1535.009067</v>
      </c>
      <c r="B2160" s="1">
        <f>DATE(2014,7,14) + TIME(0,13,3)</f>
        <v>41834.009062500001</v>
      </c>
      <c r="C2160">
        <v>80</v>
      </c>
      <c r="D2160">
        <v>79.978302002000007</v>
      </c>
      <c r="E2160">
        <v>50</v>
      </c>
      <c r="F2160">
        <v>46.282867432000003</v>
      </c>
      <c r="G2160">
        <v>1411.5883789</v>
      </c>
      <c r="H2160">
        <v>1387.4204102000001</v>
      </c>
      <c r="I2160">
        <v>1254.8719481999999</v>
      </c>
      <c r="J2160">
        <v>1217.5751952999999</v>
      </c>
      <c r="K2160">
        <v>2400</v>
      </c>
      <c r="L2160">
        <v>0</v>
      </c>
      <c r="M2160">
        <v>0</v>
      </c>
      <c r="N2160">
        <v>2400</v>
      </c>
    </row>
    <row r="2161" spans="1:14" x14ac:dyDescent="0.25">
      <c r="A2161">
        <v>1536.5897030000001</v>
      </c>
      <c r="B2161" s="1">
        <f>DATE(2014,7,15) + TIME(14,9,10)</f>
        <v>41835.589699074073</v>
      </c>
      <c r="C2161">
        <v>80</v>
      </c>
      <c r="D2161">
        <v>79.978317261000001</v>
      </c>
      <c r="E2161">
        <v>50</v>
      </c>
      <c r="F2161">
        <v>46.201213836999997</v>
      </c>
      <c r="G2161">
        <v>1411.5316161999999</v>
      </c>
      <c r="H2161">
        <v>1387.3663329999999</v>
      </c>
      <c r="I2161">
        <v>1254.7263184000001</v>
      </c>
      <c r="J2161">
        <v>1217.3691406</v>
      </c>
      <c r="K2161">
        <v>2400</v>
      </c>
      <c r="L2161">
        <v>0</v>
      </c>
      <c r="M2161">
        <v>0</v>
      </c>
      <c r="N2161">
        <v>2400</v>
      </c>
    </row>
    <row r="2162" spans="1:14" x14ac:dyDescent="0.25">
      <c r="A2162">
        <v>1538.2037230000001</v>
      </c>
      <c r="B2162" s="1">
        <f>DATE(2014,7,17) + TIME(4,53,21)</f>
        <v>41837.203715277778</v>
      </c>
      <c r="C2162">
        <v>80</v>
      </c>
      <c r="D2162">
        <v>79.978340149000005</v>
      </c>
      <c r="E2162">
        <v>50</v>
      </c>
      <c r="F2162">
        <v>46.116149901999997</v>
      </c>
      <c r="G2162">
        <v>1411.4743652</v>
      </c>
      <c r="H2162">
        <v>1387.3116454999999</v>
      </c>
      <c r="I2162">
        <v>1254.5732422000001</v>
      </c>
      <c r="J2162">
        <v>1217.1517334</v>
      </c>
      <c r="K2162">
        <v>2400</v>
      </c>
      <c r="L2162">
        <v>0</v>
      </c>
      <c r="M2162">
        <v>0</v>
      </c>
      <c r="N2162">
        <v>2400</v>
      </c>
    </row>
    <row r="2163" spans="1:14" x14ac:dyDescent="0.25">
      <c r="A2163">
        <v>1539.8215459999999</v>
      </c>
      <c r="B2163" s="1">
        <f>DATE(2014,7,18) + TIME(19,43,1)</f>
        <v>41838.821539351855</v>
      </c>
      <c r="C2163">
        <v>80</v>
      </c>
      <c r="D2163">
        <v>79.978363036999994</v>
      </c>
      <c r="E2163">
        <v>50</v>
      </c>
      <c r="F2163">
        <v>46.028095245000003</v>
      </c>
      <c r="G2163">
        <v>1411.4167480000001</v>
      </c>
      <c r="H2163">
        <v>1387.2568358999999</v>
      </c>
      <c r="I2163">
        <v>1254.4134521000001</v>
      </c>
      <c r="J2163">
        <v>1216.9240723</v>
      </c>
      <c r="K2163">
        <v>2400</v>
      </c>
      <c r="L2163">
        <v>0</v>
      </c>
      <c r="M2163">
        <v>0</v>
      </c>
      <c r="N2163">
        <v>2400</v>
      </c>
    </row>
    <row r="2164" spans="1:14" x14ac:dyDescent="0.25">
      <c r="A2164">
        <v>1541.4497759999999</v>
      </c>
      <c r="B2164" s="1">
        <f>DATE(2014,7,20) + TIME(10,47,40)</f>
        <v>41840.44976851852</v>
      </c>
      <c r="C2164">
        <v>80</v>
      </c>
      <c r="D2164">
        <v>79.978385924999998</v>
      </c>
      <c r="E2164">
        <v>50</v>
      </c>
      <c r="F2164">
        <v>45.937873840000002</v>
      </c>
      <c r="G2164">
        <v>1411.3599853999999</v>
      </c>
      <c r="H2164">
        <v>1387.2026367000001</v>
      </c>
      <c r="I2164">
        <v>1254.2493896000001</v>
      </c>
      <c r="J2164">
        <v>1216.6893310999999</v>
      </c>
      <c r="K2164">
        <v>2400</v>
      </c>
      <c r="L2164">
        <v>0</v>
      </c>
      <c r="M2164">
        <v>0</v>
      </c>
      <c r="N2164">
        <v>2400</v>
      </c>
    </row>
    <row r="2165" spans="1:14" x14ac:dyDescent="0.25">
      <c r="A2165">
        <v>1543.0953300000001</v>
      </c>
      <c r="B2165" s="1">
        <f>DATE(2014,7,22) + TIME(2,17,16)</f>
        <v>41842.095324074071</v>
      </c>
      <c r="C2165">
        <v>80</v>
      </c>
      <c r="D2165">
        <v>79.978401184000006</v>
      </c>
      <c r="E2165">
        <v>50</v>
      </c>
      <c r="F2165">
        <v>45.845317841000004</v>
      </c>
      <c r="G2165">
        <v>1411.3037108999999</v>
      </c>
      <c r="H2165">
        <v>1387.1490478999999</v>
      </c>
      <c r="I2165">
        <v>1254.0805664</v>
      </c>
      <c r="J2165">
        <v>1216.4468993999999</v>
      </c>
      <c r="K2165">
        <v>2400</v>
      </c>
      <c r="L2165">
        <v>0</v>
      </c>
      <c r="M2165">
        <v>0</v>
      </c>
      <c r="N2165">
        <v>2400</v>
      </c>
    </row>
    <row r="2166" spans="1:14" x14ac:dyDescent="0.25">
      <c r="A2166">
        <v>1544.765572</v>
      </c>
      <c r="B2166" s="1">
        <f>DATE(2014,7,23) + TIME(18,22,25)</f>
        <v>41843.765567129631</v>
      </c>
      <c r="C2166">
        <v>80</v>
      </c>
      <c r="D2166">
        <v>79.978424071999996</v>
      </c>
      <c r="E2166">
        <v>50</v>
      </c>
      <c r="F2166">
        <v>45.75</v>
      </c>
      <c r="G2166">
        <v>1411.2478027</v>
      </c>
      <c r="H2166">
        <v>1387.0957031</v>
      </c>
      <c r="I2166">
        <v>1253.90625</v>
      </c>
      <c r="J2166">
        <v>1216.1955565999999</v>
      </c>
      <c r="K2166">
        <v>2400</v>
      </c>
      <c r="L2166">
        <v>0</v>
      </c>
      <c r="M2166">
        <v>0</v>
      </c>
      <c r="N2166">
        <v>2400</v>
      </c>
    </row>
    <row r="2167" spans="1:14" x14ac:dyDescent="0.25">
      <c r="A2167">
        <v>1546.466842</v>
      </c>
      <c r="B2167" s="1">
        <f>DATE(2014,7,25) + TIME(11,12,15)</f>
        <v>41845.466840277775</v>
      </c>
      <c r="C2167">
        <v>80</v>
      </c>
      <c r="D2167">
        <v>79.978446959999999</v>
      </c>
      <c r="E2167">
        <v>50</v>
      </c>
      <c r="F2167">
        <v>45.651405334000003</v>
      </c>
      <c r="G2167">
        <v>1411.1918945</v>
      </c>
      <c r="H2167">
        <v>1387.0423584</v>
      </c>
      <c r="I2167">
        <v>1253.7255858999999</v>
      </c>
      <c r="J2167">
        <v>1215.934082</v>
      </c>
      <c r="K2167">
        <v>2400</v>
      </c>
      <c r="L2167">
        <v>0</v>
      </c>
      <c r="M2167">
        <v>0</v>
      </c>
      <c r="N2167">
        <v>2400</v>
      </c>
    </row>
    <row r="2168" spans="1:14" x14ac:dyDescent="0.25">
      <c r="A2168">
        <v>1548.203229</v>
      </c>
      <c r="B2168" s="1">
        <f>DATE(2014,7,27) + TIME(4,52,38)</f>
        <v>41847.203217592592</v>
      </c>
      <c r="C2168">
        <v>80</v>
      </c>
      <c r="D2168">
        <v>79.978469849000007</v>
      </c>
      <c r="E2168">
        <v>50</v>
      </c>
      <c r="F2168">
        <v>45.549041748</v>
      </c>
      <c r="G2168">
        <v>1411.1358643000001</v>
      </c>
      <c r="H2168">
        <v>1386.9887695</v>
      </c>
      <c r="I2168">
        <v>1253.5374756000001</v>
      </c>
      <c r="J2168">
        <v>1215.6611327999999</v>
      </c>
      <c r="K2168">
        <v>2400</v>
      </c>
      <c r="L2168">
        <v>0</v>
      </c>
      <c r="M2168">
        <v>0</v>
      </c>
      <c r="N2168">
        <v>2400</v>
      </c>
    </row>
    <row r="2169" spans="1:14" x14ac:dyDescent="0.25">
      <c r="A2169">
        <v>1549.9796799999999</v>
      </c>
      <c r="B2169" s="1">
        <f>DATE(2014,7,28) + TIME(23,30,44)</f>
        <v>41848.979675925926</v>
      </c>
      <c r="C2169">
        <v>80</v>
      </c>
      <c r="D2169">
        <v>79.978492736999996</v>
      </c>
      <c r="E2169">
        <v>50</v>
      </c>
      <c r="F2169">
        <v>45.442462921000001</v>
      </c>
      <c r="G2169">
        <v>1411.0794678</v>
      </c>
      <c r="H2169">
        <v>1386.9350586</v>
      </c>
      <c r="I2169">
        <v>1253.3416748</v>
      </c>
      <c r="J2169">
        <v>1215.3756103999999</v>
      </c>
      <c r="K2169">
        <v>2400</v>
      </c>
      <c r="L2169">
        <v>0</v>
      </c>
      <c r="M2169">
        <v>0</v>
      </c>
      <c r="N2169">
        <v>2400</v>
      </c>
    </row>
    <row r="2170" spans="1:14" x14ac:dyDescent="0.25">
      <c r="A2170">
        <v>1551.7982890000001</v>
      </c>
      <c r="B2170" s="1">
        <f>DATE(2014,7,30) + TIME(19,9,32)</f>
        <v>41850.79828703704</v>
      </c>
      <c r="C2170">
        <v>80</v>
      </c>
      <c r="D2170">
        <v>79.978515625</v>
      </c>
      <c r="E2170">
        <v>50</v>
      </c>
      <c r="F2170">
        <v>45.331218718999999</v>
      </c>
      <c r="G2170">
        <v>1411.0227050999999</v>
      </c>
      <c r="H2170">
        <v>1386.8808594</v>
      </c>
      <c r="I2170">
        <v>1253.1370850000001</v>
      </c>
      <c r="J2170">
        <v>1215.0766602000001</v>
      </c>
      <c r="K2170">
        <v>2400</v>
      </c>
      <c r="L2170">
        <v>0</v>
      </c>
      <c r="M2170">
        <v>0</v>
      </c>
      <c r="N2170">
        <v>2400</v>
      </c>
    </row>
    <row r="2171" spans="1:14" x14ac:dyDescent="0.25">
      <c r="A2171">
        <v>1553</v>
      </c>
      <c r="B2171" s="1">
        <f>DATE(2014,8,1) + TIME(0,0,0)</f>
        <v>41852</v>
      </c>
      <c r="C2171">
        <v>80</v>
      </c>
      <c r="D2171">
        <v>79.978530883999994</v>
      </c>
      <c r="E2171">
        <v>50</v>
      </c>
      <c r="F2171">
        <v>45.226360321000001</v>
      </c>
      <c r="G2171">
        <v>1410.9654541</v>
      </c>
      <c r="H2171">
        <v>1386.8261719</v>
      </c>
      <c r="I2171">
        <v>1252.9245605000001</v>
      </c>
      <c r="J2171">
        <v>1214.7728271000001</v>
      </c>
      <c r="K2171">
        <v>2400</v>
      </c>
      <c r="L2171">
        <v>0</v>
      </c>
      <c r="M2171">
        <v>0</v>
      </c>
      <c r="N2171">
        <v>2400</v>
      </c>
    </row>
    <row r="2172" spans="1:14" x14ac:dyDescent="0.25">
      <c r="A2172">
        <v>1554.8240719999999</v>
      </c>
      <c r="B2172" s="1">
        <f>DATE(2014,8,2) + TIME(19,46,39)</f>
        <v>41853.824062500003</v>
      </c>
      <c r="C2172">
        <v>80</v>
      </c>
      <c r="D2172">
        <v>79.978553771999998</v>
      </c>
      <c r="E2172">
        <v>50</v>
      </c>
      <c r="F2172">
        <v>45.131271362</v>
      </c>
      <c r="G2172">
        <v>1410.9281006000001</v>
      </c>
      <c r="H2172">
        <v>1386.7902832</v>
      </c>
      <c r="I2172">
        <v>1252.777832</v>
      </c>
      <c r="J2172">
        <v>1214.5449219</v>
      </c>
      <c r="K2172">
        <v>2400</v>
      </c>
      <c r="L2172">
        <v>0</v>
      </c>
      <c r="M2172">
        <v>0</v>
      </c>
      <c r="N2172">
        <v>2400</v>
      </c>
    </row>
    <row r="2173" spans="1:14" x14ac:dyDescent="0.25">
      <c r="A2173">
        <v>1556.6717020000001</v>
      </c>
      <c r="B2173" s="1">
        <f>DATE(2014,8,4) + TIME(16,7,15)</f>
        <v>41855.671701388892</v>
      </c>
      <c r="C2173">
        <v>80</v>
      </c>
      <c r="D2173">
        <v>79.978576660000002</v>
      </c>
      <c r="E2173">
        <v>50</v>
      </c>
      <c r="F2173">
        <v>45.014888763000002</v>
      </c>
      <c r="G2173">
        <v>1410.8721923999999</v>
      </c>
      <c r="H2173">
        <v>1386.7369385</v>
      </c>
      <c r="I2173">
        <v>1252.5576172000001</v>
      </c>
      <c r="J2173">
        <v>1214.2233887</v>
      </c>
      <c r="K2173">
        <v>2400</v>
      </c>
      <c r="L2173">
        <v>0</v>
      </c>
      <c r="M2173">
        <v>0</v>
      </c>
      <c r="N2173">
        <v>2400</v>
      </c>
    </row>
    <row r="2174" spans="1:14" x14ac:dyDescent="0.25">
      <c r="A2174">
        <v>1558.5411670000001</v>
      </c>
      <c r="B2174" s="1">
        <f>DATE(2014,8,6) + TIME(12,59,16)</f>
        <v>41857.54115740741</v>
      </c>
      <c r="C2174">
        <v>80</v>
      </c>
      <c r="D2174">
        <v>79.978599548000005</v>
      </c>
      <c r="E2174">
        <v>50</v>
      </c>
      <c r="F2174">
        <v>44.890869141000003</v>
      </c>
      <c r="G2174">
        <v>1410.8164062000001</v>
      </c>
      <c r="H2174">
        <v>1386.6834716999999</v>
      </c>
      <c r="I2174">
        <v>1252.3292236</v>
      </c>
      <c r="J2174">
        <v>1213.8859863</v>
      </c>
      <c r="K2174">
        <v>2400</v>
      </c>
      <c r="L2174">
        <v>0</v>
      </c>
      <c r="M2174">
        <v>0</v>
      </c>
      <c r="N2174">
        <v>2400</v>
      </c>
    </row>
    <row r="2175" spans="1:14" x14ac:dyDescent="0.25">
      <c r="A2175">
        <v>1560.4405899999999</v>
      </c>
      <c r="B2175" s="1">
        <f>DATE(2014,8,8) + TIME(10,34,26)</f>
        <v>41859.440578703703</v>
      </c>
      <c r="C2175">
        <v>80</v>
      </c>
      <c r="D2175">
        <v>79.978622436999999</v>
      </c>
      <c r="E2175">
        <v>50</v>
      </c>
      <c r="F2175">
        <v>44.761878967000001</v>
      </c>
      <c r="G2175">
        <v>1410.7606201000001</v>
      </c>
      <c r="H2175">
        <v>1386.630249</v>
      </c>
      <c r="I2175">
        <v>1252.09375</v>
      </c>
      <c r="J2175">
        <v>1213.5362548999999</v>
      </c>
      <c r="K2175">
        <v>2400</v>
      </c>
      <c r="L2175">
        <v>0</v>
      </c>
      <c r="M2175">
        <v>0</v>
      </c>
      <c r="N2175">
        <v>2400</v>
      </c>
    </row>
    <row r="2176" spans="1:14" x14ac:dyDescent="0.25">
      <c r="A2176">
        <v>1562.3769669999999</v>
      </c>
      <c r="B2176" s="1">
        <f>DATE(2014,8,10) + TIME(9,2,49)</f>
        <v>41861.376956018517</v>
      </c>
      <c r="C2176">
        <v>80</v>
      </c>
      <c r="D2176">
        <v>79.978645325000002</v>
      </c>
      <c r="E2176">
        <v>50</v>
      </c>
      <c r="F2176">
        <v>44.627906799000002</v>
      </c>
      <c r="G2176">
        <v>1410.7048339999999</v>
      </c>
      <c r="H2176">
        <v>1386.5767822</v>
      </c>
      <c r="I2176">
        <v>1251.8502197</v>
      </c>
      <c r="J2176">
        <v>1213.1732178</v>
      </c>
      <c r="K2176">
        <v>2400</v>
      </c>
      <c r="L2176">
        <v>0</v>
      </c>
      <c r="M2176">
        <v>0</v>
      </c>
      <c r="N2176">
        <v>2400</v>
      </c>
    </row>
    <row r="2177" spans="1:14" x14ac:dyDescent="0.25">
      <c r="A2177">
        <v>1564.3587600000001</v>
      </c>
      <c r="B2177" s="1">
        <f>DATE(2014,8,12) + TIME(8,36,36)</f>
        <v>41863.358749999999</v>
      </c>
      <c r="C2177">
        <v>80</v>
      </c>
      <c r="D2177">
        <v>79.978668213000006</v>
      </c>
      <c r="E2177">
        <v>50</v>
      </c>
      <c r="F2177">
        <v>44.488426208</v>
      </c>
      <c r="G2177">
        <v>1410.6486815999999</v>
      </c>
      <c r="H2177">
        <v>1386.5231934000001</v>
      </c>
      <c r="I2177">
        <v>1251.5975341999999</v>
      </c>
      <c r="J2177">
        <v>1212.7955322</v>
      </c>
      <c r="K2177">
        <v>2400</v>
      </c>
      <c r="L2177">
        <v>0</v>
      </c>
      <c r="M2177">
        <v>0</v>
      </c>
      <c r="N2177">
        <v>2400</v>
      </c>
    </row>
    <row r="2178" spans="1:14" x14ac:dyDescent="0.25">
      <c r="A2178">
        <v>1566.3820519999999</v>
      </c>
      <c r="B2178" s="1">
        <f>DATE(2014,8,14) + TIME(9,10,9)</f>
        <v>41865.382048611114</v>
      </c>
      <c r="C2178">
        <v>80</v>
      </c>
      <c r="D2178">
        <v>79.978691100999995</v>
      </c>
      <c r="E2178">
        <v>50</v>
      </c>
      <c r="F2178">
        <v>44.342857361</v>
      </c>
      <c r="G2178">
        <v>1410.5921631000001</v>
      </c>
      <c r="H2178">
        <v>1386.4689940999999</v>
      </c>
      <c r="I2178">
        <v>1251.3347168</v>
      </c>
      <c r="J2178">
        <v>1212.4013672000001</v>
      </c>
      <c r="K2178">
        <v>2400</v>
      </c>
      <c r="L2178">
        <v>0</v>
      </c>
      <c r="M2178">
        <v>0</v>
      </c>
      <c r="N2178">
        <v>2400</v>
      </c>
    </row>
    <row r="2179" spans="1:14" x14ac:dyDescent="0.25">
      <c r="A2179">
        <v>1568.410607</v>
      </c>
      <c r="B2179" s="1">
        <f>DATE(2014,8,16) + TIME(9,51,16)</f>
        <v>41867.410601851851</v>
      </c>
      <c r="C2179">
        <v>80</v>
      </c>
      <c r="D2179">
        <v>79.978721618999998</v>
      </c>
      <c r="E2179">
        <v>50</v>
      </c>
      <c r="F2179">
        <v>44.191623688</v>
      </c>
      <c r="G2179">
        <v>1410.5351562000001</v>
      </c>
      <c r="H2179">
        <v>1386.4144286999999</v>
      </c>
      <c r="I2179">
        <v>1251.0620117000001</v>
      </c>
      <c r="J2179">
        <v>1211.9913329999999</v>
      </c>
      <c r="K2179">
        <v>2400</v>
      </c>
      <c r="L2179">
        <v>0</v>
      </c>
      <c r="M2179">
        <v>0</v>
      </c>
      <c r="N2179">
        <v>2400</v>
      </c>
    </row>
    <row r="2180" spans="1:14" x14ac:dyDescent="0.25">
      <c r="A2180">
        <v>1570.451967</v>
      </c>
      <c r="B2180" s="1">
        <f>DATE(2014,8,18) + TIME(10,50,49)</f>
        <v>41869.451956018522</v>
      </c>
      <c r="C2180">
        <v>80</v>
      </c>
      <c r="D2180">
        <v>79.978744507000002</v>
      </c>
      <c r="E2180">
        <v>50</v>
      </c>
      <c r="F2180">
        <v>44.036357879999997</v>
      </c>
      <c r="G2180">
        <v>1410.4787598</v>
      </c>
      <c r="H2180">
        <v>1386.3603516000001</v>
      </c>
      <c r="I2180">
        <v>1250.7841797000001</v>
      </c>
      <c r="J2180">
        <v>1211.5718993999999</v>
      </c>
      <c r="K2180">
        <v>2400</v>
      </c>
      <c r="L2180">
        <v>0</v>
      </c>
      <c r="M2180">
        <v>0</v>
      </c>
      <c r="N2180">
        <v>2400</v>
      </c>
    </row>
    <row r="2181" spans="1:14" x14ac:dyDescent="0.25">
      <c r="A2181">
        <v>1572.5138460000001</v>
      </c>
      <c r="B2181" s="1">
        <f>DATE(2014,8,20) + TIME(12,19,56)</f>
        <v>41871.513842592591</v>
      </c>
      <c r="C2181">
        <v>80</v>
      </c>
      <c r="D2181">
        <v>79.978767395000006</v>
      </c>
      <c r="E2181">
        <v>50</v>
      </c>
      <c r="F2181">
        <v>43.876903534</v>
      </c>
      <c r="G2181">
        <v>1410.4228516000001</v>
      </c>
      <c r="H2181">
        <v>1386.3067627</v>
      </c>
      <c r="I2181">
        <v>1250.5003661999999</v>
      </c>
      <c r="J2181">
        <v>1211.1420897999999</v>
      </c>
      <c r="K2181">
        <v>2400</v>
      </c>
      <c r="L2181">
        <v>0</v>
      </c>
      <c r="M2181">
        <v>0</v>
      </c>
      <c r="N2181">
        <v>2400</v>
      </c>
    </row>
    <row r="2182" spans="1:14" x14ac:dyDescent="0.25">
      <c r="A2182">
        <v>1574.6050230000001</v>
      </c>
      <c r="B2182" s="1">
        <f>DATE(2014,8,22) + TIME(14,31,13)</f>
        <v>41873.605011574073</v>
      </c>
      <c r="C2182">
        <v>80</v>
      </c>
      <c r="D2182">
        <v>79.978790282999995</v>
      </c>
      <c r="E2182">
        <v>50</v>
      </c>
      <c r="F2182">
        <v>43.712711333999998</v>
      </c>
      <c r="G2182">
        <v>1410.3670654</v>
      </c>
      <c r="H2182">
        <v>1386.2532959</v>
      </c>
      <c r="I2182">
        <v>1250.2097168</v>
      </c>
      <c r="J2182">
        <v>1210.7004394999999</v>
      </c>
      <c r="K2182">
        <v>2400</v>
      </c>
      <c r="L2182">
        <v>0</v>
      </c>
      <c r="M2182">
        <v>0</v>
      </c>
      <c r="N2182">
        <v>2400</v>
      </c>
    </row>
    <row r="2183" spans="1:14" x14ac:dyDescent="0.25">
      <c r="A2183">
        <v>1576.733469</v>
      </c>
      <c r="B2183" s="1">
        <f>DATE(2014,8,24) + TIME(17,36,11)</f>
        <v>41875.733460648145</v>
      </c>
      <c r="C2183">
        <v>80</v>
      </c>
      <c r="D2183">
        <v>79.978820800999998</v>
      </c>
      <c r="E2183">
        <v>50</v>
      </c>
      <c r="F2183">
        <v>43.543094635000003</v>
      </c>
      <c r="G2183">
        <v>1410.3112793</v>
      </c>
      <c r="H2183">
        <v>1386.1998291</v>
      </c>
      <c r="I2183">
        <v>1249.9108887</v>
      </c>
      <c r="J2183">
        <v>1210.2449951000001</v>
      </c>
      <c r="K2183">
        <v>2400</v>
      </c>
      <c r="L2183">
        <v>0</v>
      </c>
      <c r="M2183">
        <v>0</v>
      </c>
      <c r="N2183">
        <v>2400</v>
      </c>
    </row>
    <row r="2184" spans="1:14" x14ac:dyDescent="0.25">
      <c r="A2184">
        <v>1578.9075270000001</v>
      </c>
      <c r="B2184" s="1">
        <f>DATE(2014,8,26) + TIME(21,46,50)</f>
        <v>41877.907523148147</v>
      </c>
      <c r="C2184">
        <v>80</v>
      </c>
      <c r="D2184">
        <v>79.978843689000001</v>
      </c>
      <c r="E2184">
        <v>50</v>
      </c>
      <c r="F2184">
        <v>43.367351532000001</v>
      </c>
      <c r="G2184">
        <v>1410.2551269999999</v>
      </c>
      <c r="H2184">
        <v>1386.1459961</v>
      </c>
      <c r="I2184">
        <v>1249.6029053</v>
      </c>
      <c r="J2184">
        <v>1209.7741699000001</v>
      </c>
      <c r="K2184">
        <v>2400</v>
      </c>
      <c r="L2184">
        <v>0</v>
      </c>
      <c r="M2184">
        <v>0</v>
      </c>
      <c r="N2184">
        <v>2400</v>
      </c>
    </row>
    <row r="2185" spans="1:14" x14ac:dyDescent="0.25">
      <c r="A2185">
        <v>1581.130523</v>
      </c>
      <c r="B2185" s="1">
        <f>DATE(2014,8,29) + TIME(3,7,57)</f>
        <v>41880.130520833336</v>
      </c>
      <c r="C2185">
        <v>80</v>
      </c>
      <c r="D2185">
        <v>79.978874207000004</v>
      </c>
      <c r="E2185">
        <v>50</v>
      </c>
      <c r="F2185">
        <v>43.184799194</v>
      </c>
      <c r="G2185">
        <v>1410.1986084</v>
      </c>
      <c r="H2185">
        <v>1386.0917969</v>
      </c>
      <c r="I2185">
        <v>1249.2844238</v>
      </c>
      <c r="J2185">
        <v>1209.2860106999999</v>
      </c>
      <c r="K2185">
        <v>2400</v>
      </c>
      <c r="L2185">
        <v>0</v>
      </c>
      <c r="M2185">
        <v>0</v>
      </c>
      <c r="N2185">
        <v>2400</v>
      </c>
    </row>
    <row r="2186" spans="1:14" x14ac:dyDescent="0.25">
      <c r="A2186">
        <v>1583.3697990000001</v>
      </c>
      <c r="B2186" s="1">
        <f>DATE(2014,8,31) + TIME(8,52,30)</f>
        <v>41882.369791666664</v>
      </c>
      <c r="C2186">
        <v>80</v>
      </c>
      <c r="D2186">
        <v>79.978897094999994</v>
      </c>
      <c r="E2186">
        <v>50</v>
      </c>
      <c r="F2186">
        <v>42.995540619000003</v>
      </c>
      <c r="G2186">
        <v>1410.1416016000001</v>
      </c>
      <c r="H2186">
        <v>1386.0369873</v>
      </c>
      <c r="I2186">
        <v>1248.9552002</v>
      </c>
      <c r="J2186">
        <v>1208.7801514</v>
      </c>
      <c r="K2186">
        <v>2400</v>
      </c>
      <c r="L2186">
        <v>0</v>
      </c>
      <c r="M2186">
        <v>0</v>
      </c>
      <c r="N2186">
        <v>2400</v>
      </c>
    </row>
    <row r="2187" spans="1:14" x14ac:dyDescent="0.25">
      <c r="A2187">
        <v>1584</v>
      </c>
      <c r="B2187" s="1">
        <f>DATE(2014,9,1) + TIME(0,0,0)</f>
        <v>41883</v>
      </c>
      <c r="C2187">
        <v>80</v>
      </c>
      <c r="D2187">
        <v>79.978904724000003</v>
      </c>
      <c r="E2187">
        <v>50</v>
      </c>
      <c r="F2187">
        <v>42.859981537000003</v>
      </c>
      <c r="G2187">
        <v>1410.0852050999999</v>
      </c>
      <c r="H2187">
        <v>1385.9829102000001</v>
      </c>
      <c r="I2187">
        <v>1248.6267089999999</v>
      </c>
      <c r="J2187">
        <v>1208.3184814000001</v>
      </c>
      <c r="K2187">
        <v>2400</v>
      </c>
      <c r="L2187">
        <v>0</v>
      </c>
      <c r="M2187">
        <v>0</v>
      </c>
      <c r="N2187">
        <v>2400</v>
      </c>
    </row>
    <row r="2188" spans="1:14" x14ac:dyDescent="0.25">
      <c r="A2188">
        <v>1586.2509889999999</v>
      </c>
      <c r="B2188" s="1">
        <f>DATE(2014,9,3) + TIME(6,1,25)</f>
        <v>41885.250983796293</v>
      </c>
      <c r="C2188">
        <v>80</v>
      </c>
      <c r="D2188">
        <v>79.978935242000006</v>
      </c>
      <c r="E2188">
        <v>50</v>
      </c>
      <c r="F2188">
        <v>42.732349395999996</v>
      </c>
      <c r="G2188">
        <v>1410.0686035000001</v>
      </c>
      <c r="H2188">
        <v>1385.9669189000001</v>
      </c>
      <c r="I2188">
        <v>1248.5203856999999</v>
      </c>
      <c r="J2188">
        <v>1208.0981445</v>
      </c>
      <c r="K2188">
        <v>2400</v>
      </c>
      <c r="L2188">
        <v>0</v>
      </c>
      <c r="M2188">
        <v>0</v>
      </c>
      <c r="N2188">
        <v>2400</v>
      </c>
    </row>
    <row r="2189" spans="1:14" x14ac:dyDescent="0.25">
      <c r="A2189">
        <v>1588.529227</v>
      </c>
      <c r="B2189" s="1">
        <f>DATE(2014,9,5) + TIME(12,42,5)</f>
        <v>41887.529224537036</v>
      </c>
      <c r="C2189">
        <v>80</v>
      </c>
      <c r="D2189">
        <v>79.978958129999995</v>
      </c>
      <c r="E2189">
        <v>50</v>
      </c>
      <c r="F2189">
        <v>42.544601440000001</v>
      </c>
      <c r="G2189">
        <v>1410.0126952999999</v>
      </c>
      <c r="H2189">
        <v>1385.9132079999999</v>
      </c>
      <c r="I2189">
        <v>1248.1826172000001</v>
      </c>
      <c r="J2189">
        <v>1207.5844727000001</v>
      </c>
      <c r="K2189">
        <v>2400</v>
      </c>
      <c r="L2189">
        <v>0</v>
      </c>
      <c r="M2189">
        <v>0</v>
      </c>
      <c r="N2189">
        <v>2400</v>
      </c>
    </row>
    <row r="2190" spans="1:14" x14ac:dyDescent="0.25">
      <c r="A2190">
        <v>1590.837743</v>
      </c>
      <c r="B2190" s="1">
        <f>DATE(2014,9,7) + TIME(20,6,20)</f>
        <v>41889.837731481479</v>
      </c>
      <c r="C2190">
        <v>80</v>
      </c>
      <c r="D2190">
        <v>79.978981017999999</v>
      </c>
      <c r="E2190">
        <v>50</v>
      </c>
      <c r="F2190">
        <v>42.342330933</v>
      </c>
      <c r="G2190">
        <v>1409.956543</v>
      </c>
      <c r="H2190">
        <v>1385.8591309000001</v>
      </c>
      <c r="I2190">
        <v>1247.8345947</v>
      </c>
      <c r="J2190">
        <v>1207.0456543</v>
      </c>
      <c r="K2190">
        <v>2400</v>
      </c>
      <c r="L2190">
        <v>0</v>
      </c>
      <c r="M2190">
        <v>0</v>
      </c>
      <c r="N2190">
        <v>2400</v>
      </c>
    </row>
    <row r="2191" spans="1:14" x14ac:dyDescent="0.25">
      <c r="A2191">
        <v>1593.184628</v>
      </c>
      <c r="B2191" s="1">
        <f>DATE(2014,9,10) + TIME(4,25,51)</f>
        <v>41892.184618055559</v>
      </c>
      <c r="C2191">
        <v>80</v>
      </c>
      <c r="D2191">
        <v>79.979011536000002</v>
      </c>
      <c r="E2191">
        <v>50</v>
      </c>
      <c r="F2191">
        <v>42.133163451999998</v>
      </c>
      <c r="G2191">
        <v>1409.9002685999999</v>
      </c>
      <c r="H2191">
        <v>1385.8050536999999</v>
      </c>
      <c r="I2191">
        <v>1247.4786377</v>
      </c>
      <c r="J2191">
        <v>1206.4915771000001</v>
      </c>
      <c r="K2191">
        <v>2400</v>
      </c>
      <c r="L2191">
        <v>0</v>
      </c>
      <c r="M2191">
        <v>0</v>
      </c>
      <c r="N2191">
        <v>2400</v>
      </c>
    </row>
    <row r="2192" spans="1:14" x14ac:dyDescent="0.25">
      <c r="A2192">
        <v>1595.5775920000001</v>
      </c>
      <c r="B2192" s="1">
        <f>DATE(2014,9,12) + TIME(13,51,43)</f>
        <v>41894.577581018515</v>
      </c>
      <c r="C2192">
        <v>80</v>
      </c>
      <c r="D2192">
        <v>79.979042053000001</v>
      </c>
      <c r="E2192">
        <v>50</v>
      </c>
      <c r="F2192">
        <v>41.917797088999997</v>
      </c>
      <c r="G2192">
        <v>1409.8436279</v>
      </c>
      <c r="H2192">
        <v>1385.7506103999999</v>
      </c>
      <c r="I2192">
        <v>1247.1141356999999</v>
      </c>
      <c r="J2192">
        <v>1205.9224853999999</v>
      </c>
      <c r="K2192">
        <v>2400</v>
      </c>
      <c r="L2192">
        <v>0</v>
      </c>
      <c r="M2192">
        <v>0</v>
      </c>
      <c r="N2192">
        <v>2400</v>
      </c>
    </row>
    <row r="2193" spans="1:14" x14ac:dyDescent="0.25">
      <c r="A2193">
        <v>1598.0201509999999</v>
      </c>
      <c r="B2193" s="1">
        <f>DATE(2014,9,15) + TIME(0,29,1)</f>
        <v>41897.020150462966</v>
      </c>
      <c r="C2193">
        <v>80</v>
      </c>
      <c r="D2193">
        <v>79.979064941000004</v>
      </c>
      <c r="E2193">
        <v>50</v>
      </c>
      <c r="F2193">
        <v>41.695968628000003</v>
      </c>
      <c r="G2193">
        <v>1409.7866211</v>
      </c>
      <c r="H2193">
        <v>1385.6958007999999</v>
      </c>
      <c r="I2193">
        <v>1246.7402344</v>
      </c>
      <c r="J2193">
        <v>1205.3369141000001</v>
      </c>
      <c r="K2193">
        <v>2400</v>
      </c>
      <c r="L2193">
        <v>0</v>
      </c>
      <c r="M2193">
        <v>0</v>
      </c>
      <c r="N2193">
        <v>2400</v>
      </c>
    </row>
    <row r="2194" spans="1:14" x14ac:dyDescent="0.25">
      <c r="A2194">
        <v>1600.4822200000001</v>
      </c>
      <c r="B2194" s="1">
        <f>DATE(2014,9,17) + TIME(11,34,23)</f>
        <v>41899.482210648152</v>
      </c>
      <c r="C2194">
        <v>80</v>
      </c>
      <c r="D2194">
        <v>79.979095459000007</v>
      </c>
      <c r="E2194">
        <v>50</v>
      </c>
      <c r="F2194">
        <v>41.467933655000003</v>
      </c>
      <c r="G2194">
        <v>1409.729126</v>
      </c>
      <c r="H2194">
        <v>1385.6403809000001</v>
      </c>
      <c r="I2194">
        <v>1246.3564452999999</v>
      </c>
      <c r="J2194">
        <v>1204.7346190999999</v>
      </c>
      <c r="K2194">
        <v>2400</v>
      </c>
      <c r="L2194">
        <v>0</v>
      </c>
      <c r="M2194">
        <v>0</v>
      </c>
      <c r="N2194">
        <v>2400</v>
      </c>
    </row>
    <row r="2195" spans="1:14" x14ac:dyDescent="0.25">
      <c r="A2195">
        <v>1602.9555539999999</v>
      </c>
      <c r="B2195" s="1">
        <f>DATE(2014,9,19) + TIME(22,55,59)</f>
        <v>41901.955543981479</v>
      </c>
      <c r="C2195">
        <v>80</v>
      </c>
      <c r="D2195">
        <v>79.979125976999995</v>
      </c>
      <c r="E2195">
        <v>50</v>
      </c>
      <c r="F2195">
        <v>41.235996245999999</v>
      </c>
      <c r="G2195">
        <v>1409.6717529</v>
      </c>
      <c r="H2195">
        <v>1385.5852050999999</v>
      </c>
      <c r="I2195">
        <v>1245.9677733999999</v>
      </c>
      <c r="J2195">
        <v>1204.1226807</v>
      </c>
      <c r="K2195">
        <v>2400</v>
      </c>
      <c r="L2195">
        <v>0</v>
      </c>
      <c r="M2195">
        <v>0</v>
      </c>
      <c r="N2195">
        <v>2400</v>
      </c>
    </row>
    <row r="2196" spans="1:14" x14ac:dyDescent="0.25">
      <c r="A2196">
        <v>1605.4466399999999</v>
      </c>
      <c r="B2196" s="1">
        <f>DATE(2014,9,22) + TIME(10,43,9)</f>
        <v>41904.446631944447</v>
      </c>
      <c r="C2196">
        <v>80</v>
      </c>
      <c r="D2196">
        <v>79.979148864999999</v>
      </c>
      <c r="E2196">
        <v>50</v>
      </c>
      <c r="F2196">
        <v>41.001186371000003</v>
      </c>
      <c r="G2196">
        <v>1409.6147461</v>
      </c>
      <c r="H2196">
        <v>1385.5302733999999</v>
      </c>
      <c r="I2196">
        <v>1245.5759277</v>
      </c>
      <c r="J2196">
        <v>1203.5037841999999</v>
      </c>
      <c r="K2196">
        <v>2400</v>
      </c>
      <c r="L2196">
        <v>0</v>
      </c>
      <c r="M2196">
        <v>0</v>
      </c>
      <c r="N2196">
        <v>2400</v>
      </c>
    </row>
    <row r="2197" spans="1:14" x14ac:dyDescent="0.25">
      <c r="A2197">
        <v>1607.9635430000001</v>
      </c>
      <c r="B2197" s="1">
        <f>DATE(2014,9,24) + TIME(23,7,30)</f>
        <v>41906.963541666664</v>
      </c>
      <c r="C2197">
        <v>80</v>
      </c>
      <c r="D2197">
        <v>79.979179381999998</v>
      </c>
      <c r="E2197">
        <v>50</v>
      </c>
      <c r="F2197">
        <v>40.763397216999998</v>
      </c>
      <c r="G2197">
        <v>1409.5578613</v>
      </c>
      <c r="H2197">
        <v>1385.4754639</v>
      </c>
      <c r="I2197">
        <v>1245.1802978999999</v>
      </c>
      <c r="J2197">
        <v>1202.8770752</v>
      </c>
      <c r="K2197">
        <v>2400</v>
      </c>
      <c r="L2197">
        <v>0</v>
      </c>
      <c r="M2197">
        <v>0</v>
      </c>
      <c r="N2197">
        <v>2400</v>
      </c>
    </row>
    <row r="2198" spans="1:14" x14ac:dyDescent="0.25">
      <c r="A2198">
        <v>1610.502078</v>
      </c>
      <c r="B2198" s="1">
        <f>DATE(2014,9,27) + TIME(12,2,59)</f>
        <v>41909.502071759256</v>
      </c>
      <c r="C2198">
        <v>80</v>
      </c>
      <c r="D2198">
        <v>79.979209900000001</v>
      </c>
      <c r="E2198">
        <v>50</v>
      </c>
      <c r="F2198">
        <v>40.522468566999997</v>
      </c>
      <c r="G2198">
        <v>1409.5010986</v>
      </c>
      <c r="H2198">
        <v>1385.4207764</v>
      </c>
      <c r="I2198">
        <v>1244.7799072</v>
      </c>
      <c r="J2198">
        <v>1202.2413329999999</v>
      </c>
      <c r="K2198">
        <v>2400</v>
      </c>
      <c r="L2198">
        <v>0</v>
      </c>
      <c r="M2198">
        <v>0</v>
      </c>
      <c r="N2198">
        <v>2400</v>
      </c>
    </row>
    <row r="2199" spans="1:14" x14ac:dyDescent="0.25">
      <c r="A2199">
        <v>1613.070649</v>
      </c>
      <c r="B2199" s="1">
        <f>DATE(2014,9,30) + TIME(1,41,44)</f>
        <v>41912.070648148147</v>
      </c>
      <c r="C2199">
        <v>80</v>
      </c>
      <c r="D2199">
        <v>79.979232788000004</v>
      </c>
      <c r="E2199">
        <v>50</v>
      </c>
      <c r="F2199">
        <v>40.278820037999999</v>
      </c>
      <c r="G2199">
        <v>1409.4443358999999</v>
      </c>
      <c r="H2199">
        <v>1385.3659668</v>
      </c>
      <c r="I2199">
        <v>1244.3759766000001</v>
      </c>
      <c r="J2199">
        <v>1201.5980225000001</v>
      </c>
      <c r="K2199">
        <v>2400</v>
      </c>
      <c r="L2199">
        <v>0</v>
      </c>
      <c r="M2199">
        <v>0</v>
      </c>
      <c r="N2199">
        <v>2400</v>
      </c>
    </row>
    <row r="2200" spans="1:14" x14ac:dyDescent="0.25">
      <c r="A2200">
        <v>1614</v>
      </c>
      <c r="B2200" s="1">
        <f>DATE(2014,10,1) + TIME(0,0,0)</f>
        <v>41913</v>
      </c>
      <c r="C2200">
        <v>80</v>
      </c>
      <c r="D2200">
        <v>79.979240417</v>
      </c>
      <c r="E2200">
        <v>50</v>
      </c>
      <c r="F2200">
        <v>40.083854674999998</v>
      </c>
      <c r="G2200">
        <v>1409.3876952999999</v>
      </c>
      <c r="H2200">
        <v>1385.3114014</v>
      </c>
      <c r="I2200">
        <v>1243.9726562000001</v>
      </c>
      <c r="J2200">
        <v>1200.9970702999999</v>
      </c>
      <c r="K2200">
        <v>2400</v>
      </c>
      <c r="L2200">
        <v>0</v>
      </c>
      <c r="M2200">
        <v>0</v>
      </c>
      <c r="N2200">
        <v>2400</v>
      </c>
    </row>
    <row r="2201" spans="1:14" x14ac:dyDescent="0.25">
      <c r="A2201">
        <v>1616.611206</v>
      </c>
      <c r="B2201" s="1">
        <f>DATE(2014,10,3) + TIME(14,40,8)</f>
        <v>41915.611203703702</v>
      </c>
      <c r="C2201">
        <v>80</v>
      </c>
      <c r="D2201">
        <v>79.979278563999998</v>
      </c>
      <c r="E2201">
        <v>50</v>
      </c>
      <c r="F2201">
        <v>39.927265167000002</v>
      </c>
      <c r="G2201">
        <v>1409.3666992000001</v>
      </c>
      <c r="H2201">
        <v>1385.2911377</v>
      </c>
      <c r="I2201">
        <v>1243.8156738</v>
      </c>
      <c r="J2201">
        <v>1200.6887207</v>
      </c>
      <c r="K2201">
        <v>2400</v>
      </c>
      <c r="L2201">
        <v>0</v>
      </c>
      <c r="M2201">
        <v>0</v>
      </c>
      <c r="N2201">
        <v>2400</v>
      </c>
    </row>
    <row r="2202" spans="1:14" x14ac:dyDescent="0.25">
      <c r="A2202">
        <v>1619.2642169999999</v>
      </c>
      <c r="B2202" s="1">
        <f>DATE(2014,10,6) + TIME(6,20,28)</f>
        <v>41918.26421296296</v>
      </c>
      <c r="C2202">
        <v>80</v>
      </c>
      <c r="D2202">
        <v>79.979301453000005</v>
      </c>
      <c r="E2202">
        <v>50</v>
      </c>
      <c r="F2202">
        <v>39.690647124999998</v>
      </c>
      <c r="G2202">
        <v>1409.3099365</v>
      </c>
      <c r="H2202">
        <v>1385.2363281</v>
      </c>
      <c r="I2202">
        <v>1243.4055175999999</v>
      </c>
      <c r="J2202">
        <v>1200.0433350000001</v>
      </c>
      <c r="K2202">
        <v>2400</v>
      </c>
      <c r="L2202">
        <v>0</v>
      </c>
      <c r="M2202">
        <v>0</v>
      </c>
      <c r="N2202">
        <v>2400</v>
      </c>
    </row>
    <row r="2203" spans="1:14" x14ac:dyDescent="0.25">
      <c r="A2203">
        <v>1620.605667</v>
      </c>
      <c r="B2203" s="1">
        <f>DATE(2014,10,7) + TIME(14,32,9)</f>
        <v>41919.60565972222</v>
      </c>
      <c r="C2203">
        <v>80</v>
      </c>
      <c r="D2203">
        <v>79.979316710999996</v>
      </c>
      <c r="E2203">
        <v>50</v>
      </c>
      <c r="F2203">
        <v>39.471092224000003</v>
      </c>
      <c r="G2203">
        <v>1409.2524414</v>
      </c>
      <c r="H2203">
        <v>1385.1807861</v>
      </c>
      <c r="I2203">
        <v>1242.9895019999999</v>
      </c>
      <c r="J2203">
        <v>1199.4035644999999</v>
      </c>
      <c r="K2203">
        <v>2400</v>
      </c>
      <c r="L2203">
        <v>0</v>
      </c>
      <c r="M2203">
        <v>0</v>
      </c>
      <c r="N2203">
        <v>2400</v>
      </c>
    </row>
    <row r="2204" spans="1:14" x14ac:dyDescent="0.25">
      <c r="A2204">
        <v>1621.9471169999999</v>
      </c>
      <c r="B2204" s="1">
        <f>DATE(2014,10,8) + TIME(22,43,50)</f>
        <v>41920.947106481479</v>
      </c>
      <c r="C2204">
        <v>80</v>
      </c>
      <c r="D2204">
        <v>79.979331970000004</v>
      </c>
      <c r="E2204">
        <v>50</v>
      </c>
      <c r="F2204">
        <v>39.320682525999999</v>
      </c>
      <c r="G2204">
        <v>1409.2231445</v>
      </c>
      <c r="H2204">
        <v>1385.1525879000001</v>
      </c>
      <c r="I2204">
        <v>1242.7736815999999</v>
      </c>
      <c r="J2204">
        <v>1199.0356445</v>
      </c>
      <c r="K2204">
        <v>2400</v>
      </c>
      <c r="L2204">
        <v>0</v>
      </c>
      <c r="M2204">
        <v>0</v>
      </c>
      <c r="N2204">
        <v>2400</v>
      </c>
    </row>
    <row r="2205" spans="1:14" x14ac:dyDescent="0.25">
      <c r="A2205">
        <v>1623.2885670000001</v>
      </c>
      <c r="B2205" s="1">
        <f>DATE(2014,10,10) + TIME(6,55,32)</f>
        <v>41922.288564814815</v>
      </c>
      <c r="C2205">
        <v>80</v>
      </c>
      <c r="D2205">
        <v>79.979347228999998</v>
      </c>
      <c r="E2205">
        <v>50</v>
      </c>
      <c r="F2205">
        <v>39.187938690000003</v>
      </c>
      <c r="G2205">
        <v>1409.1944579999999</v>
      </c>
      <c r="H2205">
        <v>1385.1247559000001</v>
      </c>
      <c r="I2205">
        <v>1242.5623779</v>
      </c>
      <c r="J2205">
        <v>1198.6896973</v>
      </c>
      <c r="K2205">
        <v>2400</v>
      </c>
      <c r="L2205">
        <v>0</v>
      </c>
      <c r="M2205">
        <v>0</v>
      </c>
      <c r="N2205">
        <v>2400</v>
      </c>
    </row>
    <row r="2206" spans="1:14" x14ac:dyDescent="0.25">
      <c r="A2206">
        <v>1624.6300180000001</v>
      </c>
      <c r="B2206" s="1">
        <f>DATE(2014,10,11) + TIME(15,7,13)</f>
        <v>41923.630011574074</v>
      </c>
      <c r="C2206">
        <v>80</v>
      </c>
      <c r="D2206">
        <v>79.979362488000007</v>
      </c>
      <c r="E2206">
        <v>50</v>
      </c>
      <c r="F2206">
        <v>39.060039519999997</v>
      </c>
      <c r="G2206">
        <v>1409.1657714999999</v>
      </c>
      <c r="H2206">
        <v>1385.0970459</v>
      </c>
      <c r="I2206">
        <v>1242.3525391000001</v>
      </c>
      <c r="J2206">
        <v>1198.3496094</v>
      </c>
      <c r="K2206">
        <v>2400</v>
      </c>
      <c r="L2206">
        <v>0</v>
      </c>
      <c r="M2206">
        <v>0</v>
      </c>
      <c r="N2206">
        <v>2400</v>
      </c>
    </row>
    <row r="2207" spans="1:14" x14ac:dyDescent="0.25">
      <c r="A2207">
        <v>1625.971468</v>
      </c>
      <c r="B2207" s="1">
        <f>DATE(2014,10,12) + TIME(23,18,54)</f>
        <v>41924.971458333333</v>
      </c>
      <c r="C2207">
        <v>80</v>
      </c>
      <c r="D2207">
        <v>79.979377747000001</v>
      </c>
      <c r="E2207">
        <v>50</v>
      </c>
      <c r="F2207">
        <v>38.933818817000002</v>
      </c>
      <c r="G2207">
        <v>1409.1373291</v>
      </c>
      <c r="H2207">
        <v>1385.0695800999999</v>
      </c>
      <c r="I2207">
        <v>1242.1436768000001</v>
      </c>
      <c r="J2207">
        <v>1198.0113524999999</v>
      </c>
      <c r="K2207">
        <v>2400</v>
      </c>
      <c r="L2207">
        <v>0</v>
      </c>
      <c r="M2207">
        <v>0</v>
      </c>
      <c r="N2207">
        <v>2400</v>
      </c>
    </row>
    <row r="2208" spans="1:14" x14ac:dyDescent="0.25">
      <c r="A2208">
        <v>1628.654368</v>
      </c>
      <c r="B2208" s="1">
        <f>DATE(2014,10,15) + TIME(15,42,17)</f>
        <v>41927.654363425929</v>
      </c>
      <c r="C2208">
        <v>80</v>
      </c>
      <c r="D2208">
        <v>79.979408264</v>
      </c>
      <c r="E2208">
        <v>50</v>
      </c>
      <c r="F2208">
        <v>38.790550232000001</v>
      </c>
      <c r="G2208">
        <v>1409.1090088000001</v>
      </c>
      <c r="H2208">
        <v>1385.0422363</v>
      </c>
      <c r="I2208">
        <v>1241.9339600000001</v>
      </c>
      <c r="J2208">
        <v>1197.6558838000001</v>
      </c>
      <c r="K2208">
        <v>2400</v>
      </c>
      <c r="L2208">
        <v>0</v>
      </c>
      <c r="M2208">
        <v>0</v>
      </c>
      <c r="N2208">
        <v>2400</v>
      </c>
    </row>
    <row r="2209" spans="1:14" x14ac:dyDescent="0.25">
      <c r="A2209">
        <v>1631.3404210000001</v>
      </c>
      <c r="B2209" s="1">
        <f>DATE(2014,10,18) + TIME(8,10,12)</f>
        <v>41930.340416666666</v>
      </c>
      <c r="C2209">
        <v>80</v>
      </c>
      <c r="D2209">
        <v>79.979431152000004</v>
      </c>
      <c r="E2209">
        <v>50</v>
      </c>
      <c r="F2209">
        <v>38.557640075999998</v>
      </c>
      <c r="G2209">
        <v>1409.0528564000001</v>
      </c>
      <c r="H2209">
        <v>1384.987793</v>
      </c>
      <c r="I2209">
        <v>1241.5231934000001</v>
      </c>
      <c r="J2209">
        <v>1197.0039062000001</v>
      </c>
      <c r="K2209">
        <v>2400</v>
      </c>
      <c r="L2209">
        <v>0</v>
      </c>
      <c r="M2209">
        <v>0</v>
      </c>
      <c r="N2209">
        <v>2400</v>
      </c>
    </row>
    <row r="2210" spans="1:14" x14ac:dyDescent="0.25">
      <c r="A2210">
        <v>1634.079917</v>
      </c>
      <c r="B2210" s="1">
        <f>DATE(2014,10,21) + TIME(1,55,4)</f>
        <v>41933.079907407409</v>
      </c>
      <c r="C2210">
        <v>80</v>
      </c>
      <c r="D2210">
        <v>79.979461670000006</v>
      </c>
      <c r="E2210">
        <v>50</v>
      </c>
      <c r="F2210">
        <v>38.313430785999998</v>
      </c>
      <c r="G2210">
        <v>1408.9968262</v>
      </c>
      <c r="H2210">
        <v>1384.9335937999999</v>
      </c>
      <c r="I2210">
        <v>1241.1114502</v>
      </c>
      <c r="J2210">
        <v>1196.3358154</v>
      </c>
      <c r="K2210">
        <v>2400</v>
      </c>
      <c r="L2210">
        <v>0</v>
      </c>
      <c r="M2210">
        <v>0</v>
      </c>
      <c r="N2210">
        <v>2400</v>
      </c>
    </row>
    <row r="2211" spans="1:14" x14ac:dyDescent="0.25">
      <c r="A2211">
        <v>1636.8862710000001</v>
      </c>
      <c r="B2211" s="1">
        <f>DATE(2014,10,23) + TIME(21,16,13)</f>
        <v>41935.886261574073</v>
      </c>
      <c r="C2211">
        <v>80</v>
      </c>
      <c r="D2211">
        <v>79.979492187999995</v>
      </c>
      <c r="E2211">
        <v>50</v>
      </c>
      <c r="F2211">
        <v>38.066947937000002</v>
      </c>
      <c r="G2211">
        <v>1408.9400635</v>
      </c>
      <c r="H2211">
        <v>1384.8787841999999</v>
      </c>
      <c r="I2211">
        <v>1240.6954346</v>
      </c>
      <c r="J2211">
        <v>1195.6580810999999</v>
      </c>
      <c r="K2211">
        <v>2400</v>
      </c>
      <c r="L2211">
        <v>0</v>
      </c>
      <c r="M2211">
        <v>0</v>
      </c>
      <c r="N2211">
        <v>2400</v>
      </c>
    </row>
    <row r="2212" spans="1:14" x14ac:dyDescent="0.25">
      <c r="A2212">
        <v>1638.3198400000001</v>
      </c>
      <c r="B2212" s="1">
        <f>DATE(2014,10,25) + TIME(7,40,34)</f>
        <v>41937.319837962961</v>
      </c>
      <c r="C2212">
        <v>80</v>
      </c>
      <c r="D2212">
        <v>79.979507446</v>
      </c>
      <c r="E2212">
        <v>50</v>
      </c>
      <c r="F2212">
        <v>37.848064422999997</v>
      </c>
      <c r="G2212">
        <v>1408.8824463000001</v>
      </c>
      <c r="H2212">
        <v>1384.8229980000001</v>
      </c>
      <c r="I2212">
        <v>1240.2770995999999</v>
      </c>
      <c r="J2212">
        <v>1195.0013428</v>
      </c>
      <c r="K2212">
        <v>2400</v>
      </c>
      <c r="L2212">
        <v>0</v>
      </c>
      <c r="M2212">
        <v>0</v>
      </c>
      <c r="N2212">
        <v>2400</v>
      </c>
    </row>
    <row r="2213" spans="1:14" x14ac:dyDescent="0.25">
      <c r="A2213">
        <v>1639.7534089999999</v>
      </c>
      <c r="B2213" s="1">
        <f>DATE(2014,10,26) + TIME(18,4,54)</f>
        <v>41938.75340277778</v>
      </c>
      <c r="C2213">
        <v>80</v>
      </c>
      <c r="D2213">
        <v>79.979522704999994</v>
      </c>
      <c r="E2213">
        <v>50</v>
      </c>
      <c r="F2213">
        <v>37.701572417999998</v>
      </c>
      <c r="G2213">
        <v>1408.8527832</v>
      </c>
      <c r="H2213">
        <v>1384.7941894999999</v>
      </c>
      <c r="I2213">
        <v>1240.0599365</v>
      </c>
      <c r="J2213">
        <v>1194.6253661999999</v>
      </c>
      <c r="K2213">
        <v>2400</v>
      </c>
      <c r="L2213">
        <v>0</v>
      </c>
      <c r="M2213">
        <v>0</v>
      </c>
      <c r="N2213">
        <v>2400</v>
      </c>
    </row>
    <row r="2214" spans="1:14" x14ac:dyDescent="0.25">
      <c r="A2214">
        <v>1641.186978</v>
      </c>
      <c r="B2214" s="1">
        <f>DATE(2014,10,28) + TIME(4,29,14)</f>
        <v>41940.186967592592</v>
      </c>
      <c r="C2214">
        <v>80</v>
      </c>
      <c r="D2214">
        <v>79.979537964000002</v>
      </c>
      <c r="E2214">
        <v>50</v>
      </c>
      <c r="F2214">
        <v>37.573314666999998</v>
      </c>
      <c r="G2214">
        <v>1408.8236084</v>
      </c>
      <c r="H2214">
        <v>1384.7658690999999</v>
      </c>
      <c r="I2214">
        <v>1239.8483887</v>
      </c>
      <c r="J2214">
        <v>1194.2734375</v>
      </c>
      <c r="K2214">
        <v>2400</v>
      </c>
      <c r="L2214">
        <v>0</v>
      </c>
      <c r="M2214">
        <v>0</v>
      </c>
      <c r="N2214">
        <v>2400</v>
      </c>
    </row>
    <row r="2215" spans="1:14" x14ac:dyDescent="0.25">
      <c r="A2215">
        <v>1642.620547</v>
      </c>
      <c r="B2215" s="1">
        <f>DATE(2014,10,29) + TIME(14,53,35)</f>
        <v>41941.62054398148</v>
      </c>
      <c r="C2215">
        <v>80</v>
      </c>
      <c r="D2215">
        <v>79.979553222999996</v>
      </c>
      <c r="E2215">
        <v>50</v>
      </c>
      <c r="F2215">
        <v>37.450595856</v>
      </c>
      <c r="G2215">
        <v>1408.7944336</v>
      </c>
      <c r="H2215">
        <v>1384.7376709</v>
      </c>
      <c r="I2215">
        <v>1239.6391602000001</v>
      </c>
      <c r="J2215">
        <v>1193.9289550999999</v>
      </c>
      <c r="K2215">
        <v>2400</v>
      </c>
      <c r="L2215">
        <v>0</v>
      </c>
      <c r="M2215">
        <v>0</v>
      </c>
      <c r="N2215">
        <v>2400</v>
      </c>
    </row>
    <row r="2216" spans="1:14" x14ac:dyDescent="0.25">
      <c r="A2216">
        <v>1645</v>
      </c>
      <c r="B2216" s="1">
        <f>DATE(2014,11,1) + TIME(0,0,0)</f>
        <v>41944</v>
      </c>
      <c r="C2216">
        <v>80</v>
      </c>
      <c r="D2216">
        <v>79.979576111</v>
      </c>
      <c r="E2216">
        <v>50</v>
      </c>
      <c r="F2216">
        <v>37.317916869999998</v>
      </c>
      <c r="G2216">
        <v>1408.7655029</v>
      </c>
      <c r="H2216">
        <v>1384.7095947</v>
      </c>
      <c r="I2216">
        <v>1239.4305420000001</v>
      </c>
      <c r="J2216">
        <v>1193.5739745999999</v>
      </c>
      <c r="K2216">
        <v>2400</v>
      </c>
      <c r="L2216">
        <v>0</v>
      </c>
      <c r="M2216">
        <v>0</v>
      </c>
      <c r="N2216">
        <v>2400</v>
      </c>
    </row>
    <row r="2217" spans="1:14" x14ac:dyDescent="0.25">
      <c r="A2217">
        <v>1645.0000010000001</v>
      </c>
      <c r="B2217" s="1">
        <f>DATE(2014,11,1) + TIME(0,0,0)</f>
        <v>41944</v>
      </c>
      <c r="C2217">
        <v>80</v>
      </c>
      <c r="D2217">
        <v>79.979331970000004</v>
      </c>
      <c r="E2217">
        <v>50</v>
      </c>
      <c r="F2217">
        <v>37.318161011000001</v>
      </c>
      <c r="G2217">
        <v>1382.9656981999999</v>
      </c>
      <c r="H2217">
        <v>1356.3990478999999</v>
      </c>
      <c r="I2217">
        <v>1292.6464844</v>
      </c>
      <c r="J2217">
        <v>1241.2080077999999</v>
      </c>
      <c r="K2217">
        <v>0</v>
      </c>
      <c r="L2217">
        <v>2400</v>
      </c>
      <c r="M2217">
        <v>2400</v>
      </c>
      <c r="N2217">
        <v>0</v>
      </c>
    </row>
    <row r="2218" spans="1:14" x14ac:dyDescent="0.25">
      <c r="A2218">
        <v>1645.000004</v>
      </c>
      <c r="B2218" s="1">
        <f>DATE(2014,11,1) + TIME(0,0,0)</f>
        <v>41944</v>
      </c>
      <c r="C2218">
        <v>80</v>
      </c>
      <c r="D2218">
        <v>79.978706360000004</v>
      </c>
      <c r="E2218">
        <v>50</v>
      </c>
      <c r="F2218">
        <v>37.318828582999998</v>
      </c>
      <c r="G2218">
        <v>1378.5616454999999</v>
      </c>
      <c r="H2218">
        <v>1352.0098877</v>
      </c>
      <c r="I2218">
        <v>1297.4174805</v>
      </c>
      <c r="J2218">
        <v>1246.0539550999999</v>
      </c>
      <c r="K2218">
        <v>0</v>
      </c>
      <c r="L2218">
        <v>2400</v>
      </c>
      <c r="M2218">
        <v>2400</v>
      </c>
      <c r="N2218">
        <v>0</v>
      </c>
    </row>
    <row r="2219" spans="1:14" x14ac:dyDescent="0.25">
      <c r="A2219">
        <v>1645.0000130000001</v>
      </c>
      <c r="B2219" s="1">
        <f>DATE(2014,11,1) + TIME(0,0,1)</f>
        <v>41944.000011574077</v>
      </c>
      <c r="C2219">
        <v>80</v>
      </c>
      <c r="D2219">
        <v>79.977439880000006</v>
      </c>
      <c r="E2219">
        <v>50</v>
      </c>
      <c r="F2219">
        <v>37.320457458</v>
      </c>
      <c r="G2219">
        <v>1369.6883545000001</v>
      </c>
      <c r="H2219">
        <v>1343.2109375</v>
      </c>
      <c r="I2219">
        <v>1308.6398925999999</v>
      </c>
      <c r="J2219">
        <v>1257.4405518000001</v>
      </c>
      <c r="K2219">
        <v>0</v>
      </c>
      <c r="L2219">
        <v>2400</v>
      </c>
      <c r="M2219">
        <v>2400</v>
      </c>
      <c r="N2219">
        <v>0</v>
      </c>
    </row>
    <row r="2220" spans="1:14" x14ac:dyDescent="0.25">
      <c r="A2220">
        <v>1645.0000399999999</v>
      </c>
      <c r="B2220" s="1">
        <f>DATE(2014,11,1) + TIME(0,0,3)</f>
        <v>41944.000034722223</v>
      </c>
      <c r="C2220">
        <v>80</v>
      </c>
      <c r="D2220">
        <v>79.975608825999998</v>
      </c>
      <c r="E2220">
        <v>50</v>
      </c>
      <c r="F2220">
        <v>37.323722838999998</v>
      </c>
      <c r="G2220">
        <v>1356.8171387</v>
      </c>
      <c r="H2220">
        <v>1330.5548096</v>
      </c>
      <c r="I2220">
        <v>1328.7011719</v>
      </c>
      <c r="J2220">
        <v>1277.7941894999999</v>
      </c>
      <c r="K2220">
        <v>0</v>
      </c>
      <c r="L2220">
        <v>2400</v>
      </c>
      <c r="M2220">
        <v>2400</v>
      </c>
      <c r="N2220">
        <v>0</v>
      </c>
    </row>
    <row r="2221" spans="1:14" x14ac:dyDescent="0.25">
      <c r="A2221">
        <v>1645.000121</v>
      </c>
      <c r="B2221" s="1">
        <f>DATE(2014,11,1) + TIME(0,0,10)</f>
        <v>41944.000115740739</v>
      </c>
      <c r="C2221">
        <v>80</v>
      </c>
      <c r="D2221">
        <v>79.973602295000006</v>
      </c>
      <c r="E2221">
        <v>50</v>
      </c>
      <c r="F2221">
        <v>37.329349518000001</v>
      </c>
      <c r="G2221">
        <v>1342.7672118999999</v>
      </c>
      <c r="H2221">
        <v>1316.9360352000001</v>
      </c>
      <c r="I2221">
        <v>1354.2701416</v>
      </c>
      <c r="J2221">
        <v>1303.8884277</v>
      </c>
      <c r="K2221">
        <v>0</v>
      </c>
      <c r="L2221">
        <v>2400</v>
      </c>
      <c r="M2221">
        <v>2400</v>
      </c>
      <c r="N2221">
        <v>0</v>
      </c>
    </row>
    <row r="2222" spans="1:14" x14ac:dyDescent="0.25">
      <c r="A2222">
        <v>1645.000364</v>
      </c>
      <c r="B2222" s="1">
        <f>DATE(2014,11,1) + TIME(0,0,31)</f>
        <v>41944.000358796293</v>
      </c>
      <c r="C2222">
        <v>80</v>
      </c>
      <c r="D2222">
        <v>79.971633910999998</v>
      </c>
      <c r="E2222">
        <v>50</v>
      </c>
      <c r="F2222">
        <v>37.340003967000001</v>
      </c>
      <c r="G2222">
        <v>1329.2644043</v>
      </c>
      <c r="H2222">
        <v>1304.1193848</v>
      </c>
      <c r="I2222">
        <v>1380.2001952999999</v>
      </c>
      <c r="J2222">
        <v>1330.7482910000001</v>
      </c>
      <c r="K2222">
        <v>0</v>
      </c>
      <c r="L2222">
        <v>2400</v>
      </c>
      <c r="M2222">
        <v>2400</v>
      </c>
      <c r="N2222">
        <v>0</v>
      </c>
    </row>
    <row r="2223" spans="1:14" x14ac:dyDescent="0.25">
      <c r="A2223">
        <v>1645.0010930000001</v>
      </c>
      <c r="B2223" s="1">
        <f>DATE(2014,11,1) + TIME(0,1,34)</f>
        <v>41944.001087962963</v>
      </c>
      <c r="C2223">
        <v>80</v>
      </c>
      <c r="D2223">
        <v>79.969764709000003</v>
      </c>
      <c r="E2223">
        <v>50</v>
      </c>
      <c r="F2223">
        <v>37.364810943999998</v>
      </c>
      <c r="G2223">
        <v>1317.0118408000001</v>
      </c>
      <c r="H2223">
        <v>1292.6472168</v>
      </c>
      <c r="I2223">
        <v>1404.4068603999999</v>
      </c>
      <c r="J2223">
        <v>1356.3127440999999</v>
      </c>
      <c r="K2223">
        <v>0</v>
      </c>
      <c r="L2223">
        <v>2400</v>
      </c>
      <c r="M2223">
        <v>2400</v>
      </c>
      <c r="N2223">
        <v>0</v>
      </c>
    </row>
    <row r="2224" spans="1:14" x14ac:dyDescent="0.25">
      <c r="A2224">
        <v>1645.0032799999999</v>
      </c>
      <c r="B2224" s="1">
        <f>DATE(2014,11,1) + TIME(0,4,43)</f>
        <v>41944.003275462965</v>
      </c>
      <c r="C2224">
        <v>80</v>
      </c>
      <c r="D2224">
        <v>79.967880249000004</v>
      </c>
      <c r="E2224">
        <v>50</v>
      </c>
      <c r="F2224">
        <v>37.430782317999999</v>
      </c>
      <c r="G2224">
        <v>1306.418457</v>
      </c>
      <c r="H2224">
        <v>1282.5703125</v>
      </c>
      <c r="I2224">
        <v>1426.1083983999999</v>
      </c>
      <c r="J2224">
        <v>1379.3812256000001</v>
      </c>
      <c r="K2224">
        <v>0</v>
      </c>
      <c r="L2224">
        <v>2400</v>
      </c>
      <c r="M2224">
        <v>2400</v>
      </c>
      <c r="N2224">
        <v>0</v>
      </c>
    </row>
    <row r="2225" spans="1:14" x14ac:dyDescent="0.25">
      <c r="A2225">
        <v>1645.0098410000001</v>
      </c>
      <c r="B2225" s="1">
        <f>DATE(2014,11,1) + TIME(0,14,10)</f>
        <v>41944.009837962964</v>
      </c>
      <c r="C2225">
        <v>80</v>
      </c>
      <c r="D2225">
        <v>79.965370178000001</v>
      </c>
      <c r="E2225">
        <v>50</v>
      </c>
      <c r="F2225">
        <v>37.617027282999999</v>
      </c>
      <c r="G2225">
        <v>1296.7491454999999</v>
      </c>
      <c r="H2225">
        <v>1273.0482178</v>
      </c>
      <c r="I2225">
        <v>1444.4277344</v>
      </c>
      <c r="J2225">
        <v>1398.5996094</v>
      </c>
      <c r="K2225">
        <v>0</v>
      </c>
      <c r="L2225">
        <v>2400</v>
      </c>
      <c r="M2225">
        <v>2400</v>
      </c>
      <c r="N2225">
        <v>0</v>
      </c>
    </row>
    <row r="2226" spans="1:14" x14ac:dyDescent="0.25">
      <c r="A2226">
        <v>1645.029524</v>
      </c>
      <c r="B2226" s="1">
        <f>DATE(2014,11,1) + TIME(0,42,30)</f>
        <v>41944.029513888891</v>
      </c>
      <c r="C2226">
        <v>80</v>
      </c>
      <c r="D2226">
        <v>79.960830688000001</v>
      </c>
      <c r="E2226">
        <v>50</v>
      </c>
      <c r="F2226">
        <v>38.144729613999999</v>
      </c>
      <c r="G2226">
        <v>1288.1044922000001</v>
      </c>
      <c r="H2226">
        <v>1264.3857422000001</v>
      </c>
      <c r="I2226">
        <v>1457.4729004000001</v>
      </c>
      <c r="J2226">
        <v>1412.3120117000001</v>
      </c>
      <c r="K2226">
        <v>0</v>
      </c>
      <c r="L2226">
        <v>2400</v>
      </c>
      <c r="M2226">
        <v>2400</v>
      </c>
      <c r="N2226">
        <v>0</v>
      </c>
    </row>
    <row r="2227" spans="1:14" x14ac:dyDescent="0.25">
      <c r="A2227">
        <v>1645.0566699999999</v>
      </c>
      <c r="B2227" s="1">
        <f>DATE(2014,11,1) + TIME(1,21,36)</f>
        <v>41944.056666666664</v>
      </c>
      <c r="C2227">
        <v>80</v>
      </c>
      <c r="D2227">
        <v>79.955795288000004</v>
      </c>
      <c r="E2227">
        <v>50</v>
      </c>
      <c r="F2227">
        <v>38.828533172999997</v>
      </c>
      <c r="G2227">
        <v>1284.2098389</v>
      </c>
      <c r="H2227">
        <v>1260.4709473</v>
      </c>
      <c r="I2227">
        <v>1461.9046631000001</v>
      </c>
      <c r="J2227">
        <v>1417.3789062000001</v>
      </c>
      <c r="K2227">
        <v>0</v>
      </c>
      <c r="L2227">
        <v>2400</v>
      </c>
      <c r="M2227">
        <v>2400</v>
      </c>
      <c r="N2227">
        <v>0</v>
      </c>
    </row>
    <row r="2228" spans="1:14" x14ac:dyDescent="0.25">
      <c r="A2228">
        <v>1645.085644</v>
      </c>
      <c r="B2228" s="1">
        <f>DATE(2014,11,1) + TIME(2,3,19)</f>
        <v>41944.085636574076</v>
      </c>
      <c r="C2228">
        <v>80</v>
      </c>
      <c r="D2228">
        <v>79.950874329000001</v>
      </c>
      <c r="E2228">
        <v>50</v>
      </c>
      <c r="F2228">
        <v>39.512950897000003</v>
      </c>
      <c r="G2228">
        <v>1282.7823486</v>
      </c>
      <c r="H2228">
        <v>1259.0355225000001</v>
      </c>
      <c r="I2228">
        <v>1462.7197266000001</v>
      </c>
      <c r="J2228">
        <v>1418.807251</v>
      </c>
      <c r="K2228">
        <v>0</v>
      </c>
      <c r="L2228">
        <v>2400</v>
      </c>
      <c r="M2228">
        <v>2400</v>
      </c>
      <c r="N2228">
        <v>0</v>
      </c>
    </row>
    <row r="2229" spans="1:14" x14ac:dyDescent="0.25">
      <c r="A2229">
        <v>1645.1166880000001</v>
      </c>
      <c r="B2229" s="1">
        <f>DATE(2014,11,1) + TIME(2,48,1)</f>
        <v>41944.116678240738</v>
      </c>
      <c r="C2229">
        <v>80</v>
      </c>
      <c r="D2229">
        <v>79.945831299000005</v>
      </c>
      <c r="E2229">
        <v>50</v>
      </c>
      <c r="F2229">
        <v>40.197910309000001</v>
      </c>
      <c r="G2229">
        <v>1282.2613524999999</v>
      </c>
      <c r="H2229">
        <v>1258.5113524999999</v>
      </c>
      <c r="I2229">
        <v>1462.3299560999999</v>
      </c>
      <c r="J2229">
        <v>1419.0202637</v>
      </c>
      <c r="K2229">
        <v>0</v>
      </c>
      <c r="L2229">
        <v>2400</v>
      </c>
      <c r="M2229">
        <v>2400</v>
      </c>
      <c r="N2229">
        <v>0</v>
      </c>
    </row>
    <row r="2230" spans="1:14" x14ac:dyDescent="0.25">
      <c r="A2230">
        <v>1645.1501169999999</v>
      </c>
      <c r="B2230" s="1">
        <f>DATE(2014,11,1) + TIME(3,36,10)</f>
        <v>41944.15011574074</v>
      </c>
      <c r="C2230">
        <v>80</v>
      </c>
      <c r="D2230">
        <v>79.940567017000006</v>
      </c>
      <c r="E2230">
        <v>50</v>
      </c>
      <c r="F2230">
        <v>40.883617401000002</v>
      </c>
      <c r="G2230">
        <v>1282.0740966999999</v>
      </c>
      <c r="H2230">
        <v>1258.322876</v>
      </c>
      <c r="I2230">
        <v>1461.5394286999999</v>
      </c>
      <c r="J2230">
        <v>1418.8201904</v>
      </c>
      <c r="K2230">
        <v>0</v>
      </c>
      <c r="L2230">
        <v>2400</v>
      </c>
      <c r="M2230">
        <v>2400</v>
      </c>
      <c r="N2230">
        <v>0</v>
      </c>
    </row>
    <row r="2231" spans="1:14" x14ac:dyDescent="0.25">
      <c r="A2231">
        <v>1645.186336</v>
      </c>
      <c r="B2231" s="1">
        <f>DATE(2014,11,1) + TIME(4,28,19)</f>
        <v>41944.186331018522</v>
      </c>
      <c r="C2231">
        <v>80</v>
      </c>
      <c r="D2231">
        <v>79.934997558999996</v>
      </c>
      <c r="E2231">
        <v>50</v>
      </c>
      <c r="F2231">
        <v>41.570236205999997</v>
      </c>
      <c r="G2231">
        <v>1282.0074463000001</v>
      </c>
      <c r="H2231">
        <v>1258.2553711</v>
      </c>
      <c r="I2231">
        <v>1460.6279297000001</v>
      </c>
      <c r="J2231">
        <v>1418.4855957</v>
      </c>
      <c r="K2231">
        <v>0</v>
      </c>
      <c r="L2231">
        <v>2400</v>
      </c>
      <c r="M2231">
        <v>2400</v>
      </c>
      <c r="N2231">
        <v>0</v>
      </c>
    </row>
    <row r="2232" spans="1:14" x14ac:dyDescent="0.25">
      <c r="A2232">
        <v>1645.2258589999999</v>
      </c>
      <c r="B2232" s="1">
        <f>DATE(2014,11,1) + TIME(5,25,14)</f>
        <v>41944.225856481484</v>
      </c>
      <c r="C2232">
        <v>80</v>
      </c>
      <c r="D2232">
        <v>79.92906189</v>
      </c>
      <c r="E2232">
        <v>50</v>
      </c>
      <c r="F2232">
        <v>42.258003234999997</v>
      </c>
      <c r="G2232">
        <v>1281.9833983999999</v>
      </c>
      <c r="H2232">
        <v>1258.2305908000001</v>
      </c>
      <c r="I2232">
        <v>1459.6907959</v>
      </c>
      <c r="J2232">
        <v>1418.1116943</v>
      </c>
      <c r="K2232">
        <v>0</v>
      </c>
      <c r="L2232">
        <v>2400</v>
      </c>
      <c r="M2232">
        <v>2400</v>
      </c>
      <c r="N2232">
        <v>0</v>
      </c>
    </row>
    <row r="2233" spans="1:14" x14ac:dyDescent="0.25">
      <c r="A2233">
        <v>1645.269354</v>
      </c>
      <c r="B2233" s="1">
        <f>DATE(2014,11,1) + TIME(6,27,52)</f>
        <v>41944.26935185185</v>
      </c>
      <c r="C2233">
        <v>80</v>
      </c>
      <c r="D2233">
        <v>79.922698975000003</v>
      </c>
      <c r="E2233">
        <v>50</v>
      </c>
      <c r="F2233">
        <v>42.947170258</v>
      </c>
      <c r="G2233">
        <v>1281.9738769999999</v>
      </c>
      <c r="H2233">
        <v>1258.2207031</v>
      </c>
      <c r="I2233">
        <v>1458.7580565999999</v>
      </c>
      <c r="J2233">
        <v>1417.7286377</v>
      </c>
      <c r="K2233">
        <v>0</v>
      </c>
      <c r="L2233">
        <v>2400</v>
      </c>
      <c r="M2233">
        <v>2400</v>
      </c>
      <c r="N2233">
        <v>0</v>
      </c>
    </row>
    <row r="2234" spans="1:14" x14ac:dyDescent="0.25">
      <c r="A2234">
        <v>1645.317712</v>
      </c>
      <c r="B2234" s="1">
        <f>DATE(2014,11,1) + TIME(7,37,30)</f>
        <v>41944.317708333336</v>
      </c>
      <c r="C2234">
        <v>80</v>
      </c>
      <c r="D2234">
        <v>79.915794372999997</v>
      </c>
      <c r="E2234">
        <v>50</v>
      </c>
      <c r="F2234">
        <v>43.637996674</v>
      </c>
      <c r="G2234">
        <v>1281.9694824000001</v>
      </c>
      <c r="H2234">
        <v>1258.2156981999999</v>
      </c>
      <c r="I2234">
        <v>1457.8375243999999</v>
      </c>
      <c r="J2234">
        <v>1417.3448486</v>
      </c>
      <c r="K2234">
        <v>0</v>
      </c>
      <c r="L2234">
        <v>2400</v>
      </c>
      <c r="M2234">
        <v>2400</v>
      </c>
      <c r="N2234">
        <v>0</v>
      </c>
    </row>
    <row r="2235" spans="1:14" x14ac:dyDescent="0.25">
      <c r="A2235">
        <v>1645.3721379999999</v>
      </c>
      <c r="B2235" s="1">
        <f>DATE(2014,11,1) + TIME(8,55,52)</f>
        <v>41944.372129629628</v>
      </c>
      <c r="C2235">
        <v>80</v>
      </c>
      <c r="D2235">
        <v>79.908241271999998</v>
      </c>
      <c r="E2235">
        <v>50</v>
      </c>
      <c r="F2235">
        <v>44.330497741999999</v>
      </c>
      <c r="G2235">
        <v>1281.9666748</v>
      </c>
      <c r="H2235">
        <v>1258.2122803</v>
      </c>
      <c r="I2235">
        <v>1456.9302978999999</v>
      </c>
      <c r="J2235">
        <v>1416.9614257999999</v>
      </c>
      <c r="K2235">
        <v>0</v>
      </c>
      <c r="L2235">
        <v>2400</v>
      </c>
      <c r="M2235">
        <v>2400</v>
      </c>
      <c r="N2235">
        <v>0</v>
      </c>
    </row>
    <row r="2236" spans="1:14" x14ac:dyDescent="0.25">
      <c r="A2236">
        <v>1645.434313</v>
      </c>
      <c r="B2236" s="1">
        <f>DATE(2014,11,1) + TIME(10,25,24)</f>
        <v>41944.434305555558</v>
      </c>
      <c r="C2236">
        <v>80</v>
      </c>
      <c r="D2236">
        <v>79.899864196999999</v>
      </c>
      <c r="E2236">
        <v>50</v>
      </c>
      <c r="F2236">
        <v>45.024383544999999</v>
      </c>
      <c r="G2236">
        <v>1281.9643555</v>
      </c>
      <c r="H2236">
        <v>1258.2092285000001</v>
      </c>
      <c r="I2236">
        <v>1456.0351562000001</v>
      </c>
      <c r="J2236">
        <v>1416.5771483999999</v>
      </c>
      <c r="K2236">
        <v>0</v>
      </c>
      <c r="L2236">
        <v>2400</v>
      </c>
      <c r="M2236">
        <v>2400</v>
      </c>
      <c r="N2236">
        <v>0</v>
      </c>
    </row>
    <row r="2237" spans="1:14" x14ac:dyDescent="0.25">
      <c r="A2237">
        <v>1645.5066810000001</v>
      </c>
      <c r="B2237" s="1">
        <f>DATE(2014,11,1) + TIME(12,9,37)</f>
        <v>41944.506678240738</v>
      </c>
      <c r="C2237">
        <v>80</v>
      </c>
      <c r="D2237">
        <v>79.890449524000005</v>
      </c>
      <c r="E2237">
        <v>50</v>
      </c>
      <c r="F2237">
        <v>45.718830109000002</v>
      </c>
      <c r="G2237">
        <v>1281.9617920000001</v>
      </c>
      <c r="H2237">
        <v>1258.2059326000001</v>
      </c>
      <c r="I2237">
        <v>1455.1506348</v>
      </c>
      <c r="J2237">
        <v>1416.1901855000001</v>
      </c>
      <c r="K2237">
        <v>0</v>
      </c>
      <c r="L2237">
        <v>2400</v>
      </c>
      <c r="M2237">
        <v>2400</v>
      </c>
      <c r="N2237">
        <v>0</v>
      </c>
    </row>
    <row r="2238" spans="1:14" x14ac:dyDescent="0.25">
      <c r="A2238">
        <v>1645.5929550000001</v>
      </c>
      <c r="B2238" s="1">
        <f>DATE(2014,11,1) + TIME(14,13,51)</f>
        <v>41944.592951388891</v>
      </c>
      <c r="C2238">
        <v>80</v>
      </c>
      <c r="D2238">
        <v>79.879646300999994</v>
      </c>
      <c r="E2238">
        <v>50</v>
      </c>
      <c r="F2238">
        <v>46.412071228000002</v>
      </c>
      <c r="G2238">
        <v>1281.9589844</v>
      </c>
      <c r="H2238">
        <v>1258.2022704999999</v>
      </c>
      <c r="I2238">
        <v>1454.2752685999999</v>
      </c>
      <c r="J2238">
        <v>1415.7977295000001</v>
      </c>
      <c r="K2238">
        <v>0</v>
      </c>
      <c r="L2238">
        <v>2400</v>
      </c>
      <c r="M2238">
        <v>2400</v>
      </c>
      <c r="N2238">
        <v>0</v>
      </c>
    </row>
    <row r="2239" spans="1:14" x14ac:dyDescent="0.25">
      <c r="A2239">
        <v>1645.698654</v>
      </c>
      <c r="B2239" s="1">
        <f>DATE(2014,11,1) + TIME(16,46,3)</f>
        <v>41944.698645833334</v>
      </c>
      <c r="C2239">
        <v>80</v>
      </c>
      <c r="D2239">
        <v>79.866996764999996</v>
      </c>
      <c r="E2239">
        <v>50</v>
      </c>
      <c r="F2239">
        <v>47.098175048999998</v>
      </c>
      <c r="G2239">
        <v>1281.9556885</v>
      </c>
      <c r="H2239">
        <v>1258.197876</v>
      </c>
      <c r="I2239">
        <v>1453.4102783000001</v>
      </c>
      <c r="J2239">
        <v>1415.3974608999999</v>
      </c>
      <c r="K2239">
        <v>0</v>
      </c>
      <c r="L2239">
        <v>2400</v>
      </c>
      <c r="M2239">
        <v>2400</v>
      </c>
      <c r="N2239">
        <v>0</v>
      </c>
    </row>
    <row r="2240" spans="1:14" x14ac:dyDescent="0.25">
      <c r="A2240">
        <v>1645.818593</v>
      </c>
      <c r="B2240" s="1">
        <f>DATE(2014,11,1) + TIME(19,38,46)</f>
        <v>41944.81858796296</v>
      </c>
      <c r="C2240">
        <v>80</v>
      </c>
      <c r="D2240">
        <v>79.853050232000001</v>
      </c>
      <c r="E2240">
        <v>50</v>
      </c>
      <c r="F2240">
        <v>47.711257934999999</v>
      </c>
      <c r="G2240">
        <v>1281.9515381000001</v>
      </c>
      <c r="H2240">
        <v>1258.192749</v>
      </c>
      <c r="I2240">
        <v>1452.6169434000001</v>
      </c>
      <c r="J2240">
        <v>1415.0079346</v>
      </c>
      <c r="K2240">
        <v>0</v>
      </c>
      <c r="L2240">
        <v>2400</v>
      </c>
      <c r="M2240">
        <v>2400</v>
      </c>
      <c r="N2240">
        <v>0</v>
      </c>
    </row>
    <row r="2241" spans="1:14" x14ac:dyDescent="0.25">
      <c r="A2241">
        <v>1645.941084</v>
      </c>
      <c r="B2241" s="1">
        <f>DATE(2014,11,1) + TIME(22,35,9)</f>
        <v>41944.941076388888</v>
      </c>
      <c r="C2241">
        <v>80</v>
      </c>
      <c r="D2241">
        <v>79.838844299000002</v>
      </c>
      <c r="E2241">
        <v>50</v>
      </c>
      <c r="F2241">
        <v>48.202114105</v>
      </c>
      <c r="G2241">
        <v>1281.9466553</v>
      </c>
      <c r="H2241">
        <v>1258.1870117000001</v>
      </c>
      <c r="I2241">
        <v>1451.9467772999999</v>
      </c>
      <c r="J2241">
        <v>1414.6534423999999</v>
      </c>
      <c r="K2241">
        <v>0</v>
      </c>
      <c r="L2241">
        <v>2400</v>
      </c>
      <c r="M2241">
        <v>2400</v>
      </c>
      <c r="N2241">
        <v>0</v>
      </c>
    </row>
    <row r="2242" spans="1:14" x14ac:dyDescent="0.25">
      <c r="A2242">
        <v>1646.0697950000001</v>
      </c>
      <c r="B2242" s="1">
        <f>DATE(2014,11,2) + TIME(1,40,30)</f>
        <v>41945.069791666669</v>
      </c>
      <c r="C2242">
        <v>80</v>
      </c>
      <c r="D2242">
        <v>79.824066161999994</v>
      </c>
      <c r="E2242">
        <v>50</v>
      </c>
      <c r="F2242">
        <v>48.602046967</v>
      </c>
      <c r="G2242">
        <v>1281.9416504000001</v>
      </c>
      <c r="H2242">
        <v>1258.1810303</v>
      </c>
      <c r="I2242">
        <v>1451.3773193</v>
      </c>
      <c r="J2242">
        <v>1414.3365478999999</v>
      </c>
      <c r="K2242">
        <v>0</v>
      </c>
      <c r="L2242">
        <v>2400</v>
      </c>
      <c r="M2242">
        <v>2400</v>
      </c>
      <c r="N2242">
        <v>0</v>
      </c>
    </row>
    <row r="2243" spans="1:14" x14ac:dyDescent="0.25">
      <c r="A2243">
        <v>1646.2068079999999</v>
      </c>
      <c r="B2243" s="1">
        <f>DATE(2014,11,2) + TIME(4,57,48)</f>
        <v>41945.206805555557</v>
      </c>
      <c r="C2243">
        <v>80</v>
      </c>
      <c r="D2243">
        <v>79.808547974000007</v>
      </c>
      <c r="E2243">
        <v>50</v>
      </c>
      <c r="F2243">
        <v>48.927436829000001</v>
      </c>
      <c r="G2243">
        <v>1281.9365233999999</v>
      </c>
      <c r="H2243">
        <v>1258.1748047000001</v>
      </c>
      <c r="I2243">
        <v>1450.8841553</v>
      </c>
      <c r="J2243">
        <v>1414.0456543</v>
      </c>
      <c r="K2243">
        <v>0</v>
      </c>
      <c r="L2243">
        <v>2400</v>
      </c>
      <c r="M2243">
        <v>2400</v>
      </c>
      <c r="N2243">
        <v>0</v>
      </c>
    </row>
    <row r="2244" spans="1:14" x14ac:dyDescent="0.25">
      <c r="A2244">
        <v>1646.354777</v>
      </c>
      <c r="B2244" s="1">
        <f>DATE(2014,11,2) + TIME(8,30,52)</f>
        <v>41945.354768518519</v>
      </c>
      <c r="C2244">
        <v>80</v>
      </c>
      <c r="D2244">
        <v>79.792060852000006</v>
      </c>
      <c r="E2244">
        <v>50</v>
      </c>
      <c r="F2244">
        <v>49.191062926999997</v>
      </c>
      <c r="G2244">
        <v>1281.9309082</v>
      </c>
      <c r="H2244">
        <v>1258.1680908000001</v>
      </c>
      <c r="I2244">
        <v>1450.4501952999999</v>
      </c>
      <c r="J2244">
        <v>1413.7736815999999</v>
      </c>
      <c r="K2244">
        <v>0</v>
      </c>
      <c r="L2244">
        <v>2400</v>
      </c>
      <c r="M2244">
        <v>2400</v>
      </c>
      <c r="N2244">
        <v>0</v>
      </c>
    </row>
    <row r="2245" spans="1:14" x14ac:dyDescent="0.25">
      <c r="A2245">
        <v>1646.516946</v>
      </c>
      <c r="B2245" s="1">
        <f>DATE(2014,11,2) + TIME(12,24,24)</f>
        <v>41945.516944444447</v>
      </c>
      <c r="C2245">
        <v>80</v>
      </c>
      <c r="D2245">
        <v>79.774337768999999</v>
      </c>
      <c r="E2245">
        <v>50</v>
      </c>
      <c r="F2245">
        <v>49.402755737</v>
      </c>
      <c r="G2245">
        <v>1281.9249268000001</v>
      </c>
      <c r="H2245">
        <v>1258.1608887</v>
      </c>
      <c r="I2245">
        <v>1450.0617675999999</v>
      </c>
      <c r="J2245">
        <v>1413.5141602000001</v>
      </c>
      <c r="K2245">
        <v>0</v>
      </c>
      <c r="L2245">
        <v>2400</v>
      </c>
      <c r="M2245">
        <v>2400</v>
      </c>
      <c r="N2245">
        <v>0</v>
      </c>
    </row>
    <row r="2246" spans="1:14" x14ac:dyDescent="0.25">
      <c r="A2246">
        <v>1646.6975849999999</v>
      </c>
      <c r="B2246" s="1">
        <f>DATE(2014,11,2) + TIME(16,44,31)</f>
        <v>41945.697581018518</v>
      </c>
      <c r="C2246">
        <v>80</v>
      </c>
      <c r="D2246">
        <v>79.755027771000002</v>
      </c>
      <c r="E2246">
        <v>50</v>
      </c>
      <c r="F2246">
        <v>49.570449828999998</v>
      </c>
      <c r="G2246">
        <v>1281.918457</v>
      </c>
      <c r="H2246">
        <v>1258.1530762</v>
      </c>
      <c r="I2246">
        <v>1449.7081298999999</v>
      </c>
      <c r="J2246">
        <v>1413.2619629000001</v>
      </c>
      <c r="K2246">
        <v>0</v>
      </c>
      <c r="L2246">
        <v>2400</v>
      </c>
      <c r="M2246">
        <v>2400</v>
      </c>
      <c r="N2246">
        <v>0</v>
      </c>
    </row>
    <row r="2247" spans="1:14" x14ac:dyDescent="0.25">
      <c r="A2247">
        <v>1646.900361</v>
      </c>
      <c r="B2247" s="1">
        <f>DATE(2014,11,2) + TIME(21,36,31)</f>
        <v>41945.900358796294</v>
      </c>
      <c r="C2247">
        <v>80</v>
      </c>
      <c r="D2247">
        <v>79.733825683999996</v>
      </c>
      <c r="E2247">
        <v>50</v>
      </c>
      <c r="F2247">
        <v>49.699794769</v>
      </c>
      <c r="G2247">
        <v>1281.9111327999999</v>
      </c>
      <c r="H2247">
        <v>1258.1442870999999</v>
      </c>
      <c r="I2247">
        <v>1449.3800048999999</v>
      </c>
      <c r="J2247">
        <v>1413.0119629000001</v>
      </c>
      <c r="K2247">
        <v>0</v>
      </c>
      <c r="L2247">
        <v>2400</v>
      </c>
      <c r="M2247">
        <v>2400</v>
      </c>
      <c r="N2247">
        <v>0</v>
      </c>
    </row>
    <row r="2248" spans="1:14" x14ac:dyDescent="0.25">
      <c r="A2248">
        <v>1647.1281260000001</v>
      </c>
      <c r="B2248" s="1">
        <f>DATE(2014,11,3) + TIME(3,4,30)</f>
        <v>41946.128125000003</v>
      </c>
      <c r="C2248">
        <v>80</v>
      </c>
      <c r="D2248">
        <v>79.710494995000005</v>
      </c>
      <c r="E2248">
        <v>50</v>
      </c>
      <c r="F2248">
        <v>49.795967101999999</v>
      </c>
      <c r="G2248">
        <v>1281.9029541</v>
      </c>
      <c r="H2248">
        <v>1258.1345214999999</v>
      </c>
      <c r="I2248">
        <v>1449.0711670000001</v>
      </c>
      <c r="J2248">
        <v>1412.7615966999999</v>
      </c>
      <c r="K2248">
        <v>0</v>
      </c>
      <c r="L2248">
        <v>2400</v>
      </c>
      <c r="M2248">
        <v>2400</v>
      </c>
      <c r="N2248">
        <v>0</v>
      </c>
    </row>
    <row r="2249" spans="1:14" x14ac:dyDescent="0.25">
      <c r="A2249">
        <v>1647.3898710000001</v>
      </c>
      <c r="B2249" s="1">
        <f>DATE(2014,11,3) + TIME(9,21,24)</f>
        <v>41946.389861111114</v>
      </c>
      <c r="C2249">
        <v>80</v>
      </c>
      <c r="D2249">
        <v>79.684371948000006</v>
      </c>
      <c r="E2249">
        <v>50</v>
      </c>
      <c r="F2249">
        <v>49.865680695000002</v>
      </c>
      <c r="G2249">
        <v>1281.8936768000001</v>
      </c>
      <c r="H2249">
        <v>1258.1234131000001</v>
      </c>
      <c r="I2249">
        <v>1448.776001</v>
      </c>
      <c r="J2249">
        <v>1412.5091553</v>
      </c>
      <c r="K2249">
        <v>0</v>
      </c>
      <c r="L2249">
        <v>2400</v>
      </c>
      <c r="M2249">
        <v>2400</v>
      </c>
      <c r="N2249">
        <v>0</v>
      </c>
    </row>
    <row r="2250" spans="1:14" x14ac:dyDescent="0.25">
      <c r="A2250">
        <v>1647.663763</v>
      </c>
      <c r="B2250" s="1">
        <f>DATE(2014,11,3) + TIME(15,55,49)</f>
        <v>41946.663761574076</v>
      </c>
      <c r="C2250">
        <v>80</v>
      </c>
      <c r="D2250">
        <v>79.656639099000003</v>
      </c>
      <c r="E2250">
        <v>50</v>
      </c>
      <c r="F2250">
        <v>49.910976410000004</v>
      </c>
      <c r="G2250">
        <v>1281.8828125</v>
      </c>
      <c r="H2250">
        <v>1258.1108397999999</v>
      </c>
      <c r="I2250">
        <v>1448.4879149999999</v>
      </c>
      <c r="J2250">
        <v>1412.2496338000001</v>
      </c>
      <c r="K2250">
        <v>0</v>
      </c>
      <c r="L2250">
        <v>2400</v>
      </c>
      <c r="M2250">
        <v>2400</v>
      </c>
      <c r="N2250">
        <v>0</v>
      </c>
    </row>
    <row r="2251" spans="1:14" x14ac:dyDescent="0.25">
      <c r="A2251">
        <v>1647.9432830000001</v>
      </c>
      <c r="B2251" s="1">
        <f>DATE(2014,11,3) + TIME(22,38,19)</f>
        <v>41946.94327546296</v>
      </c>
      <c r="C2251">
        <v>80</v>
      </c>
      <c r="D2251">
        <v>79.627914429</v>
      </c>
      <c r="E2251">
        <v>50</v>
      </c>
      <c r="F2251">
        <v>49.939506530999999</v>
      </c>
      <c r="G2251">
        <v>1281.8714600000001</v>
      </c>
      <c r="H2251">
        <v>1258.0976562000001</v>
      </c>
      <c r="I2251">
        <v>1448.2249756000001</v>
      </c>
      <c r="J2251">
        <v>1412.005249</v>
      </c>
      <c r="K2251">
        <v>0</v>
      </c>
      <c r="L2251">
        <v>2400</v>
      </c>
      <c r="M2251">
        <v>2400</v>
      </c>
      <c r="N2251">
        <v>0</v>
      </c>
    </row>
    <row r="2252" spans="1:14" x14ac:dyDescent="0.25">
      <c r="A2252">
        <v>1648.233745</v>
      </c>
      <c r="B2252" s="1">
        <f>DATE(2014,11,4) + TIME(5,36,35)</f>
        <v>41947.233738425923</v>
      </c>
      <c r="C2252">
        <v>80</v>
      </c>
      <c r="D2252">
        <v>79.598136901999993</v>
      </c>
      <c r="E2252">
        <v>50</v>
      </c>
      <c r="F2252">
        <v>49.957576752000001</v>
      </c>
      <c r="G2252">
        <v>1281.8598632999999</v>
      </c>
      <c r="H2252">
        <v>1258.0841064000001</v>
      </c>
      <c r="I2252">
        <v>1447.9868164</v>
      </c>
      <c r="J2252">
        <v>1411.7791748</v>
      </c>
      <c r="K2252">
        <v>0</v>
      </c>
      <c r="L2252">
        <v>2400</v>
      </c>
      <c r="M2252">
        <v>2400</v>
      </c>
      <c r="N2252">
        <v>0</v>
      </c>
    </row>
    <row r="2253" spans="1:14" x14ac:dyDescent="0.25">
      <c r="A2253">
        <v>1648.5411349999999</v>
      </c>
      <c r="B2253" s="1">
        <f>DATE(2014,11,4) + TIME(12,59,14)</f>
        <v>41947.541134259256</v>
      </c>
      <c r="C2253">
        <v>80</v>
      </c>
      <c r="D2253">
        <v>79.567039489999999</v>
      </c>
      <c r="E2253">
        <v>50</v>
      </c>
      <c r="F2253">
        <v>49.969013214</v>
      </c>
      <c r="G2253">
        <v>1281.8477783000001</v>
      </c>
      <c r="H2253">
        <v>1258.0699463000001</v>
      </c>
      <c r="I2253">
        <v>1447.7647704999999</v>
      </c>
      <c r="J2253">
        <v>1411.5648193</v>
      </c>
      <c r="K2253">
        <v>0</v>
      </c>
      <c r="L2253">
        <v>2400</v>
      </c>
      <c r="M2253">
        <v>2400</v>
      </c>
      <c r="N2253">
        <v>0</v>
      </c>
    </row>
    <row r="2254" spans="1:14" x14ac:dyDescent="0.25">
      <c r="A2254">
        <v>1648.8720499999999</v>
      </c>
      <c r="B2254" s="1">
        <f>DATE(2014,11,4) + TIME(20,55,45)</f>
        <v>41947.872048611112</v>
      </c>
      <c r="C2254">
        <v>80</v>
      </c>
      <c r="D2254">
        <v>79.534217834000003</v>
      </c>
      <c r="E2254">
        <v>50</v>
      </c>
      <c r="F2254">
        <v>49.976188659999998</v>
      </c>
      <c r="G2254">
        <v>1281.8350829999999</v>
      </c>
      <c r="H2254">
        <v>1258.0549315999999</v>
      </c>
      <c r="I2254">
        <v>1447.5522461</v>
      </c>
      <c r="J2254">
        <v>1411.3572998</v>
      </c>
      <c r="K2254">
        <v>0</v>
      </c>
      <c r="L2254">
        <v>2400</v>
      </c>
      <c r="M2254">
        <v>2400</v>
      </c>
      <c r="N2254">
        <v>0</v>
      </c>
    </row>
    <row r="2255" spans="1:14" x14ac:dyDescent="0.25">
      <c r="A2255">
        <v>1649.2346749999999</v>
      </c>
      <c r="B2255" s="1">
        <f>DATE(2014,11,5) + TIME(5,37,55)</f>
        <v>41948.234664351854</v>
      </c>
      <c r="C2255">
        <v>80</v>
      </c>
      <c r="D2255">
        <v>79.499114989999995</v>
      </c>
      <c r="E2255">
        <v>50</v>
      </c>
      <c r="F2255">
        <v>49.980625152999998</v>
      </c>
      <c r="G2255">
        <v>1281.8214111</v>
      </c>
      <c r="H2255">
        <v>1258.0388184000001</v>
      </c>
      <c r="I2255">
        <v>1447.3442382999999</v>
      </c>
      <c r="J2255">
        <v>1411.1524658000001</v>
      </c>
      <c r="K2255">
        <v>0</v>
      </c>
      <c r="L2255">
        <v>2400</v>
      </c>
      <c r="M2255">
        <v>2400</v>
      </c>
      <c r="N2255">
        <v>0</v>
      </c>
    </row>
    <row r="2256" spans="1:14" x14ac:dyDescent="0.25">
      <c r="A2256">
        <v>1649.6400249999999</v>
      </c>
      <c r="B2256" s="1">
        <f>DATE(2014,11,5) + TIME(15,21,38)</f>
        <v>41948.640023148146</v>
      </c>
      <c r="C2256">
        <v>80</v>
      </c>
      <c r="D2256">
        <v>79.460975646999998</v>
      </c>
      <c r="E2256">
        <v>50</v>
      </c>
      <c r="F2256">
        <v>49.983314514</v>
      </c>
      <c r="G2256">
        <v>1281.8063964999999</v>
      </c>
      <c r="H2256">
        <v>1258.0209961</v>
      </c>
      <c r="I2256">
        <v>1447.1365966999999</v>
      </c>
      <c r="J2256">
        <v>1410.9465332</v>
      </c>
      <c r="K2256">
        <v>0</v>
      </c>
      <c r="L2256">
        <v>2400</v>
      </c>
      <c r="M2256">
        <v>2400</v>
      </c>
      <c r="N2256">
        <v>0</v>
      </c>
    </row>
    <row r="2257" spans="1:14" x14ac:dyDescent="0.25">
      <c r="A2257">
        <v>1650.093431</v>
      </c>
      <c r="B2257" s="1">
        <f>DATE(2014,11,6) + TIME(2,14,32)</f>
        <v>41949.093425925923</v>
      </c>
      <c r="C2257">
        <v>80</v>
      </c>
      <c r="D2257">
        <v>79.419219971000004</v>
      </c>
      <c r="E2257">
        <v>50</v>
      </c>
      <c r="F2257">
        <v>49.984889983999999</v>
      </c>
      <c r="G2257">
        <v>1281.7895507999999</v>
      </c>
      <c r="H2257">
        <v>1258.0010986</v>
      </c>
      <c r="I2257">
        <v>1446.9251709</v>
      </c>
      <c r="J2257">
        <v>1410.7357178</v>
      </c>
      <c r="K2257">
        <v>0</v>
      </c>
      <c r="L2257">
        <v>2400</v>
      </c>
      <c r="M2257">
        <v>2400</v>
      </c>
      <c r="N2257">
        <v>0</v>
      </c>
    </row>
    <row r="2258" spans="1:14" x14ac:dyDescent="0.25">
      <c r="A2258">
        <v>1650.5476269999999</v>
      </c>
      <c r="B2258" s="1">
        <f>DATE(2014,11,6) + TIME(13,8,34)</f>
        <v>41949.547615740739</v>
      </c>
      <c r="C2258">
        <v>80</v>
      </c>
      <c r="D2258">
        <v>79.375663756999998</v>
      </c>
      <c r="E2258">
        <v>50</v>
      </c>
      <c r="F2258">
        <v>49.985725403000004</v>
      </c>
      <c r="G2258">
        <v>1281.7702637</v>
      </c>
      <c r="H2258">
        <v>1257.9790039</v>
      </c>
      <c r="I2258">
        <v>1446.7099608999999</v>
      </c>
      <c r="J2258">
        <v>1410.5203856999999</v>
      </c>
      <c r="K2258">
        <v>0</v>
      </c>
      <c r="L2258">
        <v>2400</v>
      </c>
      <c r="M2258">
        <v>2400</v>
      </c>
      <c r="N2258">
        <v>0</v>
      </c>
    </row>
    <row r="2259" spans="1:14" x14ac:dyDescent="0.25">
      <c r="A2259">
        <v>1651.011696</v>
      </c>
      <c r="B2259" s="1">
        <f>DATE(2014,11,7) + TIME(0,16,50)</f>
        <v>41950.011689814812</v>
      </c>
      <c r="C2259">
        <v>80</v>
      </c>
      <c r="D2259">
        <v>79.331016540999997</v>
      </c>
      <c r="E2259">
        <v>50</v>
      </c>
      <c r="F2259">
        <v>49.986183167</v>
      </c>
      <c r="G2259">
        <v>1281.7510986</v>
      </c>
      <c r="H2259">
        <v>1257.956543</v>
      </c>
      <c r="I2259">
        <v>1446.5139160000001</v>
      </c>
      <c r="J2259">
        <v>1410.3236084</v>
      </c>
      <c r="K2259">
        <v>0</v>
      </c>
      <c r="L2259">
        <v>2400</v>
      </c>
      <c r="M2259">
        <v>2400</v>
      </c>
      <c r="N2259">
        <v>0</v>
      </c>
    </row>
    <row r="2260" spans="1:14" x14ac:dyDescent="0.25">
      <c r="A2260">
        <v>1651.495557</v>
      </c>
      <c r="B2260" s="1">
        <f>DATE(2014,11,7) + TIME(11,53,36)</f>
        <v>41950.495555555557</v>
      </c>
      <c r="C2260">
        <v>80</v>
      </c>
      <c r="D2260">
        <v>79.28515625</v>
      </c>
      <c r="E2260">
        <v>50</v>
      </c>
      <c r="F2260">
        <v>49.986442566000001</v>
      </c>
      <c r="G2260">
        <v>1281.7313231999999</v>
      </c>
      <c r="H2260">
        <v>1257.9333495999999</v>
      </c>
      <c r="I2260">
        <v>1446.3304443</v>
      </c>
      <c r="J2260">
        <v>1410.1389160000001</v>
      </c>
      <c r="K2260">
        <v>0</v>
      </c>
      <c r="L2260">
        <v>2400</v>
      </c>
      <c r="M2260">
        <v>2400</v>
      </c>
      <c r="N2260">
        <v>0</v>
      </c>
    </row>
    <row r="2261" spans="1:14" x14ac:dyDescent="0.25">
      <c r="A2261">
        <v>1652.009237</v>
      </c>
      <c r="B2261" s="1">
        <f>DATE(2014,11,8) + TIME(0,13,18)</f>
        <v>41951.009236111109</v>
      </c>
      <c r="C2261">
        <v>80</v>
      </c>
      <c r="D2261">
        <v>79.237556458</v>
      </c>
      <c r="E2261">
        <v>50</v>
      </c>
      <c r="F2261">
        <v>49.986595154</v>
      </c>
      <c r="G2261">
        <v>1281.7108154</v>
      </c>
      <c r="H2261">
        <v>1257.9091797000001</v>
      </c>
      <c r="I2261">
        <v>1446.1540527</v>
      </c>
      <c r="J2261">
        <v>1409.9611815999999</v>
      </c>
      <c r="K2261">
        <v>0</v>
      </c>
      <c r="L2261">
        <v>2400</v>
      </c>
      <c r="M2261">
        <v>2400</v>
      </c>
      <c r="N2261">
        <v>0</v>
      </c>
    </row>
    <row r="2262" spans="1:14" x14ac:dyDescent="0.25">
      <c r="A2262">
        <v>1652.5615250000001</v>
      </c>
      <c r="B2262" s="1">
        <f>DATE(2014,11,8) + TIME(13,28,35)</f>
        <v>41951.561516203707</v>
      </c>
      <c r="C2262">
        <v>80</v>
      </c>
      <c r="D2262">
        <v>79.187591553000004</v>
      </c>
      <c r="E2262">
        <v>50</v>
      </c>
      <c r="F2262">
        <v>49.986682891999997</v>
      </c>
      <c r="G2262">
        <v>1281.6888428</v>
      </c>
      <c r="H2262">
        <v>1257.8833007999999</v>
      </c>
      <c r="I2262">
        <v>1445.9810791</v>
      </c>
      <c r="J2262">
        <v>1409.7866211</v>
      </c>
      <c r="K2262">
        <v>0</v>
      </c>
      <c r="L2262">
        <v>2400</v>
      </c>
      <c r="M2262">
        <v>2400</v>
      </c>
      <c r="N2262">
        <v>0</v>
      </c>
    </row>
    <row r="2263" spans="1:14" x14ac:dyDescent="0.25">
      <c r="A2263">
        <v>1653.1604339999999</v>
      </c>
      <c r="B2263" s="1">
        <f>DATE(2014,11,9) + TIME(3,51,1)</f>
        <v>41952.160428240742</v>
      </c>
      <c r="C2263">
        <v>80</v>
      </c>
      <c r="D2263">
        <v>79.134605407999999</v>
      </c>
      <c r="E2263">
        <v>50</v>
      </c>
      <c r="F2263">
        <v>49.986740112</v>
      </c>
      <c r="G2263">
        <v>1281.6650391000001</v>
      </c>
      <c r="H2263">
        <v>1257.8552245999999</v>
      </c>
      <c r="I2263">
        <v>1445.8089600000001</v>
      </c>
      <c r="J2263">
        <v>1409.612793</v>
      </c>
      <c r="K2263">
        <v>0</v>
      </c>
      <c r="L2263">
        <v>2400</v>
      </c>
      <c r="M2263">
        <v>2400</v>
      </c>
      <c r="N2263">
        <v>0</v>
      </c>
    </row>
    <row r="2264" spans="1:14" x14ac:dyDescent="0.25">
      <c r="A2264">
        <v>1653.8048940000001</v>
      </c>
      <c r="B2264" s="1">
        <f>DATE(2014,11,9) + TIME(19,19,2)</f>
        <v>41952.804884259262</v>
      </c>
      <c r="C2264">
        <v>80</v>
      </c>
      <c r="D2264">
        <v>79.078262328999998</v>
      </c>
      <c r="E2264">
        <v>50</v>
      </c>
      <c r="F2264">
        <v>49.986774445000002</v>
      </c>
      <c r="G2264">
        <v>1281.6390381000001</v>
      </c>
      <c r="H2264">
        <v>1257.824707</v>
      </c>
      <c r="I2264">
        <v>1445.6363524999999</v>
      </c>
      <c r="J2264">
        <v>1409.4381103999999</v>
      </c>
      <c r="K2264">
        <v>0</v>
      </c>
      <c r="L2264">
        <v>2400</v>
      </c>
      <c r="M2264">
        <v>2400</v>
      </c>
      <c r="N2264">
        <v>0</v>
      </c>
    </row>
    <row r="2265" spans="1:14" x14ac:dyDescent="0.25">
      <c r="A2265">
        <v>1654.455741</v>
      </c>
      <c r="B2265" s="1">
        <f>DATE(2014,11,10) + TIME(10,56,16)</f>
        <v>41953.455740740741</v>
      </c>
      <c r="C2265">
        <v>80</v>
      </c>
      <c r="D2265">
        <v>79.019866942999997</v>
      </c>
      <c r="E2265">
        <v>50</v>
      </c>
      <c r="F2265">
        <v>49.986797332999998</v>
      </c>
      <c r="G2265">
        <v>1281.6107178</v>
      </c>
      <c r="H2265">
        <v>1257.791626</v>
      </c>
      <c r="I2265">
        <v>1445.4644774999999</v>
      </c>
      <c r="J2265">
        <v>1409.2641602000001</v>
      </c>
      <c r="K2265">
        <v>0</v>
      </c>
      <c r="L2265">
        <v>2400</v>
      </c>
      <c r="M2265">
        <v>2400</v>
      </c>
      <c r="N2265">
        <v>0</v>
      </c>
    </row>
    <row r="2266" spans="1:14" x14ac:dyDescent="0.25">
      <c r="A2266">
        <v>1655.126526</v>
      </c>
      <c r="B2266" s="1">
        <f>DATE(2014,11,11) + TIME(3,2,11)</f>
        <v>41954.126516203702</v>
      </c>
      <c r="C2266">
        <v>80</v>
      </c>
      <c r="D2266">
        <v>78.960235596000004</v>
      </c>
      <c r="E2266">
        <v>50</v>
      </c>
      <c r="F2266">
        <v>49.986816406000003</v>
      </c>
      <c r="G2266">
        <v>1281.5819091999999</v>
      </c>
      <c r="H2266">
        <v>1257.7578125</v>
      </c>
      <c r="I2266">
        <v>1445.3039550999999</v>
      </c>
      <c r="J2266">
        <v>1409.1015625</v>
      </c>
      <c r="K2266">
        <v>0</v>
      </c>
      <c r="L2266">
        <v>2400</v>
      </c>
      <c r="M2266">
        <v>2400</v>
      </c>
      <c r="N2266">
        <v>0</v>
      </c>
    </row>
    <row r="2267" spans="1:14" x14ac:dyDescent="0.25">
      <c r="A2267">
        <v>1655.8309879999999</v>
      </c>
      <c r="B2267" s="1">
        <f>DATE(2014,11,11) + TIME(19,56,37)</f>
        <v>41954.830983796295</v>
      </c>
      <c r="C2267">
        <v>80</v>
      </c>
      <c r="D2267">
        <v>78.899009704999997</v>
      </c>
      <c r="E2267">
        <v>50</v>
      </c>
      <c r="F2267">
        <v>49.986827849999997</v>
      </c>
      <c r="G2267">
        <v>1281.552124</v>
      </c>
      <c r="H2267">
        <v>1257.7225341999999</v>
      </c>
      <c r="I2267">
        <v>1445.1501464999999</v>
      </c>
      <c r="J2267">
        <v>1408.9455565999999</v>
      </c>
      <c r="K2267">
        <v>0</v>
      </c>
      <c r="L2267">
        <v>2400</v>
      </c>
      <c r="M2267">
        <v>2400</v>
      </c>
      <c r="N2267">
        <v>0</v>
      </c>
    </row>
    <row r="2268" spans="1:14" x14ac:dyDescent="0.25">
      <c r="A2268">
        <v>1656.579283</v>
      </c>
      <c r="B2268" s="1">
        <f>DATE(2014,11,12) + TIME(13,54,10)</f>
        <v>41955.579282407409</v>
      </c>
      <c r="C2268">
        <v>80</v>
      </c>
      <c r="D2268">
        <v>78.835494995000005</v>
      </c>
      <c r="E2268">
        <v>50</v>
      </c>
      <c r="F2268">
        <v>49.986843108999999</v>
      </c>
      <c r="G2268">
        <v>1281.5205077999999</v>
      </c>
      <c r="H2268">
        <v>1257.6850586</v>
      </c>
      <c r="I2268">
        <v>1444.9996338000001</v>
      </c>
      <c r="J2268">
        <v>1408.7929687999999</v>
      </c>
      <c r="K2268">
        <v>0</v>
      </c>
      <c r="L2268">
        <v>2400</v>
      </c>
      <c r="M2268">
        <v>2400</v>
      </c>
      <c r="N2268">
        <v>0</v>
      </c>
    </row>
    <row r="2269" spans="1:14" x14ac:dyDescent="0.25">
      <c r="A2269">
        <v>1657.372895</v>
      </c>
      <c r="B2269" s="1">
        <f>DATE(2014,11,13) + TIME(8,56,58)</f>
        <v>41956.372893518521</v>
      </c>
      <c r="C2269">
        <v>80</v>
      </c>
      <c r="D2269">
        <v>78.769187927000004</v>
      </c>
      <c r="E2269">
        <v>50</v>
      </c>
      <c r="F2269">
        <v>49.986854553000001</v>
      </c>
      <c r="G2269">
        <v>1281.4865723</v>
      </c>
      <c r="H2269">
        <v>1257.6448975000001</v>
      </c>
      <c r="I2269">
        <v>1444.8504639</v>
      </c>
      <c r="J2269">
        <v>1408.6416016000001</v>
      </c>
      <c r="K2269">
        <v>0</v>
      </c>
      <c r="L2269">
        <v>2400</v>
      </c>
      <c r="M2269">
        <v>2400</v>
      </c>
      <c r="N2269">
        <v>0</v>
      </c>
    </row>
    <row r="2270" spans="1:14" x14ac:dyDescent="0.25">
      <c r="A2270">
        <v>1658.229842</v>
      </c>
      <c r="B2270" s="1">
        <f>DATE(2014,11,14) + TIME(5,30,58)</f>
        <v>41957.229837962965</v>
      </c>
      <c r="C2270">
        <v>80</v>
      </c>
      <c r="D2270">
        <v>78.699432372999993</v>
      </c>
      <c r="E2270">
        <v>50</v>
      </c>
      <c r="F2270">
        <v>49.986865997000002</v>
      </c>
      <c r="G2270">
        <v>1281.4501952999999</v>
      </c>
      <c r="H2270">
        <v>1257.6016846</v>
      </c>
      <c r="I2270">
        <v>1444.7028809000001</v>
      </c>
      <c r="J2270">
        <v>1408.4916992000001</v>
      </c>
      <c r="K2270">
        <v>0</v>
      </c>
      <c r="L2270">
        <v>2400</v>
      </c>
      <c r="M2270">
        <v>2400</v>
      </c>
      <c r="N2270">
        <v>0</v>
      </c>
    </row>
    <row r="2271" spans="1:14" x14ac:dyDescent="0.25">
      <c r="A2271">
        <v>1659.1090469999999</v>
      </c>
      <c r="B2271" s="1">
        <f>DATE(2014,11,15) + TIME(2,37,1)</f>
        <v>41958.109039351853</v>
      </c>
      <c r="C2271">
        <v>80</v>
      </c>
      <c r="D2271">
        <v>78.626670837000006</v>
      </c>
      <c r="E2271">
        <v>50</v>
      </c>
      <c r="F2271">
        <v>49.986877440999997</v>
      </c>
      <c r="G2271">
        <v>1281.4104004000001</v>
      </c>
      <c r="H2271">
        <v>1257.5546875</v>
      </c>
      <c r="I2271">
        <v>1444.5540771000001</v>
      </c>
      <c r="J2271">
        <v>1408.3406981999999</v>
      </c>
      <c r="K2271">
        <v>0</v>
      </c>
      <c r="L2271">
        <v>2400</v>
      </c>
      <c r="M2271">
        <v>2400</v>
      </c>
      <c r="N2271">
        <v>0</v>
      </c>
    </row>
    <row r="2272" spans="1:14" x14ac:dyDescent="0.25">
      <c r="A2272">
        <v>1660.008818</v>
      </c>
      <c r="B2272" s="1">
        <f>DATE(2014,11,16) + TIME(0,12,41)</f>
        <v>41959.00880787037</v>
      </c>
      <c r="C2272">
        <v>80</v>
      </c>
      <c r="D2272">
        <v>78.552360535000005</v>
      </c>
      <c r="E2272">
        <v>50</v>
      </c>
      <c r="F2272">
        <v>49.986888884999999</v>
      </c>
      <c r="G2272">
        <v>1281.3690185999999</v>
      </c>
      <c r="H2272">
        <v>1257.5054932</v>
      </c>
      <c r="I2272">
        <v>1444.4117432</v>
      </c>
      <c r="J2272">
        <v>1408.1961670000001</v>
      </c>
      <c r="K2272">
        <v>0</v>
      </c>
      <c r="L2272">
        <v>2400</v>
      </c>
      <c r="M2272">
        <v>2400</v>
      </c>
      <c r="N2272">
        <v>0</v>
      </c>
    </row>
    <row r="2273" spans="1:14" x14ac:dyDescent="0.25">
      <c r="A2273">
        <v>1660.9472639999999</v>
      </c>
      <c r="B2273" s="1">
        <f>DATE(2014,11,16) + TIME(22,44,3)</f>
        <v>41959.947256944448</v>
      </c>
      <c r="C2273">
        <v>80</v>
      </c>
      <c r="D2273">
        <v>78.476593018000003</v>
      </c>
      <c r="E2273">
        <v>50</v>
      </c>
      <c r="F2273">
        <v>49.986900329999997</v>
      </c>
      <c r="G2273">
        <v>1281.3261719</v>
      </c>
      <c r="H2273">
        <v>1257.4543457</v>
      </c>
      <c r="I2273">
        <v>1444.2753906</v>
      </c>
      <c r="J2273">
        <v>1408.0577393000001</v>
      </c>
      <c r="K2273">
        <v>0</v>
      </c>
      <c r="L2273">
        <v>2400</v>
      </c>
      <c r="M2273">
        <v>2400</v>
      </c>
      <c r="N2273">
        <v>0</v>
      </c>
    </row>
    <row r="2274" spans="1:14" x14ac:dyDescent="0.25">
      <c r="A2274">
        <v>1661.936207</v>
      </c>
      <c r="B2274" s="1">
        <f>DATE(2014,11,17) + TIME(22,28,8)</f>
        <v>41960.936203703706</v>
      </c>
      <c r="C2274">
        <v>80</v>
      </c>
      <c r="D2274">
        <v>78.398635863999999</v>
      </c>
      <c r="E2274">
        <v>50</v>
      </c>
      <c r="F2274">
        <v>49.986915588000002</v>
      </c>
      <c r="G2274">
        <v>1281.2810059000001</v>
      </c>
      <c r="H2274">
        <v>1257.4001464999999</v>
      </c>
      <c r="I2274">
        <v>1444.1420897999999</v>
      </c>
      <c r="J2274">
        <v>1407.9224853999999</v>
      </c>
      <c r="K2274">
        <v>0</v>
      </c>
      <c r="L2274">
        <v>2400</v>
      </c>
      <c r="M2274">
        <v>2400</v>
      </c>
      <c r="N2274">
        <v>0</v>
      </c>
    </row>
    <row r="2275" spans="1:14" x14ac:dyDescent="0.25">
      <c r="A2275">
        <v>1662.9683210000001</v>
      </c>
      <c r="B2275" s="1">
        <f>DATE(2014,11,18) + TIME(23,14,22)</f>
        <v>41961.968310185184</v>
      </c>
      <c r="C2275">
        <v>80</v>
      </c>
      <c r="D2275">
        <v>78.318115234000004</v>
      </c>
      <c r="E2275">
        <v>50</v>
      </c>
      <c r="F2275">
        <v>49.986927031999997</v>
      </c>
      <c r="G2275">
        <v>1281.2325439000001</v>
      </c>
      <c r="H2275">
        <v>1257.3420410000001</v>
      </c>
      <c r="I2275">
        <v>1444.0102539</v>
      </c>
      <c r="J2275">
        <v>1407.7886963000001</v>
      </c>
      <c r="K2275">
        <v>0</v>
      </c>
      <c r="L2275">
        <v>2400</v>
      </c>
      <c r="M2275">
        <v>2400</v>
      </c>
      <c r="N2275">
        <v>0</v>
      </c>
    </row>
    <row r="2276" spans="1:14" x14ac:dyDescent="0.25">
      <c r="A2276">
        <v>1664.064028</v>
      </c>
      <c r="B2276" s="1">
        <f>DATE(2014,11,20) + TIME(1,32,12)</f>
        <v>41963.064027777778</v>
      </c>
      <c r="C2276">
        <v>80</v>
      </c>
      <c r="D2276">
        <v>78.234771729000002</v>
      </c>
      <c r="E2276">
        <v>50</v>
      </c>
      <c r="F2276">
        <v>49.986942290999998</v>
      </c>
      <c r="G2276">
        <v>1281.1812743999999</v>
      </c>
      <c r="H2276">
        <v>1257.2802733999999</v>
      </c>
      <c r="I2276">
        <v>1443.8811035000001</v>
      </c>
      <c r="J2276">
        <v>1407.6575928</v>
      </c>
      <c r="K2276">
        <v>0</v>
      </c>
      <c r="L2276">
        <v>2400</v>
      </c>
      <c r="M2276">
        <v>2400</v>
      </c>
      <c r="N2276">
        <v>0</v>
      </c>
    </row>
    <row r="2277" spans="1:14" x14ac:dyDescent="0.25">
      <c r="A2277">
        <v>1665.194389</v>
      </c>
      <c r="B2277" s="1">
        <f>DATE(2014,11,21) + TIME(4,39,55)</f>
        <v>41964.194386574076</v>
      </c>
      <c r="C2277">
        <v>80</v>
      </c>
      <c r="D2277">
        <v>78.148559570000003</v>
      </c>
      <c r="E2277">
        <v>50</v>
      </c>
      <c r="F2277">
        <v>49.986953735</v>
      </c>
      <c r="G2277">
        <v>1281.1258545000001</v>
      </c>
      <c r="H2277">
        <v>1257.2136230000001</v>
      </c>
      <c r="I2277">
        <v>1443.7520752</v>
      </c>
      <c r="J2277">
        <v>1407.5268555</v>
      </c>
      <c r="K2277">
        <v>0</v>
      </c>
      <c r="L2277">
        <v>2400</v>
      </c>
      <c r="M2277">
        <v>2400</v>
      </c>
      <c r="N2277">
        <v>0</v>
      </c>
    </row>
    <row r="2278" spans="1:14" x14ac:dyDescent="0.25">
      <c r="A2278">
        <v>1666.3557060000001</v>
      </c>
      <c r="B2278" s="1">
        <f>DATE(2014,11,22) + TIME(8,32,12)</f>
        <v>41965.355694444443</v>
      </c>
      <c r="C2278">
        <v>80</v>
      </c>
      <c r="D2278">
        <v>78.060607910000002</v>
      </c>
      <c r="E2278">
        <v>50</v>
      </c>
      <c r="F2278">
        <v>49.986968994000001</v>
      </c>
      <c r="G2278">
        <v>1281.067749</v>
      </c>
      <c r="H2278">
        <v>1257.1433105000001</v>
      </c>
      <c r="I2278">
        <v>1443.6270752</v>
      </c>
      <c r="J2278">
        <v>1407.4001464999999</v>
      </c>
      <c r="K2278">
        <v>0</v>
      </c>
      <c r="L2278">
        <v>2400</v>
      </c>
      <c r="M2278">
        <v>2400</v>
      </c>
      <c r="N2278">
        <v>0</v>
      </c>
    </row>
    <row r="2279" spans="1:14" x14ac:dyDescent="0.25">
      <c r="A2279">
        <v>1667.5708299999999</v>
      </c>
      <c r="B2279" s="1">
        <f>DATE(2014,11,23) + TIME(13,41,59)</f>
        <v>41966.570821759262</v>
      </c>
      <c r="C2279">
        <v>80</v>
      </c>
      <c r="D2279">
        <v>77.970970154</v>
      </c>
      <c r="E2279">
        <v>50</v>
      </c>
      <c r="F2279">
        <v>49.986984253000003</v>
      </c>
      <c r="G2279">
        <v>1281.0070800999999</v>
      </c>
      <c r="H2279">
        <v>1257.0694579999999</v>
      </c>
      <c r="I2279">
        <v>1443.5061035000001</v>
      </c>
      <c r="J2279">
        <v>1407.2775879000001</v>
      </c>
      <c r="K2279">
        <v>0</v>
      </c>
      <c r="L2279">
        <v>2400</v>
      </c>
      <c r="M2279">
        <v>2400</v>
      </c>
      <c r="N2279">
        <v>0</v>
      </c>
    </row>
    <row r="2280" spans="1:14" x14ac:dyDescent="0.25">
      <c r="A2280">
        <v>1668.8353279999999</v>
      </c>
      <c r="B2280" s="1">
        <f>DATE(2014,11,24) + TIME(20,2,52)</f>
        <v>41967.835324074076</v>
      </c>
      <c r="C2280">
        <v>80</v>
      </c>
      <c r="D2280">
        <v>77.879005432</v>
      </c>
      <c r="E2280">
        <v>50</v>
      </c>
      <c r="F2280">
        <v>49.986999511999997</v>
      </c>
      <c r="G2280">
        <v>1280.9422606999999</v>
      </c>
      <c r="H2280">
        <v>1256.9904785000001</v>
      </c>
      <c r="I2280">
        <v>1443.3868408000001</v>
      </c>
      <c r="J2280">
        <v>1407.1567382999999</v>
      </c>
      <c r="K2280">
        <v>0</v>
      </c>
      <c r="L2280">
        <v>2400</v>
      </c>
      <c r="M2280">
        <v>2400</v>
      </c>
      <c r="N2280">
        <v>0</v>
      </c>
    </row>
    <row r="2281" spans="1:14" x14ac:dyDescent="0.25">
      <c r="A2281">
        <v>1670.1496460000001</v>
      </c>
      <c r="B2281" s="1">
        <f>DATE(2014,11,26) + TIME(3,35,29)</f>
        <v>41969.149641203701</v>
      </c>
      <c r="C2281">
        <v>80</v>
      </c>
      <c r="D2281">
        <v>77.784797667999996</v>
      </c>
      <c r="E2281">
        <v>50</v>
      </c>
      <c r="F2281">
        <v>49.987014770999998</v>
      </c>
      <c r="G2281">
        <v>1280.8735352000001</v>
      </c>
      <c r="H2281">
        <v>1256.9063721</v>
      </c>
      <c r="I2281">
        <v>1443.2695312000001</v>
      </c>
      <c r="J2281">
        <v>1407.0382079999999</v>
      </c>
      <c r="K2281">
        <v>0</v>
      </c>
      <c r="L2281">
        <v>2400</v>
      </c>
      <c r="M2281">
        <v>2400</v>
      </c>
      <c r="N2281">
        <v>0</v>
      </c>
    </row>
    <row r="2282" spans="1:14" x14ac:dyDescent="0.25">
      <c r="A2282">
        <v>1671.5385329999999</v>
      </c>
      <c r="B2282" s="1">
        <f>DATE(2014,11,27) + TIME(12,55,29)</f>
        <v>41970.538530092592</v>
      </c>
      <c r="C2282">
        <v>80</v>
      </c>
      <c r="D2282">
        <v>77.687995911000002</v>
      </c>
      <c r="E2282">
        <v>50</v>
      </c>
      <c r="F2282">
        <v>49.987030029000003</v>
      </c>
      <c r="G2282">
        <v>1280.8006591999999</v>
      </c>
      <c r="H2282">
        <v>1256.8167725000001</v>
      </c>
      <c r="I2282">
        <v>1443.1545410000001</v>
      </c>
      <c r="J2282">
        <v>1406.921875</v>
      </c>
      <c r="K2282">
        <v>0</v>
      </c>
      <c r="L2282">
        <v>2400</v>
      </c>
      <c r="M2282">
        <v>2400</v>
      </c>
      <c r="N2282">
        <v>0</v>
      </c>
    </row>
    <row r="2283" spans="1:14" x14ac:dyDescent="0.25">
      <c r="A2283">
        <v>1672.957447</v>
      </c>
      <c r="B2283" s="1">
        <f>DATE(2014,11,28) + TIME(22,58,43)</f>
        <v>41971.957442129627</v>
      </c>
      <c r="C2283">
        <v>80</v>
      </c>
      <c r="D2283">
        <v>77.588439941000004</v>
      </c>
      <c r="E2283">
        <v>50</v>
      </c>
      <c r="F2283">
        <v>49.987045287999997</v>
      </c>
      <c r="G2283">
        <v>1280.7219238</v>
      </c>
      <c r="H2283">
        <v>1256.7199707</v>
      </c>
      <c r="I2283">
        <v>1443.0395507999999</v>
      </c>
      <c r="J2283">
        <v>1406.8056641000001</v>
      </c>
      <c r="K2283">
        <v>0</v>
      </c>
      <c r="L2283">
        <v>2400</v>
      </c>
      <c r="M2283">
        <v>2400</v>
      </c>
      <c r="N2283">
        <v>0</v>
      </c>
    </row>
    <row r="2284" spans="1:14" x14ac:dyDescent="0.25">
      <c r="A2284">
        <v>1674.424708</v>
      </c>
      <c r="B2284" s="1">
        <f>DATE(2014,11,30) + TIME(10,11,34)</f>
        <v>41973.424699074072</v>
      </c>
      <c r="C2284">
        <v>80</v>
      </c>
      <c r="D2284">
        <v>77.487556458</v>
      </c>
      <c r="E2284">
        <v>50</v>
      </c>
      <c r="F2284">
        <v>49.987060546999999</v>
      </c>
      <c r="G2284">
        <v>1280.6397704999999</v>
      </c>
      <c r="H2284">
        <v>1256.6181641000001</v>
      </c>
      <c r="I2284">
        <v>1442.9284668</v>
      </c>
      <c r="J2284">
        <v>1406.6936035000001</v>
      </c>
      <c r="K2284">
        <v>0</v>
      </c>
      <c r="L2284">
        <v>2400</v>
      </c>
      <c r="M2284">
        <v>2400</v>
      </c>
      <c r="N2284">
        <v>0</v>
      </c>
    </row>
    <row r="2285" spans="1:14" x14ac:dyDescent="0.25">
      <c r="A2285">
        <v>1675</v>
      </c>
      <c r="B2285" s="1">
        <f>DATE(2014,12,1) + TIME(0,0,0)</f>
        <v>41974</v>
      </c>
      <c r="C2285">
        <v>80</v>
      </c>
      <c r="D2285">
        <v>77.412727356000005</v>
      </c>
      <c r="E2285">
        <v>50</v>
      </c>
      <c r="F2285">
        <v>49.987064361999998</v>
      </c>
      <c r="G2285">
        <v>1280.5517577999999</v>
      </c>
      <c r="H2285">
        <v>1256.5153809000001</v>
      </c>
      <c r="I2285">
        <v>1442.8198242000001</v>
      </c>
      <c r="J2285">
        <v>1406.5838623</v>
      </c>
      <c r="K2285">
        <v>0</v>
      </c>
      <c r="L2285">
        <v>2400</v>
      </c>
      <c r="M2285">
        <v>2400</v>
      </c>
      <c r="N2285">
        <v>0</v>
      </c>
    </row>
    <row r="2286" spans="1:14" x14ac:dyDescent="0.25">
      <c r="A2286">
        <v>1676.538595</v>
      </c>
      <c r="B2286" s="1">
        <f>DATE(2014,12,2) + TIME(12,55,34)</f>
        <v>41975.538587962961</v>
      </c>
      <c r="C2286">
        <v>80</v>
      </c>
      <c r="D2286">
        <v>77.337341308999996</v>
      </c>
      <c r="E2286">
        <v>50</v>
      </c>
      <c r="F2286">
        <v>49.987087250000002</v>
      </c>
      <c r="G2286">
        <v>1280.5174560999999</v>
      </c>
      <c r="H2286">
        <v>1256.4637451000001</v>
      </c>
      <c r="I2286">
        <v>1442.7789307</v>
      </c>
      <c r="J2286">
        <v>1406.5427245999999</v>
      </c>
      <c r="K2286">
        <v>0</v>
      </c>
      <c r="L2286">
        <v>2400</v>
      </c>
      <c r="M2286">
        <v>2400</v>
      </c>
      <c r="N2286">
        <v>0</v>
      </c>
    </row>
    <row r="2287" spans="1:14" x14ac:dyDescent="0.25">
      <c r="A2287">
        <v>1678.135029</v>
      </c>
      <c r="B2287" s="1">
        <f>DATE(2014,12,4) + TIME(3,14,26)</f>
        <v>41977.135023148148</v>
      </c>
      <c r="C2287">
        <v>80</v>
      </c>
      <c r="D2287">
        <v>77.238494872999993</v>
      </c>
      <c r="E2287">
        <v>50</v>
      </c>
      <c r="F2287">
        <v>49.987102509000003</v>
      </c>
      <c r="G2287">
        <v>1280.4235839999999</v>
      </c>
      <c r="H2287">
        <v>1256.3480225000001</v>
      </c>
      <c r="I2287">
        <v>1442.6730957</v>
      </c>
      <c r="J2287">
        <v>1406.4360352000001</v>
      </c>
      <c r="K2287">
        <v>0</v>
      </c>
      <c r="L2287">
        <v>2400</v>
      </c>
      <c r="M2287">
        <v>2400</v>
      </c>
      <c r="N2287">
        <v>0</v>
      </c>
    </row>
    <row r="2288" spans="1:14" x14ac:dyDescent="0.25">
      <c r="A2288">
        <v>1679.803322</v>
      </c>
      <c r="B2288" s="1">
        <f>DATE(2014,12,5) + TIME(19,16,47)</f>
        <v>41978.80332175926</v>
      </c>
      <c r="C2288">
        <v>80</v>
      </c>
      <c r="D2288">
        <v>77.132530212000006</v>
      </c>
      <c r="E2288">
        <v>50</v>
      </c>
      <c r="F2288">
        <v>49.987121582</v>
      </c>
      <c r="G2288">
        <v>1280.3233643000001</v>
      </c>
      <c r="H2288">
        <v>1256.2225341999999</v>
      </c>
      <c r="I2288">
        <v>1442.5686035000001</v>
      </c>
      <c r="J2288">
        <v>1406.3308105000001</v>
      </c>
      <c r="K2288">
        <v>0</v>
      </c>
      <c r="L2288">
        <v>2400</v>
      </c>
      <c r="M2288">
        <v>2400</v>
      </c>
      <c r="N2288">
        <v>0</v>
      </c>
    </row>
    <row r="2289" spans="1:14" x14ac:dyDescent="0.25">
      <c r="A2289">
        <v>1681.5216359999999</v>
      </c>
      <c r="B2289" s="1">
        <f>DATE(2014,12,7) + TIME(12,31,9)</f>
        <v>41980.521631944444</v>
      </c>
      <c r="C2289">
        <v>80</v>
      </c>
      <c r="D2289">
        <v>77.023017882999994</v>
      </c>
      <c r="E2289">
        <v>50</v>
      </c>
      <c r="F2289">
        <v>49.987140656000001</v>
      </c>
      <c r="G2289">
        <v>1280.2159423999999</v>
      </c>
      <c r="H2289">
        <v>1256.0872803</v>
      </c>
      <c r="I2289">
        <v>1442.4649658000001</v>
      </c>
      <c r="J2289">
        <v>1406.2265625</v>
      </c>
      <c r="K2289">
        <v>0</v>
      </c>
      <c r="L2289">
        <v>2400</v>
      </c>
      <c r="M2289">
        <v>2400</v>
      </c>
      <c r="N2289">
        <v>0</v>
      </c>
    </row>
    <row r="2290" spans="1:14" x14ac:dyDescent="0.25">
      <c r="A2290">
        <v>1683.298837</v>
      </c>
      <c r="B2290" s="1">
        <f>DATE(2014,12,9) + TIME(7,10,19)</f>
        <v>41982.298831018517</v>
      </c>
      <c r="C2290">
        <v>80</v>
      </c>
      <c r="D2290">
        <v>76.911560058999996</v>
      </c>
      <c r="E2290">
        <v>50</v>
      </c>
      <c r="F2290">
        <v>49.987159728999998</v>
      </c>
      <c r="G2290">
        <v>1280.1022949000001</v>
      </c>
      <c r="H2290">
        <v>1255.9432373</v>
      </c>
      <c r="I2290">
        <v>1442.3634033000001</v>
      </c>
      <c r="J2290">
        <v>1406.1245117000001</v>
      </c>
      <c r="K2290">
        <v>0</v>
      </c>
      <c r="L2290">
        <v>2400</v>
      </c>
      <c r="M2290">
        <v>2400</v>
      </c>
      <c r="N2290">
        <v>0</v>
      </c>
    </row>
    <row r="2291" spans="1:14" x14ac:dyDescent="0.25">
      <c r="A2291">
        <v>1685.152255</v>
      </c>
      <c r="B2291" s="1">
        <f>DATE(2014,12,11) + TIME(3,39,14)</f>
        <v>41984.152245370373</v>
      </c>
      <c r="C2291">
        <v>80</v>
      </c>
      <c r="D2291">
        <v>76.798027039000004</v>
      </c>
      <c r="E2291">
        <v>50</v>
      </c>
      <c r="F2291">
        <v>49.987178802000003</v>
      </c>
      <c r="G2291">
        <v>1279.9815673999999</v>
      </c>
      <c r="H2291">
        <v>1255.7894286999999</v>
      </c>
      <c r="I2291">
        <v>1442.2635498</v>
      </c>
      <c r="J2291">
        <v>1406.0241699000001</v>
      </c>
      <c r="K2291">
        <v>0</v>
      </c>
      <c r="L2291">
        <v>2400</v>
      </c>
      <c r="M2291">
        <v>2400</v>
      </c>
      <c r="N2291">
        <v>0</v>
      </c>
    </row>
    <row r="2292" spans="1:14" x14ac:dyDescent="0.25">
      <c r="A2292">
        <v>1687.041749</v>
      </c>
      <c r="B2292" s="1">
        <f>DATE(2014,12,13) + TIME(1,0,7)</f>
        <v>41986.041747685187</v>
      </c>
      <c r="C2292">
        <v>80</v>
      </c>
      <c r="D2292">
        <v>76.682266235</v>
      </c>
      <c r="E2292">
        <v>50</v>
      </c>
      <c r="F2292">
        <v>49.987197876000003</v>
      </c>
      <c r="G2292">
        <v>1279.8520507999999</v>
      </c>
      <c r="H2292">
        <v>1255.6240233999999</v>
      </c>
      <c r="I2292">
        <v>1442.1643065999999</v>
      </c>
      <c r="J2292">
        <v>1405.9245605000001</v>
      </c>
      <c r="K2292">
        <v>0</v>
      </c>
      <c r="L2292">
        <v>2400</v>
      </c>
      <c r="M2292">
        <v>2400</v>
      </c>
      <c r="N2292">
        <v>0</v>
      </c>
    </row>
    <row r="2293" spans="1:14" x14ac:dyDescent="0.25">
      <c r="A2293">
        <v>1688.9979740000001</v>
      </c>
      <c r="B2293" s="1">
        <f>DATE(2014,12,14) + TIME(23,57,4)</f>
        <v>41987.99796296296</v>
      </c>
      <c r="C2293">
        <v>80</v>
      </c>
      <c r="D2293">
        <v>76.565498352000006</v>
      </c>
      <c r="E2293">
        <v>50</v>
      </c>
      <c r="F2293">
        <v>49.987216949</v>
      </c>
      <c r="G2293">
        <v>1279.7161865</v>
      </c>
      <c r="H2293">
        <v>1255.4493408000001</v>
      </c>
      <c r="I2293">
        <v>1442.0679932</v>
      </c>
      <c r="J2293">
        <v>1405.8280029</v>
      </c>
      <c r="K2293">
        <v>0</v>
      </c>
      <c r="L2293">
        <v>2400</v>
      </c>
      <c r="M2293">
        <v>2400</v>
      </c>
      <c r="N2293">
        <v>0</v>
      </c>
    </row>
    <row r="2294" spans="1:14" x14ac:dyDescent="0.25">
      <c r="A2294">
        <v>1691.0201950000001</v>
      </c>
      <c r="B2294" s="1">
        <f>DATE(2014,12,17) + TIME(0,29,4)</f>
        <v>41990.020185185182</v>
      </c>
      <c r="C2294">
        <v>80</v>
      </c>
      <c r="D2294">
        <v>76.446800232000001</v>
      </c>
      <c r="E2294">
        <v>50</v>
      </c>
      <c r="F2294">
        <v>49.987239838000001</v>
      </c>
      <c r="G2294">
        <v>1279.5714111</v>
      </c>
      <c r="H2294">
        <v>1255.2624512</v>
      </c>
      <c r="I2294">
        <v>1441.9727783000001</v>
      </c>
      <c r="J2294">
        <v>1405.7326660000001</v>
      </c>
      <c r="K2294">
        <v>0</v>
      </c>
      <c r="L2294">
        <v>2400</v>
      </c>
      <c r="M2294">
        <v>2400</v>
      </c>
      <c r="N2294">
        <v>0</v>
      </c>
    </row>
    <row r="2295" spans="1:14" x14ac:dyDescent="0.25">
      <c r="A2295">
        <v>1693.105315</v>
      </c>
      <c r="B2295" s="1">
        <f>DATE(2014,12,19) + TIME(2,31,39)</f>
        <v>41992.105312500003</v>
      </c>
      <c r="C2295">
        <v>80</v>
      </c>
      <c r="D2295">
        <v>76.326087951999995</v>
      </c>
      <c r="E2295">
        <v>50</v>
      </c>
      <c r="F2295">
        <v>49.987258910999998</v>
      </c>
      <c r="G2295">
        <v>1279.4172363</v>
      </c>
      <c r="H2295">
        <v>1255.0625</v>
      </c>
      <c r="I2295">
        <v>1441.8789062000001</v>
      </c>
      <c r="J2295">
        <v>1405.6386719</v>
      </c>
      <c r="K2295">
        <v>0</v>
      </c>
      <c r="L2295">
        <v>2400</v>
      </c>
      <c r="M2295">
        <v>2400</v>
      </c>
      <c r="N2295">
        <v>0</v>
      </c>
    </row>
    <row r="2296" spans="1:14" x14ac:dyDescent="0.25">
      <c r="A2296">
        <v>1695.2788390000001</v>
      </c>
      <c r="B2296" s="1">
        <f>DATE(2014,12,21) + TIME(6,41,31)</f>
        <v>41994.278831018521</v>
      </c>
      <c r="C2296">
        <v>80</v>
      </c>
      <c r="D2296">
        <v>76.203231811999999</v>
      </c>
      <c r="E2296">
        <v>50</v>
      </c>
      <c r="F2296">
        <v>49.987281799000002</v>
      </c>
      <c r="G2296">
        <v>1279.253418</v>
      </c>
      <c r="H2296">
        <v>1254.8488769999999</v>
      </c>
      <c r="I2296">
        <v>1441.786499</v>
      </c>
      <c r="J2296">
        <v>1405.5462646000001</v>
      </c>
      <c r="K2296">
        <v>0</v>
      </c>
      <c r="L2296">
        <v>2400</v>
      </c>
      <c r="M2296">
        <v>2400</v>
      </c>
      <c r="N2296">
        <v>0</v>
      </c>
    </row>
    <row r="2297" spans="1:14" x14ac:dyDescent="0.25">
      <c r="A2297">
        <v>1697.483201</v>
      </c>
      <c r="B2297" s="1">
        <f>DATE(2014,12,23) + TIME(11,35,48)</f>
        <v>41996.483194444445</v>
      </c>
      <c r="C2297">
        <v>80</v>
      </c>
      <c r="D2297">
        <v>76.077751160000005</v>
      </c>
      <c r="E2297">
        <v>50</v>
      </c>
      <c r="F2297">
        <v>49.987304688000002</v>
      </c>
      <c r="G2297">
        <v>1279.0773925999999</v>
      </c>
      <c r="H2297">
        <v>1254.6185303</v>
      </c>
      <c r="I2297">
        <v>1441.6943358999999</v>
      </c>
      <c r="J2297">
        <v>1405.4542236</v>
      </c>
      <c r="K2297">
        <v>0</v>
      </c>
      <c r="L2297">
        <v>2400</v>
      </c>
      <c r="M2297">
        <v>2400</v>
      </c>
      <c r="N2297">
        <v>0</v>
      </c>
    </row>
    <row r="2298" spans="1:14" x14ac:dyDescent="0.25">
      <c r="A2298">
        <v>1699.7517210000001</v>
      </c>
      <c r="B2298" s="1">
        <f>DATE(2014,12,25) + TIME(18,2,28)</f>
        <v>41998.751712962963</v>
      </c>
      <c r="C2298">
        <v>80</v>
      </c>
      <c r="D2298">
        <v>75.951385497999993</v>
      </c>
      <c r="E2298">
        <v>50</v>
      </c>
      <c r="F2298">
        <v>49.987327575999998</v>
      </c>
      <c r="G2298">
        <v>1278.8930664</v>
      </c>
      <c r="H2298">
        <v>1254.3758545000001</v>
      </c>
      <c r="I2298">
        <v>1441.6049805</v>
      </c>
      <c r="J2298">
        <v>1405.3649902</v>
      </c>
      <c r="K2298">
        <v>0</v>
      </c>
      <c r="L2298">
        <v>2400</v>
      </c>
      <c r="M2298">
        <v>2400</v>
      </c>
      <c r="N2298">
        <v>0</v>
      </c>
    </row>
    <row r="2299" spans="1:14" x14ac:dyDescent="0.25">
      <c r="A2299">
        <v>1702.098966</v>
      </c>
      <c r="B2299" s="1">
        <f>DATE(2014,12,28) + TIME(2,22,30)</f>
        <v>42001.098958333336</v>
      </c>
      <c r="C2299">
        <v>80</v>
      </c>
      <c r="D2299">
        <v>75.822929381999998</v>
      </c>
      <c r="E2299">
        <v>50</v>
      </c>
      <c r="F2299">
        <v>49.987350464000002</v>
      </c>
      <c r="G2299">
        <v>1278.6973877</v>
      </c>
      <c r="H2299">
        <v>1254.1170654</v>
      </c>
      <c r="I2299">
        <v>1441.5169678</v>
      </c>
      <c r="J2299">
        <v>1405.2772216999999</v>
      </c>
      <c r="K2299">
        <v>0</v>
      </c>
      <c r="L2299">
        <v>2400</v>
      </c>
      <c r="M2299">
        <v>2400</v>
      </c>
      <c r="N2299">
        <v>0</v>
      </c>
    </row>
    <row r="2300" spans="1:14" x14ac:dyDescent="0.25">
      <c r="A2300">
        <v>1704.518251</v>
      </c>
      <c r="B2300" s="1">
        <f>DATE(2014,12,30) + TIME(12,26,16)</f>
        <v>42003.518240740741</v>
      </c>
      <c r="C2300">
        <v>80</v>
      </c>
      <c r="D2300">
        <v>75.691528320000003</v>
      </c>
      <c r="E2300">
        <v>50</v>
      </c>
      <c r="F2300">
        <v>49.987373351999999</v>
      </c>
      <c r="G2300">
        <v>1278.4884033000001</v>
      </c>
      <c r="H2300">
        <v>1253.8395995999999</v>
      </c>
      <c r="I2300">
        <v>1441.4296875</v>
      </c>
      <c r="J2300">
        <v>1405.1903076000001</v>
      </c>
      <c r="K2300">
        <v>0</v>
      </c>
      <c r="L2300">
        <v>2400</v>
      </c>
      <c r="M2300">
        <v>2400</v>
      </c>
      <c r="N2300">
        <v>0</v>
      </c>
    </row>
    <row r="2301" spans="1:14" x14ac:dyDescent="0.25">
      <c r="A2301">
        <v>1706</v>
      </c>
      <c r="B2301" s="1">
        <f>DATE(2015,1,1) + TIME(0,0,0)</f>
        <v>42005</v>
      </c>
      <c r="C2301">
        <v>80</v>
      </c>
      <c r="D2301">
        <v>75.569648743000002</v>
      </c>
      <c r="E2301">
        <v>50</v>
      </c>
      <c r="F2301">
        <v>49.987388611</v>
      </c>
      <c r="G2301">
        <v>1278.2677002</v>
      </c>
      <c r="H2301">
        <v>1253.5493164</v>
      </c>
      <c r="I2301">
        <v>1441.3433838000001</v>
      </c>
      <c r="J2301">
        <v>1405.1043701000001</v>
      </c>
      <c r="K2301">
        <v>0</v>
      </c>
      <c r="L2301">
        <v>2400</v>
      </c>
      <c r="M2301">
        <v>2400</v>
      </c>
      <c r="N2301">
        <v>0</v>
      </c>
    </row>
    <row r="2302" spans="1:14" x14ac:dyDescent="0.25">
      <c r="A2302">
        <v>1708.5169310000001</v>
      </c>
      <c r="B2302" s="1">
        <f>DATE(2015,1,3) + TIME(12,24,22)</f>
        <v>42007.516921296294</v>
      </c>
      <c r="C2302">
        <v>80</v>
      </c>
      <c r="D2302">
        <v>75.468879700000002</v>
      </c>
      <c r="E2302">
        <v>50</v>
      </c>
      <c r="F2302">
        <v>49.987411498999997</v>
      </c>
      <c r="G2302">
        <v>1278.1230469</v>
      </c>
      <c r="H2302">
        <v>1253.3479004000001</v>
      </c>
      <c r="I2302">
        <v>1441.2926024999999</v>
      </c>
      <c r="J2302">
        <v>1405.0539550999999</v>
      </c>
      <c r="K2302">
        <v>0</v>
      </c>
      <c r="L2302">
        <v>2400</v>
      </c>
      <c r="M2302">
        <v>2400</v>
      </c>
      <c r="N2302">
        <v>0</v>
      </c>
    </row>
    <row r="2303" spans="1:14" x14ac:dyDescent="0.25">
      <c r="A2303">
        <v>1711.102709</v>
      </c>
      <c r="B2303" s="1">
        <f>DATE(2015,1,6) + TIME(2,27,54)</f>
        <v>42010.102708333332</v>
      </c>
      <c r="C2303">
        <v>80</v>
      </c>
      <c r="D2303">
        <v>75.335273743000002</v>
      </c>
      <c r="E2303">
        <v>50</v>
      </c>
      <c r="F2303">
        <v>49.987438202</v>
      </c>
      <c r="G2303">
        <v>1277.8820800999999</v>
      </c>
      <c r="H2303">
        <v>1253.0262451000001</v>
      </c>
      <c r="I2303">
        <v>1441.2088623</v>
      </c>
      <c r="J2303">
        <v>1404.9705810999999</v>
      </c>
      <c r="K2303">
        <v>0</v>
      </c>
      <c r="L2303">
        <v>2400</v>
      </c>
      <c r="M2303">
        <v>2400</v>
      </c>
      <c r="N2303">
        <v>0</v>
      </c>
    </row>
    <row r="2304" spans="1:14" x14ac:dyDescent="0.25">
      <c r="A2304">
        <v>1713.77043</v>
      </c>
      <c r="B2304" s="1">
        <f>DATE(2015,1,8) + TIME(18,29,25)</f>
        <v>42012.770428240743</v>
      </c>
      <c r="C2304">
        <v>80</v>
      </c>
      <c r="D2304">
        <v>75.193313599000007</v>
      </c>
      <c r="E2304">
        <v>50</v>
      </c>
      <c r="F2304">
        <v>49.987461089999996</v>
      </c>
      <c r="G2304">
        <v>1277.6241454999999</v>
      </c>
      <c r="H2304">
        <v>1252.6779785000001</v>
      </c>
      <c r="I2304">
        <v>1441.1260986</v>
      </c>
      <c r="J2304">
        <v>1404.8884277</v>
      </c>
      <c r="K2304">
        <v>0</v>
      </c>
      <c r="L2304">
        <v>2400</v>
      </c>
      <c r="M2304">
        <v>2400</v>
      </c>
      <c r="N2304">
        <v>0</v>
      </c>
    </row>
    <row r="2305" spans="1:14" x14ac:dyDescent="0.25">
      <c r="A2305">
        <v>1716.5086550000001</v>
      </c>
      <c r="B2305" s="1">
        <f>DATE(2015,1,11) + TIME(12,12,27)</f>
        <v>42015.508645833332</v>
      </c>
      <c r="C2305">
        <v>80</v>
      </c>
      <c r="D2305">
        <v>75.046066284000005</v>
      </c>
      <c r="E2305">
        <v>50</v>
      </c>
      <c r="F2305">
        <v>49.987487793</v>
      </c>
      <c r="G2305">
        <v>1277.3493652</v>
      </c>
      <c r="H2305">
        <v>1252.3050536999999</v>
      </c>
      <c r="I2305">
        <v>1441.0440673999999</v>
      </c>
      <c r="J2305">
        <v>1404.8070068</v>
      </c>
      <c r="K2305">
        <v>0</v>
      </c>
      <c r="L2305">
        <v>2400</v>
      </c>
      <c r="M2305">
        <v>2400</v>
      </c>
      <c r="N2305">
        <v>0</v>
      </c>
    </row>
    <row r="2306" spans="1:14" x14ac:dyDescent="0.25">
      <c r="A2306">
        <v>1719.3622029999999</v>
      </c>
      <c r="B2306" s="1">
        <f>DATE(2015,1,14) + TIME(8,41,34)</f>
        <v>42018.362199074072</v>
      </c>
      <c r="C2306">
        <v>80</v>
      </c>
      <c r="D2306">
        <v>74.893455505000006</v>
      </c>
      <c r="E2306">
        <v>50</v>
      </c>
      <c r="F2306">
        <v>49.987514496000003</v>
      </c>
      <c r="G2306">
        <v>1277.0579834</v>
      </c>
      <c r="H2306">
        <v>1251.9074707</v>
      </c>
      <c r="I2306">
        <v>1440.9631348</v>
      </c>
      <c r="J2306">
        <v>1404.7268065999999</v>
      </c>
      <c r="K2306">
        <v>0</v>
      </c>
      <c r="L2306">
        <v>2400</v>
      </c>
      <c r="M2306">
        <v>2400</v>
      </c>
      <c r="N2306">
        <v>0</v>
      </c>
    </row>
    <row r="2307" spans="1:14" x14ac:dyDescent="0.25">
      <c r="A2307">
        <v>1722.2433530000001</v>
      </c>
      <c r="B2307" s="1">
        <f>DATE(2015,1,17) + TIME(5,50,25)</f>
        <v>42021.243344907409</v>
      </c>
      <c r="C2307">
        <v>80</v>
      </c>
      <c r="D2307">
        <v>74.733711243000002</v>
      </c>
      <c r="E2307">
        <v>50</v>
      </c>
      <c r="F2307">
        <v>49.987541198999999</v>
      </c>
      <c r="G2307">
        <v>1276.7449951000001</v>
      </c>
      <c r="H2307">
        <v>1251.4787598</v>
      </c>
      <c r="I2307">
        <v>1440.8820800999999</v>
      </c>
      <c r="J2307">
        <v>1404.6464844</v>
      </c>
      <c r="K2307">
        <v>0</v>
      </c>
      <c r="L2307">
        <v>2400</v>
      </c>
      <c r="M2307">
        <v>2400</v>
      </c>
      <c r="N2307">
        <v>0</v>
      </c>
    </row>
    <row r="2308" spans="1:14" x14ac:dyDescent="0.25">
      <c r="A2308">
        <v>1725.183859</v>
      </c>
      <c r="B2308" s="1">
        <f>DATE(2015,1,20) + TIME(4,24,45)</f>
        <v>42024.183854166666</v>
      </c>
      <c r="C2308">
        <v>80</v>
      </c>
      <c r="D2308">
        <v>74.568565368999998</v>
      </c>
      <c r="E2308">
        <v>50</v>
      </c>
      <c r="F2308">
        <v>49.987567902000002</v>
      </c>
      <c r="G2308">
        <v>1276.4182129000001</v>
      </c>
      <c r="H2308">
        <v>1251.0286865</v>
      </c>
      <c r="I2308">
        <v>1440.8033447</v>
      </c>
      <c r="J2308">
        <v>1404.5684814000001</v>
      </c>
      <c r="K2308">
        <v>0</v>
      </c>
      <c r="L2308">
        <v>2400</v>
      </c>
      <c r="M2308">
        <v>2400</v>
      </c>
      <c r="N2308">
        <v>0</v>
      </c>
    </row>
    <row r="2309" spans="1:14" x14ac:dyDescent="0.25">
      <c r="A2309">
        <v>1728.2087409999999</v>
      </c>
      <c r="B2309" s="1">
        <f>DATE(2015,1,23) + TIME(5,0,35)</f>
        <v>42027.208738425928</v>
      </c>
      <c r="C2309">
        <v>80</v>
      </c>
      <c r="D2309">
        <v>74.397087096999996</v>
      </c>
      <c r="E2309">
        <v>50</v>
      </c>
      <c r="F2309">
        <v>49.987594604000002</v>
      </c>
      <c r="G2309">
        <v>1276.0744629000001</v>
      </c>
      <c r="H2309">
        <v>1250.5532227000001</v>
      </c>
      <c r="I2309">
        <v>1440.7259521000001</v>
      </c>
      <c r="J2309">
        <v>1404.4919434000001</v>
      </c>
      <c r="K2309">
        <v>0</v>
      </c>
      <c r="L2309">
        <v>2400</v>
      </c>
      <c r="M2309">
        <v>2400</v>
      </c>
      <c r="N2309">
        <v>0</v>
      </c>
    </row>
    <row r="2310" spans="1:14" x14ac:dyDescent="0.25">
      <c r="A2310">
        <v>1731.3219409999999</v>
      </c>
      <c r="B2310" s="1">
        <f>DATE(2015,1,26) + TIME(7,43,35)</f>
        <v>42030.321932870371</v>
      </c>
      <c r="C2310">
        <v>80</v>
      </c>
      <c r="D2310">
        <v>74.215675353999998</v>
      </c>
      <c r="E2310">
        <v>50</v>
      </c>
      <c r="F2310">
        <v>49.987625121999997</v>
      </c>
      <c r="G2310">
        <v>1275.7098389</v>
      </c>
      <c r="H2310">
        <v>1250.0465088000001</v>
      </c>
      <c r="I2310">
        <v>1440.6491699000001</v>
      </c>
      <c r="J2310">
        <v>1404.4160156</v>
      </c>
      <c r="K2310">
        <v>0</v>
      </c>
      <c r="L2310">
        <v>2400</v>
      </c>
      <c r="M2310">
        <v>2400</v>
      </c>
      <c r="N2310">
        <v>0</v>
      </c>
    </row>
    <row r="2311" spans="1:14" x14ac:dyDescent="0.25">
      <c r="A2311">
        <v>1734.492741</v>
      </c>
      <c r="B2311" s="1">
        <f>DATE(2015,1,29) + TIME(11,49,32)</f>
        <v>42033.492731481485</v>
      </c>
      <c r="C2311">
        <v>80</v>
      </c>
      <c r="D2311">
        <v>74.024703978999995</v>
      </c>
      <c r="E2311">
        <v>50</v>
      </c>
      <c r="F2311">
        <v>49.987651825</v>
      </c>
      <c r="G2311">
        <v>1275.3237305</v>
      </c>
      <c r="H2311">
        <v>1249.5079346</v>
      </c>
      <c r="I2311">
        <v>1440.5729980000001</v>
      </c>
      <c r="J2311">
        <v>1404.3406981999999</v>
      </c>
      <c r="K2311">
        <v>0</v>
      </c>
      <c r="L2311">
        <v>2400</v>
      </c>
      <c r="M2311">
        <v>2400</v>
      </c>
      <c r="N2311">
        <v>0</v>
      </c>
    </row>
    <row r="2312" spans="1:14" x14ac:dyDescent="0.25">
      <c r="A2312">
        <v>1737</v>
      </c>
      <c r="B2312" s="1">
        <f>DATE(2015,2,1) + TIME(0,0,0)</f>
        <v>42036</v>
      </c>
      <c r="C2312">
        <v>80</v>
      </c>
      <c r="D2312">
        <v>73.828460692999997</v>
      </c>
      <c r="E2312">
        <v>50</v>
      </c>
      <c r="F2312">
        <v>49.987674712999997</v>
      </c>
      <c r="G2312">
        <v>1274.9195557</v>
      </c>
      <c r="H2312">
        <v>1248.9442139</v>
      </c>
      <c r="I2312">
        <v>1440.4980469</v>
      </c>
      <c r="J2312">
        <v>1404.2667236</v>
      </c>
      <c r="K2312">
        <v>0</v>
      </c>
      <c r="L2312">
        <v>2400</v>
      </c>
      <c r="M2312">
        <v>2400</v>
      </c>
      <c r="N2312">
        <v>0</v>
      </c>
    </row>
    <row r="2313" spans="1:14" x14ac:dyDescent="0.25">
      <c r="A2313">
        <v>1740.2047950000001</v>
      </c>
      <c r="B2313" s="1">
        <f>DATE(2015,2,4) + TIME(4,54,54)</f>
        <v>42039.204791666663</v>
      </c>
      <c r="C2313">
        <v>80</v>
      </c>
      <c r="D2313">
        <v>73.652618407999995</v>
      </c>
      <c r="E2313">
        <v>50</v>
      </c>
      <c r="F2313">
        <v>49.987701416</v>
      </c>
      <c r="G2313">
        <v>1274.5852050999999</v>
      </c>
      <c r="H2313">
        <v>1248.4680175999999</v>
      </c>
      <c r="I2313">
        <v>1440.4407959</v>
      </c>
      <c r="J2313">
        <v>1404.2102050999999</v>
      </c>
      <c r="K2313">
        <v>0</v>
      </c>
      <c r="L2313">
        <v>2400</v>
      </c>
      <c r="M2313">
        <v>2400</v>
      </c>
      <c r="N2313">
        <v>0</v>
      </c>
    </row>
    <row r="2314" spans="1:14" x14ac:dyDescent="0.25">
      <c r="A2314">
        <v>1743.474635</v>
      </c>
      <c r="B2314" s="1">
        <f>DATE(2015,2,7) + TIME(11,23,28)</f>
        <v>42042.474629629629</v>
      </c>
      <c r="C2314">
        <v>80</v>
      </c>
      <c r="D2314">
        <v>73.435882567999997</v>
      </c>
      <c r="E2314">
        <v>50</v>
      </c>
      <c r="F2314">
        <v>49.987731934000003</v>
      </c>
      <c r="G2314">
        <v>1274.1569824000001</v>
      </c>
      <c r="H2314">
        <v>1247.8653564000001</v>
      </c>
      <c r="I2314">
        <v>1440.3696289</v>
      </c>
      <c r="J2314">
        <v>1404.1400146000001</v>
      </c>
      <c r="K2314">
        <v>0</v>
      </c>
      <c r="L2314">
        <v>2400</v>
      </c>
      <c r="M2314">
        <v>2400</v>
      </c>
      <c r="N2314">
        <v>0</v>
      </c>
    </row>
    <row r="2315" spans="1:14" x14ac:dyDescent="0.25">
      <c r="A2315">
        <v>1746.7791999999999</v>
      </c>
      <c r="B2315" s="1">
        <f>DATE(2015,2,10) + TIME(18,42,2)</f>
        <v>42045.779189814813</v>
      </c>
      <c r="C2315">
        <v>80</v>
      </c>
      <c r="D2315">
        <v>73.205085753999995</v>
      </c>
      <c r="E2315">
        <v>50</v>
      </c>
      <c r="F2315">
        <v>49.987758636000002</v>
      </c>
      <c r="G2315">
        <v>1273.7066649999999</v>
      </c>
      <c r="H2315">
        <v>1247.2274170000001</v>
      </c>
      <c r="I2315">
        <v>1440.2991943</v>
      </c>
      <c r="J2315">
        <v>1404.0706786999999</v>
      </c>
      <c r="K2315">
        <v>0</v>
      </c>
      <c r="L2315">
        <v>2400</v>
      </c>
      <c r="M2315">
        <v>2400</v>
      </c>
      <c r="N2315">
        <v>0</v>
      </c>
    </row>
    <row r="2316" spans="1:14" x14ac:dyDescent="0.25">
      <c r="A2316">
        <v>1748.45235</v>
      </c>
      <c r="B2316" s="1">
        <f>DATE(2015,2,12) + TIME(10,51,23)</f>
        <v>42047.452349537038</v>
      </c>
      <c r="C2316">
        <v>80</v>
      </c>
      <c r="D2316">
        <v>72.980201721</v>
      </c>
      <c r="E2316">
        <v>50</v>
      </c>
      <c r="F2316">
        <v>49.987770081000001</v>
      </c>
      <c r="G2316">
        <v>1273.2392577999999</v>
      </c>
      <c r="H2316">
        <v>1246.5714111</v>
      </c>
      <c r="I2316">
        <v>1440.2301024999999</v>
      </c>
      <c r="J2316">
        <v>1404.0026855000001</v>
      </c>
      <c r="K2316">
        <v>0</v>
      </c>
      <c r="L2316">
        <v>2400</v>
      </c>
      <c r="M2316">
        <v>2400</v>
      </c>
      <c r="N2316">
        <v>0</v>
      </c>
    </row>
    <row r="2317" spans="1:14" x14ac:dyDescent="0.25">
      <c r="A2317">
        <v>1749.4924430000001</v>
      </c>
      <c r="B2317" s="1">
        <f>DATE(2015,2,13) + TIME(11,49,7)</f>
        <v>42048.492442129631</v>
      </c>
      <c r="C2317">
        <v>80</v>
      </c>
      <c r="D2317">
        <v>72.848312378000003</v>
      </c>
      <c r="E2317">
        <v>50</v>
      </c>
      <c r="F2317">
        <v>49.987781525000003</v>
      </c>
      <c r="G2317">
        <v>1272.9948730000001</v>
      </c>
      <c r="H2317">
        <v>1246.2204589999999</v>
      </c>
      <c r="I2317">
        <v>1440.1959228999999</v>
      </c>
      <c r="J2317">
        <v>1403.9688721</v>
      </c>
      <c r="K2317">
        <v>0</v>
      </c>
      <c r="L2317">
        <v>2400</v>
      </c>
      <c r="M2317">
        <v>2400</v>
      </c>
      <c r="N2317">
        <v>0</v>
      </c>
    </row>
    <row r="2318" spans="1:14" x14ac:dyDescent="0.25">
      <c r="A2318">
        <v>1750.5325350000001</v>
      </c>
      <c r="B2318" s="1">
        <f>DATE(2015,2,14) + TIME(12,46,51)</f>
        <v>42049.532534722224</v>
      </c>
      <c r="C2318">
        <v>80</v>
      </c>
      <c r="D2318">
        <v>72.749740600999999</v>
      </c>
      <c r="E2318">
        <v>50</v>
      </c>
      <c r="F2318">
        <v>49.987789153999998</v>
      </c>
      <c r="G2318">
        <v>1272.8353271000001</v>
      </c>
      <c r="H2318">
        <v>1245.9838867000001</v>
      </c>
      <c r="I2318">
        <v>1440.1749268000001</v>
      </c>
      <c r="J2318">
        <v>1403.9482422000001</v>
      </c>
      <c r="K2318">
        <v>0</v>
      </c>
      <c r="L2318">
        <v>2400</v>
      </c>
      <c r="M2318">
        <v>2400</v>
      </c>
      <c r="N2318">
        <v>0</v>
      </c>
    </row>
    <row r="2319" spans="1:14" x14ac:dyDescent="0.25">
      <c r="A2319">
        <v>1751.5726279999999</v>
      </c>
      <c r="B2319" s="1">
        <f>DATE(2015,2,15) + TIME(13,44,35)</f>
        <v>42050.572627314818</v>
      </c>
      <c r="C2319">
        <v>80</v>
      </c>
      <c r="D2319">
        <v>72.660438537999994</v>
      </c>
      <c r="E2319">
        <v>50</v>
      </c>
      <c r="F2319">
        <v>49.987796783</v>
      </c>
      <c r="G2319">
        <v>1272.6798096</v>
      </c>
      <c r="H2319">
        <v>1245.7584228999999</v>
      </c>
      <c r="I2319">
        <v>1440.1542969</v>
      </c>
      <c r="J2319">
        <v>1403.9279785000001</v>
      </c>
      <c r="K2319">
        <v>0</v>
      </c>
      <c r="L2319">
        <v>2400</v>
      </c>
      <c r="M2319">
        <v>2400</v>
      </c>
      <c r="N2319">
        <v>0</v>
      </c>
    </row>
    <row r="2320" spans="1:14" x14ac:dyDescent="0.25">
      <c r="A2320">
        <v>1752.6127200000001</v>
      </c>
      <c r="B2320" s="1">
        <f>DATE(2015,2,16) + TIME(14,42,19)</f>
        <v>42051.612719907411</v>
      </c>
      <c r="C2320">
        <v>80</v>
      </c>
      <c r="D2320">
        <v>72.572929381999998</v>
      </c>
      <c r="E2320">
        <v>50</v>
      </c>
      <c r="F2320">
        <v>49.987808227999999</v>
      </c>
      <c r="G2320">
        <v>1272.5247803</v>
      </c>
      <c r="H2320">
        <v>1245.5349120999999</v>
      </c>
      <c r="I2320">
        <v>1440.1337891000001</v>
      </c>
      <c r="J2320">
        <v>1403.9078368999999</v>
      </c>
      <c r="K2320">
        <v>0</v>
      </c>
      <c r="L2320">
        <v>2400</v>
      </c>
      <c r="M2320">
        <v>2400</v>
      </c>
      <c r="N2320">
        <v>0</v>
      </c>
    </row>
    <row r="2321" spans="1:14" x14ac:dyDescent="0.25">
      <c r="A2321">
        <v>1753.6528129999999</v>
      </c>
      <c r="B2321" s="1">
        <f>DATE(2015,2,17) + TIME(15,40,3)</f>
        <v>42052.652812499997</v>
      </c>
      <c r="C2321">
        <v>80</v>
      </c>
      <c r="D2321">
        <v>72.484992981000005</v>
      </c>
      <c r="E2321">
        <v>50</v>
      </c>
      <c r="F2321">
        <v>49.987815857000001</v>
      </c>
      <c r="G2321">
        <v>1272.3690185999999</v>
      </c>
      <c r="H2321">
        <v>1245.3107910000001</v>
      </c>
      <c r="I2321">
        <v>1440.1135254000001</v>
      </c>
      <c r="J2321">
        <v>1403.8878173999999</v>
      </c>
      <c r="K2321">
        <v>0</v>
      </c>
      <c r="L2321">
        <v>2400</v>
      </c>
      <c r="M2321">
        <v>2400</v>
      </c>
      <c r="N2321">
        <v>0</v>
      </c>
    </row>
    <row r="2322" spans="1:14" x14ac:dyDescent="0.25">
      <c r="A2322">
        <v>1754.6929050000001</v>
      </c>
      <c r="B2322" s="1">
        <f>DATE(2015,2,18) + TIME(16,37,47)</f>
        <v>42053.69290509259</v>
      </c>
      <c r="C2322">
        <v>80</v>
      </c>
      <c r="D2322">
        <v>72.395950317</v>
      </c>
      <c r="E2322">
        <v>50</v>
      </c>
      <c r="F2322">
        <v>49.987823486000003</v>
      </c>
      <c r="G2322">
        <v>1272.2124022999999</v>
      </c>
      <c r="H2322">
        <v>1245.0853271000001</v>
      </c>
      <c r="I2322">
        <v>1440.0933838000001</v>
      </c>
      <c r="J2322">
        <v>1403.8680420000001</v>
      </c>
      <c r="K2322">
        <v>0</v>
      </c>
      <c r="L2322">
        <v>2400</v>
      </c>
      <c r="M2322">
        <v>2400</v>
      </c>
      <c r="N2322">
        <v>0</v>
      </c>
    </row>
    <row r="2323" spans="1:14" x14ac:dyDescent="0.25">
      <c r="A2323">
        <v>1755.732998</v>
      </c>
      <c r="B2323" s="1">
        <f>DATE(2015,2,19) + TIME(17,35,30)</f>
        <v>42054.732986111114</v>
      </c>
      <c r="C2323">
        <v>80</v>
      </c>
      <c r="D2323">
        <v>72.305610657000003</v>
      </c>
      <c r="E2323">
        <v>50</v>
      </c>
      <c r="F2323">
        <v>49.987831116000002</v>
      </c>
      <c r="G2323">
        <v>1272.0548096</v>
      </c>
      <c r="H2323">
        <v>1244.8581543</v>
      </c>
      <c r="I2323">
        <v>1440.0734863</v>
      </c>
      <c r="J2323">
        <v>1403.8483887</v>
      </c>
      <c r="K2323">
        <v>0</v>
      </c>
      <c r="L2323">
        <v>2400</v>
      </c>
      <c r="M2323">
        <v>2400</v>
      </c>
      <c r="N2323">
        <v>0</v>
      </c>
    </row>
    <row r="2324" spans="1:14" x14ac:dyDescent="0.25">
      <c r="A2324">
        <v>1756.7730899999999</v>
      </c>
      <c r="B2324" s="1">
        <f>DATE(2015,2,20) + TIME(18,33,14)</f>
        <v>42055.773078703707</v>
      </c>
      <c r="C2324">
        <v>80</v>
      </c>
      <c r="D2324">
        <v>72.213905334000003</v>
      </c>
      <c r="E2324">
        <v>50</v>
      </c>
      <c r="F2324">
        <v>49.987842559999997</v>
      </c>
      <c r="G2324">
        <v>1271.8961182</v>
      </c>
      <c r="H2324">
        <v>1244.6292725000001</v>
      </c>
      <c r="I2324">
        <v>1440.0535889</v>
      </c>
      <c r="J2324">
        <v>1403.8288574000001</v>
      </c>
      <c r="K2324">
        <v>0</v>
      </c>
      <c r="L2324">
        <v>2400</v>
      </c>
      <c r="M2324">
        <v>2400</v>
      </c>
      <c r="N2324">
        <v>0</v>
      </c>
    </row>
    <row r="2325" spans="1:14" x14ac:dyDescent="0.25">
      <c r="A2325">
        <v>1757.8131820000001</v>
      </c>
      <c r="B2325" s="1">
        <f>DATE(2015,2,21) + TIME(19,30,58)</f>
        <v>42056.813171296293</v>
      </c>
      <c r="C2325">
        <v>80</v>
      </c>
      <c r="D2325">
        <v>72.120803832999997</v>
      </c>
      <c r="E2325">
        <v>50</v>
      </c>
      <c r="F2325">
        <v>49.987850189</v>
      </c>
      <c r="G2325">
        <v>1271.7365723</v>
      </c>
      <c r="H2325">
        <v>1244.3988036999999</v>
      </c>
      <c r="I2325">
        <v>1440.0340576000001</v>
      </c>
      <c r="J2325">
        <v>1403.8095702999999</v>
      </c>
      <c r="K2325">
        <v>0</v>
      </c>
      <c r="L2325">
        <v>2400</v>
      </c>
      <c r="M2325">
        <v>2400</v>
      </c>
      <c r="N2325">
        <v>0</v>
      </c>
    </row>
    <row r="2326" spans="1:14" x14ac:dyDescent="0.25">
      <c r="A2326">
        <v>1758.8532749999999</v>
      </c>
      <c r="B2326" s="1">
        <f>DATE(2015,2,22) + TIME(20,28,42)</f>
        <v>42057.853263888886</v>
      </c>
      <c r="C2326">
        <v>80</v>
      </c>
      <c r="D2326">
        <v>72.026290893999999</v>
      </c>
      <c r="E2326">
        <v>50</v>
      </c>
      <c r="F2326">
        <v>49.987857818999998</v>
      </c>
      <c r="G2326">
        <v>1271.5759277</v>
      </c>
      <c r="H2326">
        <v>1244.166626</v>
      </c>
      <c r="I2326">
        <v>1440.0145264</v>
      </c>
      <c r="J2326">
        <v>1403.7904053</v>
      </c>
      <c r="K2326">
        <v>0</v>
      </c>
      <c r="L2326">
        <v>2400</v>
      </c>
      <c r="M2326">
        <v>2400</v>
      </c>
      <c r="N2326">
        <v>0</v>
      </c>
    </row>
    <row r="2327" spans="1:14" x14ac:dyDescent="0.25">
      <c r="A2327">
        <v>1759.8933669999999</v>
      </c>
      <c r="B2327" s="1">
        <f>DATE(2015,2,23) + TIME(21,26,26)</f>
        <v>42058.89335648148</v>
      </c>
      <c r="C2327">
        <v>80</v>
      </c>
      <c r="D2327">
        <v>71.930343628000003</v>
      </c>
      <c r="E2327">
        <v>50</v>
      </c>
      <c r="F2327">
        <v>49.987865448000001</v>
      </c>
      <c r="G2327">
        <v>1271.4144286999999</v>
      </c>
      <c r="H2327">
        <v>1243.9327393000001</v>
      </c>
      <c r="I2327">
        <v>1439.9952393000001</v>
      </c>
      <c r="J2327">
        <v>1403.7714844</v>
      </c>
      <c r="K2327">
        <v>0</v>
      </c>
      <c r="L2327">
        <v>2400</v>
      </c>
      <c r="M2327">
        <v>2400</v>
      </c>
      <c r="N2327">
        <v>0</v>
      </c>
    </row>
    <row r="2328" spans="1:14" x14ac:dyDescent="0.25">
      <c r="A2328">
        <v>1760.93346</v>
      </c>
      <c r="B2328" s="1">
        <f>DATE(2015,2,24) + TIME(22,24,10)</f>
        <v>42059.933449074073</v>
      </c>
      <c r="C2328">
        <v>80</v>
      </c>
      <c r="D2328">
        <v>71.832962035999998</v>
      </c>
      <c r="E2328">
        <v>50</v>
      </c>
      <c r="F2328">
        <v>49.987876892000003</v>
      </c>
      <c r="G2328">
        <v>1271.2518310999999</v>
      </c>
      <c r="H2328">
        <v>1243.6972656</v>
      </c>
      <c r="I2328">
        <v>1439.9760742000001</v>
      </c>
      <c r="J2328">
        <v>1403.7525635</v>
      </c>
      <c r="K2328">
        <v>0</v>
      </c>
      <c r="L2328">
        <v>2400</v>
      </c>
      <c r="M2328">
        <v>2400</v>
      </c>
      <c r="N2328">
        <v>0</v>
      </c>
    </row>
    <row r="2329" spans="1:14" x14ac:dyDescent="0.25">
      <c r="A2329">
        <v>1761.9735519999999</v>
      </c>
      <c r="B2329" s="1">
        <f>DATE(2015,2,25) + TIME(23,21,54)</f>
        <v>42060.973541666666</v>
      </c>
      <c r="C2329">
        <v>80</v>
      </c>
      <c r="D2329">
        <v>71.734138489000003</v>
      </c>
      <c r="E2329">
        <v>50</v>
      </c>
      <c r="F2329">
        <v>49.987884520999998</v>
      </c>
      <c r="G2329">
        <v>1271.0883789</v>
      </c>
      <c r="H2329">
        <v>1243.4600829999999</v>
      </c>
      <c r="I2329">
        <v>1439.9570312000001</v>
      </c>
      <c r="J2329">
        <v>1403.7338867000001</v>
      </c>
      <c r="K2329">
        <v>0</v>
      </c>
      <c r="L2329">
        <v>2400</v>
      </c>
      <c r="M2329">
        <v>2400</v>
      </c>
      <c r="N2329">
        <v>0</v>
      </c>
    </row>
    <row r="2330" spans="1:14" x14ac:dyDescent="0.25">
      <c r="A2330">
        <v>1763.013645</v>
      </c>
      <c r="B2330" s="1">
        <f>DATE(2015,2,27) + TIME(0,19,38)</f>
        <v>42062.01363425926</v>
      </c>
      <c r="C2330">
        <v>80</v>
      </c>
      <c r="D2330">
        <v>71.633850097999996</v>
      </c>
      <c r="E2330">
        <v>50</v>
      </c>
      <c r="F2330">
        <v>49.987892150999997</v>
      </c>
      <c r="G2330">
        <v>1270.9239502</v>
      </c>
      <c r="H2330">
        <v>1243.2213135</v>
      </c>
      <c r="I2330">
        <v>1439.9382324000001</v>
      </c>
      <c r="J2330">
        <v>1403.715332</v>
      </c>
      <c r="K2330">
        <v>0</v>
      </c>
      <c r="L2330">
        <v>2400</v>
      </c>
      <c r="M2330">
        <v>2400</v>
      </c>
      <c r="N2330">
        <v>0</v>
      </c>
    </row>
    <row r="2331" spans="1:14" x14ac:dyDescent="0.25">
      <c r="A2331">
        <v>1765</v>
      </c>
      <c r="B2331" s="1">
        <f>DATE(2015,3,1) + TIME(0,0,0)</f>
        <v>42064</v>
      </c>
      <c r="C2331">
        <v>80</v>
      </c>
      <c r="D2331">
        <v>71.516059874999996</v>
      </c>
      <c r="E2331">
        <v>50</v>
      </c>
      <c r="F2331">
        <v>49.987907409999998</v>
      </c>
      <c r="G2331">
        <v>1270.7613524999999</v>
      </c>
      <c r="H2331">
        <v>1242.9792480000001</v>
      </c>
      <c r="I2331">
        <v>1439.9195557</v>
      </c>
      <c r="J2331">
        <v>1403.6970214999999</v>
      </c>
      <c r="K2331">
        <v>0</v>
      </c>
      <c r="L2331">
        <v>2400</v>
      </c>
      <c r="M2331">
        <v>2400</v>
      </c>
      <c r="N2331">
        <v>0</v>
      </c>
    </row>
    <row r="2332" spans="1:14" x14ac:dyDescent="0.25">
      <c r="A2332">
        <v>1767.080185</v>
      </c>
      <c r="B2332" s="1">
        <f>DATE(2015,3,3) + TIME(1,55,27)</f>
        <v>42066.08017361111</v>
      </c>
      <c r="C2332">
        <v>80</v>
      </c>
      <c r="D2332">
        <v>71.330497742000006</v>
      </c>
      <c r="E2332">
        <v>50</v>
      </c>
      <c r="F2332">
        <v>49.987926483000003</v>
      </c>
      <c r="G2332">
        <v>1270.4414062000001</v>
      </c>
      <c r="H2332">
        <v>1242.5177002</v>
      </c>
      <c r="I2332">
        <v>1439.8842772999999</v>
      </c>
      <c r="J2332">
        <v>1403.6623535000001</v>
      </c>
      <c r="K2332">
        <v>0</v>
      </c>
      <c r="L2332">
        <v>2400</v>
      </c>
      <c r="M2332">
        <v>2400</v>
      </c>
      <c r="N2332">
        <v>0</v>
      </c>
    </row>
    <row r="2333" spans="1:14" x14ac:dyDescent="0.25">
      <c r="A2333">
        <v>1768.823222</v>
      </c>
      <c r="B2333" s="1">
        <f>DATE(2015,3,4) + TIME(19,45,26)</f>
        <v>42067.823217592595</v>
      </c>
      <c r="C2333">
        <v>80</v>
      </c>
      <c r="D2333">
        <v>71.128379821999999</v>
      </c>
      <c r="E2333">
        <v>50</v>
      </c>
      <c r="F2333">
        <v>49.987937926999997</v>
      </c>
      <c r="G2333">
        <v>1270.1076660000001</v>
      </c>
      <c r="H2333">
        <v>1242.0357666</v>
      </c>
      <c r="I2333">
        <v>1439.8477783000001</v>
      </c>
      <c r="J2333">
        <v>1403.6264647999999</v>
      </c>
      <c r="K2333">
        <v>0</v>
      </c>
      <c r="L2333">
        <v>2400</v>
      </c>
      <c r="M2333">
        <v>2400</v>
      </c>
      <c r="N2333">
        <v>0</v>
      </c>
    </row>
    <row r="2334" spans="1:14" x14ac:dyDescent="0.25">
      <c r="A2334">
        <v>1770.5321269999999</v>
      </c>
      <c r="B2334" s="1">
        <f>DATE(2015,3,6) + TIME(12,46,15)</f>
        <v>42069.532118055555</v>
      </c>
      <c r="C2334">
        <v>80</v>
      </c>
      <c r="D2334">
        <v>70.941955566000004</v>
      </c>
      <c r="E2334">
        <v>50</v>
      </c>
      <c r="F2334">
        <v>49.987953185999999</v>
      </c>
      <c r="G2334">
        <v>1269.8227539</v>
      </c>
      <c r="H2334">
        <v>1241.6177978999999</v>
      </c>
      <c r="I2334">
        <v>1439.8175048999999</v>
      </c>
      <c r="J2334">
        <v>1403.5966797000001</v>
      </c>
      <c r="K2334">
        <v>0</v>
      </c>
      <c r="L2334">
        <v>2400</v>
      </c>
      <c r="M2334">
        <v>2400</v>
      </c>
      <c r="N2334">
        <v>0</v>
      </c>
    </row>
    <row r="2335" spans="1:14" x14ac:dyDescent="0.25">
      <c r="A2335">
        <v>1772.2410319999999</v>
      </c>
      <c r="B2335" s="1">
        <f>DATE(2015,3,8) + TIME(5,47,5)</f>
        <v>42071.241030092591</v>
      </c>
      <c r="C2335">
        <v>80</v>
      </c>
      <c r="D2335">
        <v>70.757408142000003</v>
      </c>
      <c r="E2335">
        <v>50</v>
      </c>
      <c r="F2335">
        <v>49.987968445</v>
      </c>
      <c r="G2335">
        <v>1269.5413818</v>
      </c>
      <c r="H2335">
        <v>1241.2055664</v>
      </c>
      <c r="I2335">
        <v>1439.7882079999999</v>
      </c>
      <c r="J2335">
        <v>1403.5679932</v>
      </c>
      <c r="K2335">
        <v>0</v>
      </c>
      <c r="L2335">
        <v>2400</v>
      </c>
      <c r="M2335">
        <v>2400</v>
      </c>
      <c r="N2335">
        <v>0</v>
      </c>
    </row>
    <row r="2336" spans="1:14" x14ac:dyDescent="0.25">
      <c r="A2336">
        <v>1773.949936</v>
      </c>
      <c r="B2336" s="1">
        <f>DATE(2015,3,9) + TIME(22,47,54)</f>
        <v>42072.949930555558</v>
      </c>
      <c r="C2336">
        <v>80</v>
      </c>
      <c r="D2336">
        <v>70.569999695000007</v>
      </c>
      <c r="E2336">
        <v>50</v>
      </c>
      <c r="F2336">
        <v>49.987979889000002</v>
      </c>
      <c r="G2336">
        <v>1269.2581786999999</v>
      </c>
      <c r="H2336">
        <v>1240.7902832</v>
      </c>
      <c r="I2336">
        <v>1439.7592772999999</v>
      </c>
      <c r="J2336">
        <v>1403.5395507999999</v>
      </c>
      <c r="K2336">
        <v>0</v>
      </c>
      <c r="L2336">
        <v>2400</v>
      </c>
      <c r="M2336">
        <v>2400</v>
      </c>
      <c r="N2336">
        <v>0</v>
      </c>
    </row>
    <row r="2337" spans="1:14" x14ac:dyDescent="0.25">
      <c r="A2337">
        <v>1775.6588409999999</v>
      </c>
      <c r="B2337" s="1">
        <f>DATE(2015,3,11) + TIME(15,48,43)</f>
        <v>42074.658831018518</v>
      </c>
      <c r="C2337">
        <v>80</v>
      </c>
      <c r="D2337">
        <v>70.378807068</v>
      </c>
      <c r="E2337">
        <v>50</v>
      </c>
      <c r="F2337">
        <v>49.987995148000003</v>
      </c>
      <c r="G2337">
        <v>1268.9725341999999</v>
      </c>
      <c r="H2337">
        <v>1240.3708495999999</v>
      </c>
      <c r="I2337">
        <v>1439.7305908000001</v>
      </c>
      <c r="J2337">
        <v>1403.5114745999999</v>
      </c>
      <c r="K2337">
        <v>0</v>
      </c>
      <c r="L2337">
        <v>2400</v>
      </c>
      <c r="M2337">
        <v>2400</v>
      </c>
      <c r="N2337">
        <v>0</v>
      </c>
    </row>
    <row r="2338" spans="1:14" x14ac:dyDescent="0.25">
      <c r="A2338">
        <v>1777.3677459999999</v>
      </c>
      <c r="B2338" s="1">
        <f>DATE(2015,3,13) + TIME(8,49,33)</f>
        <v>42076.367743055554</v>
      </c>
      <c r="C2338">
        <v>80</v>
      </c>
      <c r="D2338">
        <v>70.183700561999999</v>
      </c>
      <c r="E2338">
        <v>50</v>
      </c>
      <c r="F2338">
        <v>49.988006591999998</v>
      </c>
      <c r="G2338">
        <v>1268.6846923999999</v>
      </c>
      <c r="H2338">
        <v>1239.9476318</v>
      </c>
      <c r="I2338">
        <v>1439.7022704999999</v>
      </c>
      <c r="J2338">
        <v>1403.4836425999999</v>
      </c>
      <c r="K2338">
        <v>0</v>
      </c>
      <c r="L2338">
        <v>2400</v>
      </c>
      <c r="M2338">
        <v>2400</v>
      </c>
      <c r="N2338">
        <v>0</v>
      </c>
    </row>
    <row r="2339" spans="1:14" x14ac:dyDescent="0.25">
      <c r="A2339">
        <v>1779.07665</v>
      </c>
      <c r="B2339" s="1">
        <f>DATE(2015,3,15) + TIME(1,50,22)</f>
        <v>42078.076643518521</v>
      </c>
      <c r="C2339">
        <v>80</v>
      </c>
      <c r="D2339">
        <v>69.984771729000002</v>
      </c>
      <c r="E2339">
        <v>50</v>
      </c>
      <c r="F2339">
        <v>49.988021850999999</v>
      </c>
      <c r="G2339">
        <v>1268.3947754000001</v>
      </c>
      <c r="H2339">
        <v>1239.5206298999999</v>
      </c>
      <c r="I2339">
        <v>1439.6743164</v>
      </c>
      <c r="J2339">
        <v>1403.4561768000001</v>
      </c>
      <c r="K2339">
        <v>0</v>
      </c>
      <c r="L2339">
        <v>2400</v>
      </c>
      <c r="M2339">
        <v>2400</v>
      </c>
      <c r="N2339">
        <v>0</v>
      </c>
    </row>
    <row r="2340" spans="1:14" x14ac:dyDescent="0.25">
      <c r="A2340">
        <v>1780.7855549999999</v>
      </c>
      <c r="B2340" s="1">
        <f>DATE(2015,3,16) + TIME(18,51,11)</f>
        <v>42079.785543981481</v>
      </c>
      <c r="C2340">
        <v>80</v>
      </c>
      <c r="D2340">
        <v>69.781753539999997</v>
      </c>
      <c r="E2340">
        <v>50</v>
      </c>
      <c r="F2340">
        <v>49.988033295000001</v>
      </c>
      <c r="G2340">
        <v>1268.1029053</v>
      </c>
      <c r="H2340">
        <v>1239.0900879000001</v>
      </c>
      <c r="I2340">
        <v>1439.6466064000001</v>
      </c>
      <c r="J2340">
        <v>1403.4289550999999</v>
      </c>
      <c r="K2340">
        <v>0</v>
      </c>
      <c r="L2340">
        <v>2400</v>
      </c>
      <c r="M2340">
        <v>2400</v>
      </c>
      <c r="N2340">
        <v>0</v>
      </c>
    </row>
    <row r="2341" spans="1:14" x14ac:dyDescent="0.25">
      <c r="A2341">
        <v>1782.4944599999999</v>
      </c>
      <c r="B2341" s="1">
        <f>DATE(2015,3,18) + TIME(11,52,1)</f>
        <v>42081.494456018518</v>
      </c>
      <c r="C2341">
        <v>80</v>
      </c>
      <c r="D2341">
        <v>69.574630737000007</v>
      </c>
      <c r="E2341">
        <v>50</v>
      </c>
      <c r="F2341">
        <v>49.988044739000003</v>
      </c>
      <c r="G2341">
        <v>1267.8092041</v>
      </c>
      <c r="H2341">
        <v>1238.6560059000001</v>
      </c>
      <c r="I2341">
        <v>1439.6191406</v>
      </c>
      <c r="J2341">
        <v>1403.4019774999999</v>
      </c>
      <c r="K2341">
        <v>0</v>
      </c>
      <c r="L2341">
        <v>2400</v>
      </c>
      <c r="M2341">
        <v>2400</v>
      </c>
      <c r="N2341">
        <v>0</v>
      </c>
    </row>
    <row r="2342" spans="1:14" x14ac:dyDescent="0.25">
      <c r="A2342">
        <v>1784.203364</v>
      </c>
      <c r="B2342" s="1">
        <f>DATE(2015,3,20) + TIME(4,52,50)</f>
        <v>42083.203356481485</v>
      </c>
      <c r="C2342">
        <v>80</v>
      </c>
      <c r="D2342">
        <v>69.363548279</v>
      </c>
      <c r="E2342">
        <v>50</v>
      </c>
      <c r="F2342">
        <v>49.988059997999997</v>
      </c>
      <c r="G2342">
        <v>1267.5135498</v>
      </c>
      <c r="H2342">
        <v>1238.2185059000001</v>
      </c>
      <c r="I2342">
        <v>1439.5920410000001</v>
      </c>
      <c r="J2342">
        <v>1403.3753661999999</v>
      </c>
      <c r="K2342">
        <v>0</v>
      </c>
      <c r="L2342">
        <v>2400</v>
      </c>
      <c r="M2342">
        <v>2400</v>
      </c>
      <c r="N2342">
        <v>0</v>
      </c>
    </row>
    <row r="2343" spans="1:14" x14ac:dyDescent="0.25">
      <c r="A2343">
        <v>1785.9122689999999</v>
      </c>
      <c r="B2343" s="1">
        <f>DATE(2015,3,21) + TIME(21,53,40)</f>
        <v>42084.912268518521</v>
      </c>
      <c r="C2343">
        <v>80</v>
      </c>
      <c r="D2343">
        <v>69.148529053000004</v>
      </c>
      <c r="E2343">
        <v>50</v>
      </c>
      <c r="F2343">
        <v>49.988071441999999</v>
      </c>
      <c r="G2343">
        <v>1267.2160644999999</v>
      </c>
      <c r="H2343">
        <v>1237.7777100000001</v>
      </c>
      <c r="I2343">
        <v>1439.5650635</v>
      </c>
      <c r="J2343">
        <v>1403.3488769999999</v>
      </c>
      <c r="K2343">
        <v>0</v>
      </c>
      <c r="L2343">
        <v>2400</v>
      </c>
      <c r="M2343">
        <v>2400</v>
      </c>
      <c r="N2343">
        <v>0</v>
      </c>
    </row>
    <row r="2344" spans="1:14" x14ac:dyDescent="0.25">
      <c r="A2344">
        <v>1787.621173</v>
      </c>
      <c r="B2344" s="1">
        <f>DATE(2015,3,23) + TIME(14,54,29)</f>
        <v>42086.621168981481</v>
      </c>
      <c r="C2344">
        <v>80</v>
      </c>
      <c r="D2344">
        <v>68.929664611999996</v>
      </c>
      <c r="E2344">
        <v>50</v>
      </c>
      <c r="F2344">
        <v>49.988086699999997</v>
      </c>
      <c r="G2344">
        <v>1266.9168701000001</v>
      </c>
      <c r="H2344">
        <v>1237.3337402</v>
      </c>
      <c r="I2344">
        <v>1439.5384521000001</v>
      </c>
      <c r="J2344">
        <v>1403.3227539</v>
      </c>
      <c r="K2344">
        <v>0</v>
      </c>
      <c r="L2344">
        <v>2400</v>
      </c>
      <c r="M2344">
        <v>2400</v>
      </c>
      <c r="N2344">
        <v>0</v>
      </c>
    </row>
    <row r="2345" spans="1:14" x14ac:dyDescent="0.25">
      <c r="A2345">
        <v>1789.330078</v>
      </c>
      <c r="B2345" s="1">
        <f>DATE(2015,3,25) + TIME(7,55,18)</f>
        <v>42088.330069444448</v>
      </c>
      <c r="C2345">
        <v>80</v>
      </c>
      <c r="D2345">
        <v>68.707008361999996</v>
      </c>
      <c r="E2345">
        <v>50</v>
      </c>
      <c r="F2345">
        <v>49.988098145000002</v>
      </c>
      <c r="G2345">
        <v>1266.6160889</v>
      </c>
      <c r="H2345">
        <v>1236.8865966999999</v>
      </c>
      <c r="I2345">
        <v>1439.5119629000001</v>
      </c>
      <c r="J2345">
        <v>1403.296875</v>
      </c>
      <c r="K2345">
        <v>0</v>
      </c>
      <c r="L2345">
        <v>2400</v>
      </c>
      <c r="M2345">
        <v>2400</v>
      </c>
      <c r="N2345">
        <v>0</v>
      </c>
    </row>
    <row r="2346" spans="1:14" x14ac:dyDescent="0.25">
      <c r="A2346">
        <v>1791.0389829999999</v>
      </c>
      <c r="B2346" s="1">
        <f>DATE(2015,3,27) + TIME(0,56,8)</f>
        <v>42090.038981481484</v>
      </c>
      <c r="C2346">
        <v>80</v>
      </c>
      <c r="D2346">
        <v>68.480636597</v>
      </c>
      <c r="E2346">
        <v>50</v>
      </c>
      <c r="F2346">
        <v>49.988109588999997</v>
      </c>
      <c r="G2346">
        <v>1266.3137207</v>
      </c>
      <c r="H2346">
        <v>1236.4365233999999</v>
      </c>
      <c r="I2346">
        <v>1439.4858397999999</v>
      </c>
      <c r="J2346">
        <v>1403.2712402</v>
      </c>
      <c r="K2346">
        <v>0</v>
      </c>
      <c r="L2346">
        <v>2400</v>
      </c>
      <c r="M2346">
        <v>2400</v>
      </c>
      <c r="N2346">
        <v>0</v>
      </c>
    </row>
    <row r="2347" spans="1:14" x14ac:dyDescent="0.25">
      <c r="A2347">
        <v>1792.747887</v>
      </c>
      <c r="B2347" s="1">
        <f>DATE(2015,3,28) + TIME(17,56,57)</f>
        <v>42091.747881944444</v>
      </c>
      <c r="C2347">
        <v>80</v>
      </c>
      <c r="D2347">
        <v>68.250617981000005</v>
      </c>
      <c r="E2347">
        <v>50</v>
      </c>
      <c r="F2347">
        <v>49.988124847000002</v>
      </c>
      <c r="G2347">
        <v>1266.0098877</v>
      </c>
      <c r="H2347">
        <v>1235.9835204999999</v>
      </c>
      <c r="I2347">
        <v>1439.4599608999999</v>
      </c>
      <c r="J2347">
        <v>1403.2457274999999</v>
      </c>
      <c r="K2347">
        <v>0</v>
      </c>
      <c r="L2347">
        <v>2400</v>
      </c>
      <c r="M2347">
        <v>2400</v>
      </c>
      <c r="N2347">
        <v>0</v>
      </c>
    </row>
    <row r="2348" spans="1:14" x14ac:dyDescent="0.25">
      <c r="A2348">
        <v>1794.3739439999999</v>
      </c>
      <c r="B2348" s="1">
        <f>DATE(2015,3,30) + TIME(8,58,28)</f>
        <v>42093.373935185184</v>
      </c>
      <c r="C2348">
        <v>80</v>
      </c>
      <c r="D2348">
        <v>68.019279479999994</v>
      </c>
      <c r="E2348">
        <v>50</v>
      </c>
      <c r="F2348">
        <v>49.988136292</v>
      </c>
      <c r="G2348">
        <v>1265.7049560999999</v>
      </c>
      <c r="H2348">
        <v>1235.5296631000001</v>
      </c>
      <c r="I2348">
        <v>1439.4342041</v>
      </c>
      <c r="J2348">
        <v>1403.2205810999999</v>
      </c>
      <c r="K2348">
        <v>0</v>
      </c>
      <c r="L2348">
        <v>2400</v>
      </c>
      <c r="M2348">
        <v>2400</v>
      </c>
      <c r="N2348">
        <v>0</v>
      </c>
    </row>
    <row r="2349" spans="1:14" x14ac:dyDescent="0.25">
      <c r="A2349">
        <v>1796</v>
      </c>
      <c r="B2349" s="1">
        <f>DATE(2015,4,1) + TIME(0,0,0)</f>
        <v>42095</v>
      </c>
      <c r="C2349">
        <v>80</v>
      </c>
      <c r="D2349">
        <v>67.791915893999999</v>
      </c>
      <c r="E2349">
        <v>50</v>
      </c>
      <c r="F2349">
        <v>49.988147736000002</v>
      </c>
      <c r="G2349">
        <v>1265.4222411999999</v>
      </c>
      <c r="H2349">
        <v>1235.1088867000001</v>
      </c>
      <c r="I2349">
        <v>1439.4099120999999</v>
      </c>
      <c r="J2349">
        <v>1403.1967772999999</v>
      </c>
      <c r="K2349">
        <v>0</v>
      </c>
      <c r="L2349">
        <v>2400</v>
      </c>
      <c r="M2349">
        <v>2400</v>
      </c>
      <c r="N234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2022-05-30T18:54:07Z</dcterms:created>
  <dcterms:modified xsi:type="dcterms:W3CDTF">2022-05-30T18:55:22Z</dcterms:modified>
</cp:coreProperties>
</file>