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5_Tinj90_Tret60/"/>
    </mc:Choice>
  </mc:AlternateContent>
  <xr:revisionPtr revIDLastSave="0" documentId="8_{2DA147E2-AA45-4249-B685-2DD8A443137F}" xr6:coauthVersionLast="47" xr6:coauthVersionMax="47" xr10:uidLastSave="{00000000-0000-0000-0000-000000000000}"/>
  <bookViews>
    <workbookView xWindow="1140" yWindow="960" windowWidth="18915" windowHeight="9960" xr2:uid="{4DE31AD9-C1EA-4247-B2BC-C1B2F4094A2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58" i="1" l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<sst xmlns="http://schemas.openxmlformats.org/spreadsheetml/2006/main" count="15" uniqueCount="15">
  <si>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MODEL\SCENARIOS\2022\S5_Tinj90_Tret60\S5_Tinj90_Tret60.sr3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</si>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</sst>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91265-EFEF-41EE-A6F6-AD6C39278B50}" name="Table1" displayName="Table1" ref="A3:N2558" totalsRowShown="0">
  <autoFilter ref="A3:N2558" xr:uid="{FFD91265-EFEF-41EE-A6F6-AD6C39278B50}"/>
  <tableColumns count="14">
    <tableColumn id="1" xr3:uid="{FA961906-EC66-467B-8628-29A1F1F4A062}" name="Time (day)"/>
    <tableColumn id="2" xr3:uid="{0D332FEF-A8CF-4B7B-892E-89DD6F60D553}" name="Date" dataDxfId="0"/>
    <tableColumn id="3" xr3:uid="{196D48EB-0761-4362-B8F6-92E8C88BF575}" name="Hot well INJ-Well bottom hole temperature (C)"/>
    <tableColumn id="4" xr3:uid="{46FB48AD-AC0B-4115-84CC-B7DF08FA754F}" name="Hot well PROD-Well bottom hole temperature (C)"/>
    <tableColumn id="5" xr3:uid="{2DB82C88-87B0-4071-A5BE-5E58B2102BF3}" name="Warm well INJ-Well bottom hole temperature (C)"/>
    <tableColumn id="6" xr3:uid="{2CA44E72-E87E-4690-A213-23777125F14E}" name="Warm well PROD-Well bottom hole temperature (C)"/>
    <tableColumn id="7" xr3:uid="{16FF7E8F-E6EC-49E5-BAB5-CC90B9F65051}" name="Hot well INJ-Well Bottom-hole Pressure (kPa)"/>
    <tableColumn id="8" xr3:uid="{843C0ED6-D164-4B9B-AC8C-3C88BF3227B5}" name="Hot well PROD-Well Bottom-hole Pressure (kPa)"/>
    <tableColumn id="9" xr3:uid="{C8129EC8-4B4C-4BFE-8F5C-9C08382D864B}" name="Warm well INJ-Well Bottom-hole Pressure (kPa)"/>
    <tableColumn id="10" xr3:uid="{976F10DB-D752-4305-ACA7-D0D0DECE863C}" name="Warm well PROD-Well Bottom-hole Pressure (kPa)"/>
    <tableColumn id="11" xr3:uid="{89DA87D3-492C-4413-9C34-53B0F2025778}" name="Hot well INJ-Fluid Rate SC (m³/day)"/>
    <tableColumn id="12" xr3:uid="{02AED4B4-3B94-4120-BCFF-5776275EAB55}" name="Hot well PROD-Fluid Rate SC (m³/day)"/>
    <tableColumn id="13" xr3:uid="{49DCBD44-B43E-4077-8F90-478948196D06}" name="Warm well INJ-Fluid Rate SC (m³/day)"/>
    <tableColumn id="14" xr3:uid="{35546A78-8278-4CE2-8BEB-979178996A3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8343-705E-421D-AED6-3FA572865B2D}">
  <dimension ref="A1:N255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90</v>
      </c>
      <c r="D4">
        <v>15.0001297</v>
      </c>
      <c r="E4">
        <v>60</v>
      </c>
      <c r="F4">
        <v>14.999955177</v>
      </c>
      <c r="G4">
        <v>1369.2739257999999</v>
      </c>
      <c r="H4">
        <v>1329.8491211</v>
      </c>
      <c r="I4">
        <v>1328.9722899999999</v>
      </c>
      <c r="J4">
        <v>1289.5467529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90</v>
      </c>
      <c r="D5">
        <v>15.000512123</v>
      </c>
      <c r="E5">
        <v>60</v>
      </c>
      <c r="F5">
        <v>14.999827385</v>
      </c>
      <c r="G5">
        <v>1370.5163574000001</v>
      </c>
      <c r="H5">
        <v>1331.0919189000001</v>
      </c>
      <c r="I5">
        <v>1327.7358397999999</v>
      </c>
      <c r="J5">
        <v>1288.3100586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90</v>
      </c>
      <c r="D6">
        <v>15.001600266000001</v>
      </c>
      <c r="E6">
        <v>60</v>
      </c>
      <c r="F6">
        <v>14.999503136</v>
      </c>
      <c r="G6">
        <v>1373.6933594</v>
      </c>
      <c r="H6">
        <v>1334.2700195</v>
      </c>
      <c r="I6">
        <v>1324.5737305</v>
      </c>
      <c r="J6">
        <v>1285.1474608999999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90</v>
      </c>
      <c r="D7">
        <v>15.004561424</v>
      </c>
      <c r="E7">
        <v>60</v>
      </c>
      <c r="F7">
        <v>14.998830795</v>
      </c>
      <c r="G7">
        <v>1380.2542725000001</v>
      </c>
      <c r="H7">
        <v>1340.8338623</v>
      </c>
      <c r="I7">
        <v>1318.0427245999999</v>
      </c>
      <c r="J7">
        <v>1278.6156006000001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90</v>
      </c>
      <c r="D8">
        <v>15.012433052</v>
      </c>
      <c r="E8">
        <v>60</v>
      </c>
      <c r="F8">
        <v>14.997821807999999</v>
      </c>
      <c r="G8">
        <v>1390.1068115</v>
      </c>
      <c r="H8">
        <v>1350.6945800999999</v>
      </c>
      <c r="I8">
        <v>1308.2296143000001</v>
      </c>
      <c r="J8">
        <v>1268.8012695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90</v>
      </c>
      <c r="D9">
        <v>15.034149169999999</v>
      </c>
      <c r="E9">
        <v>60</v>
      </c>
      <c r="F9">
        <v>14.996677398999999</v>
      </c>
      <c r="G9">
        <v>1401.2657471</v>
      </c>
      <c r="H9">
        <v>1361.8759766000001</v>
      </c>
      <c r="I9">
        <v>1297.0947266000001</v>
      </c>
      <c r="J9">
        <v>1257.6650391000001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90</v>
      </c>
      <c r="D10">
        <v>15.096955298999999</v>
      </c>
      <c r="E10">
        <v>60</v>
      </c>
      <c r="F10">
        <v>14.995523453000001</v>
      </c>
      <c r="G10">
        <v>1412.4775391000001</v>
      </c>
      <c r="H10">
        <v>1373.152832</v>
      </c>
      <c r="I10">
        <v>1285.8406981999999</v>
      </c>
      <c r="J10">
        <v>1246.4097899999999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90</v>
      </c>
      <c r="D11">
        <v>15.282614708000001</v>
      </c>
      <c r="E11">
        <v>60</v>
      </c>
      <c r="F11">
        <v>14.994379996999999</v>
      </c>
      <c r="G11">
        <v>1423.4459228999999</v>
      </c>
      <c r="H11">
        <v>1384.3122559000001</v>
      </c>
      <c r="I11">
        <v>1274.6348877</v>
      </c>
      <c r="J11">
        <v>1235.2026367000001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90</v>
      </c>
      <c r="D12">
        <v>15.833404541</v>
      </c>
      <c r="E12">
        <v>60</v>
      </c>
      <c r="F12">
        <v>14.993297577</v>
      </c>
      <c r="G12">
        <v>1433.4129639</v>
      </c>
      <c r="H12">
        <v>1394.8369141000001</v>
      </c>
      <c r="I12">
        <v>1263.8701172000001</v>
      </c>
      <c r="J12">
        <v>1224.4367675999999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2.1753000000000002E-2</v>
      </c>
      <c r="B13" s="1">
        <f>DATE(2010,5,1) + TIME(0,31,19)</f>
        <v>40299.021747685183</v>
      </c>
      <c r="C13">
        <v>90</v>
      </c>
      <c r="D13">
        <v>16.821529387999998</v>
      </c>
      <c r="E13">
        <v>60</v>
      </c>
      <c r="F13">
        <v>14.992620468</v>
      </c>
      <c r="G13">
        <v>1439.0172118999999</v>
      </c>
      <c r="H13">
        <v>1401.4053954999999</v>
      </c>
      <c r="I13">
        <v>1256.9090576000001</v>
      </c>
      <c r="J13">
        <v>1217.4750977000001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3.3807999999999998E-2</v>
      </c>
      <c r="B14" s="1">
        <f>DATE(2010,5,1) + TIME(0,48,41)</f>
        <v>40299.033807870372</v>
      </c>
      <c r="C14">
        <v>90</v>
      </c>
      <c r="D14">
        <v>17.809810637999998</v>
      </c>
      <c r="E14">
        <v>60</v>
      </c>
      <c r="F14">
        <v>14.992325783</v>
      </c>
      <c r="G14">
        <v>1440.9541016000001</v>
      </c>
      <c r="H14">
        <v>1404.2601318</v>
      </c>
      <c r="I14">
        <v>1253.7148437999999</v>
      </c>
      <c r="J14">
        <v>1214.2805175999999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4.6005999999999998E-2</v>
      </c>
      <c r="B15" s="1">
        <f>DATE(2010,5,1) + TIME(1,6,14)</f>
        <v>40299.045995370368</v>
      </c>
      <c r="C15">
        <v>90</v>
      </c>
      <c r="D15">
        <v>18.798492432</v>
      </c>
      <c r="E15">
        <v>60</v>
      </c>
      <c r="F15">
        <v>14.992189407</v>
      </c>
      <c r="G15">
        <v>1441.4185791</v>
      </c>
      <c r="H15">
        <v>1405.6047363</v>
      </c>
      <c r="I15">
        <v>1252.0784911999999</v>
      </c>
      <c r="J15">
        <v>1212.644043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5.8344E-2</v>
      </c>
      <c r="B16" s="1">
        <f>DATE(2010,5,1) + TIME(1,24,0)</f>
        <v>40299.058333333334</v>
      </c>
      <c r="C16">
        <v>90</v>
      </c>
      <c r="D16">
        <v>19.787059784</v>
      </c>
      <c r="E16">
        <v>60</v>
      </c>
      <c r="F16">
        <v>14.992129326000001</v>
      </c>
      <c r="G16">
        <v>1441.1893310999999</v>
      </c>
      <c r="H16">
        <v>1406.2194824000001</v>
      </c>
      <c r="I16">
        <v>1251.1995850000001</v>
      </c>
      <c r="J16">
        <v>1211.7648925999999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7.0823999999999998E-2</v>
      </c>
      <c r="B17" s="1">
        <f>DATE(2010,5,1) + TIME(1,41,59)</f>
        <v>40299.070821759262</v>
      </c>
      <c r="C17">
        <v>90</v>
      </c>
      <c r="D17">
        <v>20.776153564000001</v>
      </c>
      <c r="E17">
        <v>60</v>
      </c>
      <c r="F17">
        <v>14.992109298999999</v>
      </c>
      <c r="G17">
        <v>1440.6053466999999</v>
      </c>
      <c r="H17">
        <v>1406.4454346</v>
      </c>
      <c r="I17">
        <v>1250.7214355000001</v>
      </c>
      <c r="J17">
        <v>1211.2867432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8.3442000000000002E-2</v>
      </c>
      <c r="B18" s="1">
        <f>DATE(2010,5,1) + TIME(2,0,9)</f>
        <v>40299.083437499998</v>
      </c>
      <c r="C18">
        <v>90</v>
      </c>
      <c r="D18">
        <v>21.764587402</v>
      </c>
      <c r="E18">
        <v>60</v>
      </c>
      <c r="F18">
        <v>14.99211216</v>
      </c>
      <c r="G18">
        <v>1439.8355713000001</v>
      </c>
      <c r="H18">
        <v>1406.4526367000001</v>
      </c>
      <c r="I18">
        <v>1250.4645995999999</v>
      </c>
      <c r="J18">
        <v>1211.0299072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9.6208000000000002E-2</v>
      </c>
      <c r="B19" s="1">
        <f>DATE(2010,5,1) + TIME(2,18,32)</f>
        <v>40299.096203703702</v>
      </c>
      <c r="C19">
        <v>90</v>
      </c>
      <c r="D19">
        <v>22.752637863</v>
      </c>
      <c r="E19">
        <v>60</v>
      </c>
      <c r="F19">
        <v>14.992127418999999</v>
      </c>
      <c r="G19">
        <v>1438.9707031</v>
      </c>
      <c r="H19">
        <v>1406.3337402</v>
      </c>
      <c r="I19">
        <v>1250.331543</v>
      </c>
      <c r="J19">
        <v>1210.8967285000001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0.109128</v>
      </c>
      <c r="B20" s="1">
        <f>DATE(2010,5,1) + TIME(2,37,8)</f>
        <v>40299.109120370369</v>
      </c>
      <c r="C20">
        <v>90</v>
      </c>
      <c r="D20">
        <v>23.740482329999999</v>
      </c>
      <c r="E20">
        <v>60</v>
      </c>
      <c r="F20">
        <v>14.992150306999999</v>
      </c>
      <c r="G20">
        <v>1438.0623779</v>
      </c>
      <c r="H20">
        <v>1406.1419678</v>
      </c>
      <c r="I20">
        <v>1250.2674560999999</v>
      </c>
      <c r="J20">
        <v>1210.8326416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0.122207</v>
      </c>
      <c r="B21" s="1">
        <f>DATE(2010,5,1) + TIME(2,55,58)</f>
        <v>40299.122199074074</v>
      </c>
      <c r="C21">
        <v>90</v>
      </c>
      <c r="D21">
        <v>24.728113174000001</v>
      </c>
      <c r="E21">
        <v>60</v>
      </c>
      <c r="F21">
        <v>14.992176056</v>
      </c>
      <c r="G21">
        <v>1437.140625</v>
      </c>
      <c r="H21">
        <v>1405.9089355000001</v>
      </c>
      <c r="I21">
        <v>1250.2410889</v>
      </c>
      <c r="J21">
        <v>1210.8062743999999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0.13544999999999999</v>
      </c>
      <c r="B22" s="1">
        <f>DATE(2010,5,1) + TIME(3,15,2)</f>
        <v>40299.135439814818</v>
      </c>
      <c r="C22">
        <v>90</v>
      </c>
      <c r="D22">
        <v>25.716009140000001</v>
      </c>
      <c r="E22">
        <v>60</v>
      </c>
      <c r="F22">
        <v>14.992204665999999</v>
      </c>
      <c r="G22">
        <v>1436.2230225000001</v>
      </c>
      <c r="H22">
        <v>1405.6538086</v>
      </c>
      <c r="I22">
        <v>1250.2348632999999</v>
      </c>
      <c r="J22">
        <v>1210.7999268000001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0.14885499999999999</v>
      </c>
      <c r="B23" s="1">
        <f>DATE(2010,5,1) + TIME(3,34,21)</f>
        <v>40299.148854166669</v>
      </c>
      <c r="C23">
        <v>90</v>
      </c>
      <c r="D23">
        <v>26.703395843999999</v>
      </c>
      <c r="E23">
        <v>60</v>
      </c>
      <c r="F23">
        <v>14.992234229999999</v>
      </c>
      <c r="G23">
        <v>1435.3204346</v>
      </c>
      <c r="H23">
        <v>1405.3884277</v>
      </c>
      <c r="I23">
        <v>1250.2384033000001</v>
      </c>
      <c r="J23">
        <v>1210.8035889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0.16243099999999999</v>
      </c>
      <c r="B24" s="1">
        <f>DATE(2010,5,1) + TIME(3,53,54)</f>
        <v>40299.162430555552</v>
      </c>
      <c r="C24">
        <v>90</v>
      </c>
      <c r="D24">
        <v>27.690370560000002</v>
      </c>
      <c r="E24">
        <v>60</v>
      </c>
      <c r="F24">
        <v>14.992263793999999</v>
      </c>
      <c r="G24">
        <v>1434.4388428</v>
      </c>
      <c r="H24">
        <v>1405.1198730000001</v>
      </c>
      <c r="I24">
        <v>1250.2463379000001</v>
      </c>
      <c r="J24">
        <v>1210.8114014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0.17618700000000001</v>
      </c>
      <c r="B25" s="1">
        <f>DATE(2010,5,1) + TIME(4,13,42)</f>
        <v>40299.176180555558</v>
      </c>
      <c r="C25">
        <v>90</v>
      </c>
      <c r="D25">
        <v>28.677108765</v>
      </c>
      <c r="E25">
        <v>60</v>
      </c>
      <c r="F25">
        <v>14.992293358</v>
      </c>
      <c r="G25">
        <v>1433.5812988</v>
      </c>
      <c r="H25">
        <v>1404.8526611</v>
      </c>
      <c r="I25">
        <v>1250.2556152</v>
      </c>
      <c r="J25">
        <v>1210.8208007999999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0.19012699999999999</v>
      </c>
      <c r="B26" s="1">
        <f>DATE(2010,5,1) + TIME(4,33,47)</f>
        <v>40299.190127314818</v>
      </c>
      <c r="C26">
        <v>90</v>
      </c>
      <c r="D26">
        <v>29.663600922000001</v>
      </c>
      <c r="E26">
        <v>60</v>
      </c>
      <c r="F26">
        <v>14.992322922</v>
      </c>
      <c r="G26">
        <v>1432.7495117000001</v>
      </c>
      <c r="H26">
        <v>1404.5893555</v>
      </c>
      <c r="I26">
        <v>1250.2648925999999</v>
      </c>
      <c r="J26">
        <v>1210.8299560999999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0.204259</v>
      </c>
      <c r="B27" s="1">
        <f>DATE(2010,5,1) + TIME(4,54,7)</f>
        <v>40299.204247685186</v>
      </c>
      <c r="C27">
        <v>90</v>
      </c>
      <c r="D27">
        <v>30.649988174000001</v>
      </c>
      <c r="E27">
        <v>60</v>
      </c>
      <c r="F27">
        <v>14.992353439</v>
      </c>
      <c r="G27">
        <v>1431.9439697</v>
      </c>
      <c r="H27">
        <v>1404.3317870999999</v>
      </c>
      <c r="I27">
        <v>1250.2734375</v>
      </c>
      <c r="J27">
        <v>1210.8383789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0.218585</v>
      </c>
      <c r="B28" s="1">
        <f>DATE(2010,5,1) + TIME(5,14,45)</f>
        <v>40299.218576388892</v>
      </c>
      <c r="C28">
        <v>90</v>
      </c>
      <c r="D28">
        <v>31.636047362999999</v>
      </c>
      <c r="E28">
        <v>60</v>
      </c>
      <c r="F28">
        <v>14.992383003</v>
      </c>
      <c r="G28">
        <v>1431.1649170000001</v>
      </c>
      <c r="H28">
        <v>1404.0808105000001</v>
      </c>
      <c r="I28">
        <v>1250.2808838000001</v>
      </c>
      <c r="J28">
        <v>1210.8458252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0.23311399999999999</v>
      </c>
      <c r="B29" s="1">
        <f>DATE(2010,5,1) + TIME(5,35,41)</f>
        <v>40299.233113425929</v>
      </c>
      <c r="C29">
        <v>90</v>
      </c>
      <c r="D29">
        <v>32.621765136999997</v>
      </c>
      <c r="E29">
        <v>60</v>
      </c>
      <c r="F29">
        <v>14.992412567000001</v>
      </c>
      <c r="G29">
        <v>1430.4116211</v>
      </c>
      <c r="H29">
        <v>1403.8369141000001</v>
      </c>
      <c r="I29">
        <v>1250.2874756000001</v>
      </c>
      <c r="J29">
        <v>1210.8522949000001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0.24785299999999999</v>
      </c>
      <c r="B30" s="1">
        <f>DATE(2010,5,1) + TIME(5,56,54)</f>
        <v>40299.247847222221</v>
      </c>
      <c r="C30">
        <v>90</v>
      </c>
      <c r="D30">
        <v>33.607208252</v>
      </c>
      <c r="E30">
        <v>60</v>
      </c>
      <c r="F30">
        <v>14.992442131000001</v>
      </c>
      <c r="G30">
        <v>1429.6834716999999</v>
      </c>
      <c r="H30">
        <v>1403.6000977000001</v>
      </c>
      <c r="I30">
        <v>1250.2930908000001</v>
      </c>
      <c r="J30">
        <v>1210.8579102000001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0.26280999999999999</v>
      </c>
      <c r="B31" s="1">
        <f>DATE(2010,5,1) + TIME(6,18,26)</f>
        <v>40299.262800925928</v>
      </c>
      <c r="C31">
        <v>90</v>
      </c>
      <c r="D31">
        <v>34.592361449999999</v>
      </c>
      <c r="E31">
        <v>60</v>
      </c>
      <c r="F31">
        <v>14.992471695000001</v>
      </c>
      <c r="G31">
        <v>1428.9797363</v>
      </c>
      <c r="H31">
        <v>1403.3706055</v>
      </c>
      <c r="I31">
        <v>1250.2978516000001</v>
      </c>
      <c r="J31">
        <v>1210.8626709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0.27799299999999999</v>
      </c>
      <c r="B32" s="1">
        <f>DATE(2010,5,1) + TIME(6,40,18)</f>
        <v>40299.277986111112</v>
      </c>
      <c r="C32">
        <v>90</v>
      </c>
      <c r="D32">
        <v>35.577220916999998</v>
      </c>
      <c r="E32">
        <v>60</v>
      </c>
      <c r="F32">
        <v>14.992501259000001</v>
      </c>
      <c r="G32">
        <v>1428.2996826000001</v>
      </c>
      <c r="H32">
        <v>1403.1483154</v>
      </c>
      <c r="I32">
        <v>1250.3020019999999</v>
      </c>
      <c r="J32">
        <v>1210.8666992000001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0.29340899999999998</v>
      </c>
      <c r="B33" s="1">
        <f>DATE(2010,5,1) + TIME(7,2,30)</f>
        <v>40299.293402777781</v>
      </c>
      <c r="C33">
        <v>90</v>
      </c>
      <c r="D33">
        <v>36.561771393000001</v>
      </c>
      <c r="E33">
        <v>60</v>
      </c>
      <c r="F33">
        <v>14.992530822999999</v>
      </c>
      <c r="G33">
        <v>1427.6420897999999</v>
      </c>
      <c r="H33">
        <v>1402.9329834</v>
      </c>
      <c r="I33">
        <v>1250.3056641000001</v>
      </c>
      <c r="J33">
        <v>1210.8703613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0.30906600000000001</v>
      </c>
      <c r="B34" s="1">
        <f>DATE(2010,5,1) + TIME(7,25,3)</f>
        <v>40299.309062499997</v>
      </c>
      <c r="C34">
        <v>90</v>
      </c>
      <c r="D34">
        <v>37.546009064000003</v>
      </c>
      <c r="E34">
        <v>60</v>
      </c>
      <c r="F34">
        <v>14.992559433</v>
      </c>
      <c r="G34">
        <v>1427.0063477000001</v>
      </c>
      <c r="H34">
        <v>1402.7243652</v>
      </c>
      <c r="I34">
        <v>1250.3088379000001</v>
      </c>
      <c r="J34">
        <v>1210.8734131000001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0.32497500000000001</v>
      </c>
      <c r="B35" s="1">
        <f>DATE(2010,5,1) + TIME(7,47,57)</f>
        <v>40299.324965277781</v>
      </c>
      <c r="C35">
        <v>90</v>
      </c>
      <c r="D35">
        <v>38.529914855999998</v>
      </c>
      <c r="E35">
        <v>60</v>
      </c>
      <c r="F35">
        <v>14.992588997</v>
      </c>
      <c r="G35">
        <v>1426.3914795000001</v>
      </c>
      <c r="H35">
        <v>1402.5223389</v>
      </c>
      <c r="I35">
        <v>1250.3116454999999</v>
      </c>
      <c r="J35">
        <v>1210.8762207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0.341144</v>
      </c>
      <c r="B36" s="1">
        <f>DATE(2010,5,1) + TIME(8,11,14)</f>
        <v>40299.341134259259</v>
      </c>
      <c r="C36">
        <v>90</v>
      </c>
      <c r="D36">
        <v>39.513481140000003</v>
      </c>
      <c r="E36">
        <v>60</v>
      </c>
      <c r="F36">
        <v>14.992618561</v>
      </c>
      <c r="G36">
        <v>1425.7966309000001</v>
      </c>
      <c r="H36">
        <v>1402.3265381000001</v>
      </c>
      <c r="I36">
        <v>1250.3142089999999</v>
      </c>
      <c r="J36">
        <v>1210.8786620999999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0.35758299999999998</v>
      </c>
      <c r="B37" s="1">
        <f>DATE(2010,5,1) + TIME(8,34,55)</f>
        <v>40299.357581018521</v>
      </c>
      <c r="C37">
        <v>90</v>
      </c>
      <c r="D37">
        <v>40.496810912999997</v>
      </c>
      <c r="E37">
        <v>60</v>
      </c>
      <c r="F37">
        <v>14.992648125000001</v>
      </c>
      <c r="G37">
        <v>1425.2208252</v>
      </c>
      <c r="H37">
        <v>1402.1368408000001</v>
      </c>
      <c r="I37">
        <v>1250.3164062000001</v>
      </c>
      <c r="J37">
        <v>1210.8808594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0.37430000000000002</v>
      </c>
      <c r="B38" s="1">
        <f>DATE(2010,5,1) + TIME(8,58,59)</f>
        <v>40299.374293981484</v>
      </c>
      <c r="C38">
        <v>90</v>
      </c>
      <c r="D38">
        <v>41.479774474999999</v>
      </c>
      <c r="E38">
        <v>60</v>
      </c>
      <c r="F38">
        <v>14.992677689000001</v>
      </c>
      <c r="G38">
        <v>1424.6634521000001</v>
      </c>
      <c r="H38">
        <v>1401.9528809000001</v>
      </c>
      <c r="I38">
        <v>1250.3184814000001</v>
      </c>
      <c r="J38">
        <v>1210.8828125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0.39130799999999999</v>
      </c>
      <c r="B39" s="1">
        <f>DATE(2010,5,1) + TIME(9,23,28)</f>
        <v>40299.391296296293</v>
      </c>
      <c r="C39">
        <v>90</v>
      </c>
      <c r="D39">
        <v>42.462249755999999</v>
      </c>
      <c r="E39">
        <v>60</v>
      </c>
      <c r="F39">
        <v>14.992707253000001</v>
      </c>
      <c r="G39">
        <v>1424.1235352000001</v>
      </c>
      <c r="H39">
        <v>1401.7742920000001</v>
      </c>
      <c r="I39">
        <v>1250.3204346</v>
      </c>
      <c r="J39">
        <v>1210.8846435999999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0.40861799999999998</v>
      </c>
      <c r="B40" s="1">
        <f>DATE(2010,5,1) + TIME(9,48,24)</f>
        <v>40299.40861111111</v>
      </c>
      <c r="C40">
        <v>90</v>
      </c>
      <c r="D40">
        <v>43.444328308000003</v>
      </c>
      <c r="E40">
        <v>60</v>
      </c>
      <c r="F40">
        <v>14.992736816000001</v>
      </c>
      <c r="G40">
        <v>1423.6002197</v>
      </c>
      <c r="H40">
        <v>1401.6008300999999</v>
      </c>
      <c r="I40">
        <v>1250.3222656</v>
      </c>
      <c r="J40">
        <v>1210.8863524999999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0.42624499999999999</v>
      </c>
      <c r="B41" s="1">
        <f>DATE(2010,5,1) + TIME(10,13,47)</f>
        <v>40299.426238425927</v>
      </c>
      <c r="C41">
        <v>90</v>
      </c>
      <c r="D41">
        <v>44.425994873</v>
      </c>
      <c r="E41">
        <v>60</v>
      </c>
      <c r="F41">
        <v>14.992766380000001</v>
      </c>
      <c r="G41">
        <v>1423.0931396000001</v>
      </c>
      <c r="H41">
        <v>1401.432251</v>
      </c>
      <c r="I41">
        <v>1250.3238524999999</v>
      </c>
      <c r="J41">
        <v>1210.8879394999999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0.44420100000000001</v>
      </c>
      <c r="B42" s="1">
        <f>DATE(2010,5,1) + TIME(10,39,38)</f>
        <v>40299.444189814814</v>
      </c>
      <c r="C42">
        <v>90</v>
      </c>
      <c r="D42">
        <v>45.407226561999998</v>
      </c>
      <c r="E42">
        <v>60</v>
      </c>
      <c r="F42">
        <v>14.992795943999999</v>
      </c>
      <c r="G42">
        <v>1422.6011963000001</v>
      </c>
      <c r="H42">
        <v>1401.2684326000001</v>
      </c>
      <c r="I42">
        <v>1250.3254394999999</v>
      </c>
      <c r="J42">
        <v>1210.8894043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0.46250000000000002</v>
      </c>
      <c r="B43" s="1">
        <f>DATE(2010,5,1) + TIME(11,5,59)</f>
        <v>40299.462488425925</v>
      </c>
      <c r="C43">
        <v>90</v>
      </c>
      <c r="D43">
        <v>46.388011931999998</v>
      </c>
      <c r="E43">
        <v>60</v>
      </c>
      <c r="F43">
        <v>14.992826462</v>
      </c>
      <c r="G43">
        <v>1422.1239014</v>
      </c>
      <c r="H43">
        <v>1401.1088867000001</v>
      </c>
      <c r="I43">
        <v>1250.3269043</v>
      </c>
      <c r="J43">
        <v>1210.8907471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0.48115799999999997</v>
      </c>
      <c r="B44" s="1">
        <f>DATE(2010,5,1) + TIME(11,32,52)</f>
        <v>40299.481157407405</v>
      </c>
      <c r="C44">
        <v>90</v>
      </c>
      <c r="D44">
        <v>47.368328093999999</v>
      </c>
      <c r="E44">
        <v>60</v>
      </c>
      <c r="F44">
        <v>14.992856026</v>
      </c>
      <c r="G44">
        <v>1421.6606445</v>
      </c>
      <c r="H44">
        <v>1400.9536132999999</v>
      </c>
      <c r="I44">
        <v>1250.3282471</v>
      </c>
      <c r="J44">
        <v>1210.8919678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0.50019000000000002</v>
      </c>
      <c r="B45" s="1">
        <f>DATE(2010,5,1) + TIME(12,0,16)</f>
        <v>40299.500185185185</v>
      </c>
      <c r="C45">
        <v>90</v>
      </c>
      <c r="D45">
        <v>48.348152161000002</v>
      </c>
      <c r="E45">
        <v>60</v>
      </c>
      <c r="F45">
        <v>14.99288559</v>
      </c>
      <c r="G45">
        <v>1421.2106934000001</v>
      </c>
      <c r="H45">
        <v>1400.802124</v>
      </c>
      <c r="I45">
        <v>1250.3294678</v>
      </c>
      <c r="J45">
        <v>1210.8931885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0.51961400000000002</v>
      </c>
      <c r="B46" s="1">
        <f>DATE(2010,5,1) + TIME(12,28,14)</f>
        <v>40299.519606481481</v>
      </c>
      <c r="C46">
        <v>90</v>
      </c>
      <c r="D46">
        <v>49.327465056999998</v>
      </c>
      <c r="E46">
        <v>60</v>
      </c>
      <c r="F46">
        <v>14.992916106999999</v>
      </c>
      <c r="G46">
        <v>1420.7735596</v>
      </c>
      <c r="H46">
        <v>1400.6542969</v>
      </c>
      <c r="I46">
        <v>1250.3306885</v>
      </c>
      <c r="J46">
        <v>1210.8942870999999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0.53944899999999996</v>
      </c>
      <c r="B47" s="1">
        <f>DATE(2010,5,1) + TIME(12,56,48)</f>
        <v>40299.539444444446</v>
      </c>
      <c r="C47">
        <v>90</v>
      </c>
      <c r="D47">
        <v>50.306091309000003</v>
      </c>
      <c r="E47">
        <v>60</v>
      </c>
      <c r="F47">
        <v>14.992946625</v>
      </c>
      <c r="G47">
        <v>1420.3486327999999</v>
      </c>
      <c r="H47">
        <v>1400.5098877</v>
      </c>
      <c r="I47">
        <v>1250.3319091999999</v>
      </c>
      <c r="J47">
        <v>1210.8953856999999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0.55971700000000002</v>
      </c>
      <c r="B48" s="1">
        <f>DATE(2010,5,1) + TIME(13,25,59)</f>
        <v>40299.559710648151</v>
      </c>
      <c r="C48">
        <v>90</v>
      </c>
      <c r="D48">
        <v>51.283977509000003</v>
      </c>
      <c r="E48">
        <v>60</v>
      </c>
      <c r="F48">
        <v>14.992976189</v>
      </c>
      <c r="G48">
        <v>1419.9351807</v>
      </c>
      <c r="H48">
        <v>1400.3685303</v>
      </c>
      <c r="I48">
        <v>1250.3328856999999</v>
      </c>
      <c r="J48">
        <v>1210.8962402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0.58044300000000004</v>
      </c>
      <c r="B49" s="1">
        <f>DATE(2010,5,1) + TIME(13,55,50)</f>
        <v>40299.580439814818</v>
      </c>
      <c r="C49">
        <v>90</v>
      </c>
      <c r="D49">
        <v>52.261569977000001</v>
      </c>
      <c r="E49">
        <v>60</v>
      </c>
      <c r="F49">
        <v>14.993006705999999</v>
      </c>
      <c r="G49">
        <v>1419.5328368999999</v>
      </c>
      <c r="H49">
        <v>1400.2302245999999</v>
      </c>
      <c r="I49">
        <v>1250.3339844</v>
      </c>
      <c r="J49">
        <v>1210.8972168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0.60164399999999996</v>
      </c>
      <c r="B50" s="1">
        <f>DATE(2010,5,1) + TIME(14,26,22)</f>
        <v>40299.601643518516</v>
      </c>
      <c r="C50">
        <v>90</v>
      </c>
      <c r="D50">
        <v>53.238536834999998</v>
      </c>
      <c r="E50">
        <v>60</v>
      </c>
      <c r="F50">
        <v>14.993037224</v>
      </c>
      <c r="G50">
        <v>1419.1411132999999</v>
      </c>
      <c r="H50">
        <v>1400.0947266000001</v>
      </c>
      <c r="I50">
        <v>1250.3349608999999</v>
      </c>
      <c r="J50">
        <v>1210.8980713000001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0.62334500000000004</v>
      </c>
      <c r="B51" s="1">
        <f>DATE(2010,5,1) + TIME(14,57,37)</f>
        <v>40299.623344907406</v>
      </c>
      <c r="C51">
        <v>90</v>
      </c>
      <c r="D51">
        <v>54.214851379000002</v>
      </c>
      <c r="E51">
        <v>60</v>
      </c>
      <c r="F51">
        <v>14.993068695</v>
      </c>
      <c r="G51">
        <v>1418.7596435999999</v>
      </c>
      <c r="H51">
        <v>1399.9617920000001</v>
      </c>
      <c r="I51">
        <v>1250.3359375</v>
      </c>
      <c r="J51">
        <v>1210.8989257999999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0.64557299999999995</v>
      </c>
      <c r="B52" s="1">
        <f>DATE(2010,5,1) + TIME(15,29,37)</f>
        <v>40299.645567129628</v>
      </c>
      <c r="C52">
        <v>90</v>
      </c>
      <c r="D52">
        <v>55.190471649000003</v>
      </c>
      <c r="E52">
        <v>60</v>
      </c>
      <c r="F52">
        <v>14.993099213000001</v>
      </c>
      <c r="G52">
        <v>1418.3875731999999</v>
      </c>
      <c r="H52">
        <v>1399.8311768000001</v>
      </c>
      <c r="I52">
        <v>1250.3367920000001</v>
      </c>
      <c r="J52">
        <v>1210.8996582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0.66835599999999995</v>
      </c>
      <c r="B53" s="1">
        <f>DATE(2010,5,1) + TIME(16,2,25)</f>
        <v>40299.668344907404</v>
      </c>
      <c r="C53">
        <v>90</v>
      </c>
      <c r="D53">
        <v>56.165367126</v>
      </c>
      <c r="E53">
        <v>60</v>
      </c>
      <c r="F53">
        <v>14.99312973</v>
      </c>
      <c r="G53">
        <v>1418.0247803</v>
      </c>
      <c r="H53">
        <v>1399.7027588000001</v>
      </c>
      <c r="I53">
        <v>1250.3376464999999</v>
      </c>
      <c r="J53">
        <v>1210.9003906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0.69172500000000003</v>
      </c>
      <c r="B54" s="1">
        <f>DATE(2010,5,1) + TIME(16,36,5)</f>
        <v>40299.691724537035</v>
      </c>
      <c r="C54">
        <v>90</v>
      </c>
      <c r="D54">
        <v>57.139488219999997</v>
      </c>
      <c r="E54">
        <v>60</v>
      </c>
      <c r="F54">
        <v>14.993161200999999</v>
      </c>
      <c r="G54">
        <v>1417.6707764</v>
      </c>
      <c r="H54">
        <v>1399.5762939000001</v>
      </c>
      <c r="I54">
        <v>1250.338501</v>
      </c>
      <c r="J54">
        <v>1210.9011230000001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0.71571600000000002</v>
      </c>
      <c r="B55" s="1">
        <f>DATE(2010,5,1) + TIME(17,10,37)</f>
        <v>40299.71570601852</v>
      </c>
      <c r="C55">
        <v>90</v>
      </c>
      <c r="D55">
        <v>58.112796783</v>
      </c>
      <c r="E55">
        <v>60</v>
      </c>
      <c r="F55">
        <v>14.993192672999999</v>
      </c>
      <c r="G55">
        <v>1417.3249512</v>
      </c>
      <c r="H55">
        <v>1399.4514160000001</v>
      </c>
      <c r="I55">
        <v>1250.3393555</v>
      </c>
      <c r="J55">
        <v>1210.9017334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0.74036400000000002</v>
      </c>
      <c r="B56" s="1">
        <f>DATE(2010,5,1) + TIME(17,46,7)</f>
        <v>40299.740358796298</v>
      </c>
      <c r="C56">
        <v>90</v>
      </c>
      <c r="D56">
        <v>59.08523941</v>
      </c>
      <c r="E56">
        <v>60</v>
      </c>
      <c r="F56">
        <v>14.993224143999999</v>
      </c>
      <c r="G56">
        <v>1416.9869385</v>
      </c>
      <c r="H56">
        <v>1399.328125</v>
      </c>
      <c r="I56">
        <v>1250.3400879000001</v>
      </c>
      <c r="J56">
        <v>1210.9024658000001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0.76571100000000003</v>
      </c>
      <c r="B57" s="1">
        <f>DATE(2010,5,1) + TIME(18,22,37)</f>
        <v>40299.765706018516</v>
      </c>
      <c r="C57">
        <v>90</v>
      </c>
      <c r="D57">
        <v>60.056724547999998</v>
      </c>
      <c r="E57">
        <v>60</v>
      </c>
      <c r="F57">
        <v>14.993255615000001</v>
      </c>
      <c r="G57">
        <v>1416.6563721</v>
      </c>
      <c r="H57">
        <v>1399.2060547000001</v>
      </c>
      <c r="I57">
        <v>1250.3408202999999</v>
      </c>
      <c r="J57">
        <v>1210.9030762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0.79180200000000001</v>
      </c>
      <c r="B58" s="1">
        <f>DATE(2010,5,1) + TIME(19,0,11)</f>
        <v>40299.79179398148</v>
      </c>
      <c r="C58">
        <v>90</v>
      </c>
      <c r="D58">
        <v>61.026615143000001</v>
      </c>
      <c r="E58">
        <v>60</v>
      </c>
      <c r="F58">
        <v>14.993288039999999</v>
      </c>
      <c r="G58">
        <v>1416.3327637</v>
      </c>
      <c r="H58">
        <v>1399.0849608999999</v>
      </c>
      <c r="I58">
        <v>1250.3415527</v>
      </c>
      <c r="J58">
        <v>1210.9036865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0.81870299999999996</v>
      </c>
      <c r="B59" s="1">
        <f>DATE(2010,5,1) + TIME(19,38,55)</f>
        <v>40299.818692129629</v>
      </c>
      <c r="C59">
        <v>90</v>
      </c>
      <c r="D59">
        <v>61.996078490999999</v>
      </c>
      <c r="E59">
        <v>60</v>
      </c>
      <c r="F59">
        <v>14.993320465</v>
      </c>
      <c r="G59">
        <v>1416.015625</v>
      </c>
      <c r="H59">
        <v>1398.9647216999999</v>
      </c>
      <c r="I59">
        <v>1250.3422852000001</v>
      </c>
      <c r="J59">
        <v>1210.9042969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0.84645099999999995</v>
      </c>
      <c r="B60" s="1">
        <f>DATE(2010,5,1) + TIME(20,18,53)</f>
        <v>40299.846446759257</v>
      </c>
      <c r="C60">
        <v>90</v>
      </c>
      <c r="D60">
        <v>62.964431763</v>
      </c>
      <c r="E60">
        <v>60</v>
      </c>
      <c r="F60">
        <v>14.993352890000001</v>
      </c>
      <c r="G60">
        <v>1415.7048339999999</v>
      </c>
      <c r="H60">
        <v>1398.8450928</v>
      </c>
      <c r="I60">
        <v>1250.3430175999999</v>
      </c>
      <c r="J60">
        <v>1210.9047852000001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0.87510600000000005</v>
      </c>
      <c r="B61" s="1">
        <f>DATE(2010,5,1) + TIME(21,0,9)</f>
        <v>40299.875104166669</v>
      </c>
      <c r="C61">
        <v>90</v>
      </c>
      <c r="D61">
        <v>63.931598663000003</v>
      </c>
      <c r="E61">
        <v>60</v>
      </c>
      <c r="F61">
        <v>14.993386269</v>
      </c>
      <c r="G61">
        <v>1415.3999022999999</v>
      </c>
      <c r="H61">
        <v>1398.7260742000001</v>
      </c>
      <c r="I61">
        <v>1250.34375</v>
      </c>
      <c r="J61">
        <v>1210.9053954999999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0.90473400000000004</v>
      </c>
      <c r="B62" s="1">
        <f>DATE(2010,5,1) + TIME(21,42,49)</f>
        <v>40299.904733796298</v>
      </c>
      <c r="C62">
        <v>90</v>
      </c>
      <c r="D62">
        <v>64.897491454999994</v>
      </c>
      <c r="E62">
        <v>60</v>
      </c>
      <c r="F62">
        <v>14.993418694000001</v>
      </c>
      <c r="G62">
        <v>1415.1005858999999</v>
      </c>
      <c r="H62">
        <v>1398.6072998</v>
      </c>
      <c r="I62">
        <v>1250.3444824000001</v>
      </c>
      <c r="J62">
        <v>1210.9060059000001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0.93540800000000002</v>
      </c>
      <c r="B63" s="1">
        <f>DATE(2010,5,1) + TIME(22,26,59)</f>
        <v>40299.93540509259</v>
      </c>
      <c r="C63">
        <v>90</v>
      </c>
      <c r="D63">
        <v>65.862220764</v>
      </c>
      <c r="E63">
        <v>60</v>
      </c>
      <c r="F63">
        <v>14.993452072</v>
      </c>
      <c r="G63">
        <v>1414.8061522999999</v>
      </c>
      <c r="H63">
        <v>1398.4885254000001</v>
      </c>
      <c r="I63">
        <v>1250.3452147999999</v>
      </c>
      <c r="J63">
        <v>1210.9064940999999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0.96720300000000003</v>
      </c>
      <c r="B64" s="1">
        <f>DATE(2010,5,1) + TIME(23,12,46)</f>
        <v>40299.967199074075</v>
      </c>
      <c r="C64">
        <v>90</v>
      </c>
      <c r="D64">
        <v>66.825317382999998</v>
      </c>
      <c r="E64">
        <v>60</v>
      </c>
      <c r="F64">
        <v>14.993486404</v>
      </c>
      <c r="G64">
        <v>1414.5166016000001</v>
      </c>
      <c r="H64">
        <v>1398.3695068</v>
      </c>
      <c r="I64">
        <v>1250.3459473</v>
      </c>
      <c r="J64">
        <v>1210.9071045000001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1.0002169999999999</v>
      </c>
      <c r="B65" s="1">
        <f>DATE(2010,5,2) + TIME(0,0,18)</f>
        <v>40300.000208333331</v>
      </c>
      <c r="C65">
        <v>90</v>
      </c>
      <c r="D65">
        <v>67.786804199000002</v>
      </c>
      <c r="E65">
        <v>60</v>
      </c>
      <c r="F65">
        <v>14.993520737000001</v>
      </c>
      <c r="G65">
        <v>1414.2312012</v>
      </c>
      <c r="H65">
        <v>1398.2498779</v>
      </c>
      <c r="I65">
        <v>1250.3468018000001</v>
      </c>
      <c r="J65">
        <v>1210.9077147999999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1.0345530000000001</v>
      </c>
      <c r="B66" s="1">
        <f>DATE(2010,5,2) + TIME(0,49,45)</f>
        <v>40300.034548611111</v>
      </c>
      <c r="C66">
        <v>90</v>
      </c>
      <c r="D66">
        <v>68.746566771999994</v>
      </c>
      <c r="E66">
        <v>60</v>
      </c>
      <c r="F66">
        <v>14.993555068999999</v>
      </c>
      <c r="G66">
        <v>1413.949707</v>
      </c>
      <c r="H66">
        <v>1398.1295166</v>
      </c>
      <c r="I66">
        <v>1250.3475341999999</v>
      </c>
      <c r="J66">
        <v>1210.9083252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1.0703290000000001</v>
      </c>
      <c r="B67" s="1">
        <f>DATE(2010,5,2) + TIME(1,41,16)</f>
        <v>40300.070324074077</v>
      </c>
      <c r="C67">
        <v>90</v>
      </c>
      <c r="D67">
        <v>69.704467773000005</v>
      </c>
      <c r="E67">
        <v>60</v>
      </c>
      <c r="F67">
        <v>14.993590355</v>
      </c>
      <c r="G67">
        <v>1413.6715088000001</v>
      </c>
      <c r="H67">
        <v>1398.0079346</v>
      </c>
      <c r="I67">
        <v>1250.3483887</v>
      </c>
      <c r="J67">
        <v>1210.9089355000001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1.107677</v>
      </c>
      <c r="B68" s="1">
        <f>DATE(2010,5,2) + TIME(2,35,3)</f>
        <v>40300.107673611114</v>
      </c>
      <c r="C68">
        <v>90</v>
      </c>
      <c r="D68">
        <v>70.659843445000007</v>
      </c>
      <c r="E68">
        <v>60</v>
      </c>
      <c r="F68">
        <v>14.993626595</v>
      </c>
      <c r="G68">
        <v>1413.3963623</v>
      </c>
      <c r="H68">
        <v>1397.8847656</v>
      </c>
      <c r="I68">
        <v>1250.3491211</v>
      </c>
      <c r="J68">
        <v>1210.909668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1.1467689999999999</v>
      </c>
      <c r="B69" s="1">
        <f>DATE(2010,5,2) + TIME(3,31,20)</f>
        <v>40300.14675925926</v>
      </c>
      <c r="C69">
        <v>90</v>
      </c>
      <c r="D69">
        <v>71.613212584999999</v>
      </c>
      <c r="E69">
        <v>60</v>
      </c>
      <c r="F69">
        <v>14.993662834</v>
      </c>
      <c r="G69">
        <v>1413.1236572</v>
      </c>
      <c r="H69">
        <v>1397.7597656</v>
      </c>
      <c r="I69">
        <v>1250.3500977000001</v>
      </c>
      <c r="J69">
        <v>1210.9102783000001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1.1877740000000001</v>
      </c>
      <c r="B70" s="1">
        <f>DATE(2010,5,2) + TIME(4,30,23)</f>
        <v>40300.1877662037</v>
      </c>
      <c r="C70">
        <v>90</v>
      </c>
      <c r="D70">
        <v>72.564338684000006</v>
      </c>
      <c r="E70">
        <v>60</v>
      </c>
      <c r="F70">
        <v>14.993699074</v>
      </c>
      <c r="G70">
        <v>1412.8529053</v>
      </c>
      <c r="H70">
        <v>1397.6324463000001</v>
      </c>
      <c r="I70">
        <v>1250.3509521000001</v>
      </c>
      <c r="J70">
        <v>1210.9110106999999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1.230885</v>
      </c>
      <c r="B71" s="1">
        <f>DATE(2010,5,2) + TIME(5,32,28)</f>
        <v>40300.230879629627</v>
      </c>
      <c r="C71">
        <v>90</v>
      </c>
      <c r="D71">
        <v>73.512763977000006</v>
      </c>
      <c r="E71">
        <v>60</v>
      </c>
      <c r="F71">
        <v>14.993737221</v>
      </c>
      <c r="G71">
        <v>1412.5836182</v>
      </c>
      <c r="H71">
        <v>1397.5025635</v>
      </c>
      <c r="I71">
        <v>1250.3519286999999</v>
      </c>
      <c r="J71">
        <v>1210.9117432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1.2763409999999999</v>
      </c>
      <c r="B72" s="1">
        <f>DATE(2010,5,2) + TIME(6,37,55)</f>
        <v>40300.276331018518</v>
      </c>
      <c r="C72">
        <v>90</v>
      </c>
      <c r="D72">
        <v>74.458206176999994</v>
      </c>
      <c r="E72">
        <v>60</v>
      </c>
      <c r="F72">
        <v>14.993775368</v>
      </c>
      <c r="G72">
        <v>1412.3154297000001</v>
      </c>
      <c r="H72">
        <v>1397.3695068</v>
      </c>
      <c r="I72">
        <v>1250.3529053</v>
      </c>
      <c r="J72">
        <v>1210.9125977000001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1.3000100000000001</v>
      </c>
      <c r="B73" s="1">
        <f>DATE(2010,5,2) + TIME(7,12,0)</f>
        <v>40300.300000000003</v>
      </c>
      <c r="C73">
        <v>90</v>
      </c>
      <c r="D73">
        <v>74.936981200999995</v>
      </c>
      <c r="E73">
        <v>60</v>
      </c>
      <c r="F73">
        <v>14.993795394999999</v>
      </c>
      <c r="G73">
        <v>1412.1687012</v>
      </c>
      <c r="H73">
        <v>1397.2639160000001</v>
      </c>
      <c r="I73">
        <v>1250.3536377</v>
      </c>
      <c r="J73">
        <v>1210.9132079999999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1.3236779999999999</v>
      </c>
      <c r="B74" s="1">
        <f>DATE(2010,5,2) + TIME(7,46,5)</f>
        <v>40300.32366898148</v>
      </c>
      <c r="C74">
        <v>90</v>
      </c>
      <c r="D74">
        <v>75.401374817000004</v>
      </c>
      <c r="E74">
        <v>60</v>
      </c>
      <c r="F74">
        <v>14.993814468</v>
      </c>
      <c r="G74">
        <v>1412.0354004000001</v>
      </c>
      <c r="H74">
        <v>1397.1948242000001</v>
      </c>
      <c r="I74">
        <v>1250.3543701000001</v>
      </c>
      <c r="J74">
        <v>1210.9138184000001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1.3473470000000001</v>
      </c>
      <c r="B75" s="1">
        <f>DATE(2010,5,2) + TIME(8,20,10)</f>
        <v>40300.347337962965</v>
      </c>
      <c r="C75">
        <v>90</v>
      </c>
      <c r="D75">
        <v>75.852005004999995</v>
      </c>
      <c r="E75">
        <v>60</v>
      </c>
      <c r="F75">
        <v>14.993833542000001</v>
      </c>
      <c r="G75">
        <v>1411.9064940999999</v>
      </c>
      <c r="H75">
        <v>1397.1269531</v>
      </c>
      <c r="I75">
        <v>1250.3549805</v>
      </c>
      <c r="J75">
        <v>1210.9143065999999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1.3710150000000001</v>
      </c>
      <c r="B76" s="1">
        <f>DATE(2010,5,2) + TIME(8,54,15)</f>
        <v>40300.371006944442</v>
      </c>
      <c r="C76">
        <v>90</v>
      </c>
      <c r="D76">
        <v>76.289291382000002</v>
      </c>
      <c r="E76">
        <v>60</v>
      </c>
      <c r="F76">
        <v>14.993852615</v>
      </c>
      <c r="G76">
        <v>1411.7810059000001</v>
      </c>
      <c r="H76">
        <v>1397.0599365</v>
      </c>
      <c r="I76">
        <v>1250.3555908000001</v>
      </c>
      <c r="J76">
        <v>1210.9147949000001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1.394684</v>
      </c>
      <c r="B77" s="1">
        <f>DATE(2010,5,2) + TIME(9,28,20)</f>
        <v>40300.394675925927</v>
      </c>
      <c r="C77">
        <v>90</v>
      </c>
      <c r="D77">
        <v>76.713577271000005</v>
      </c>
      <c r="E77">
        <v>60</v>
      </c>
      <c r="F77">
        <v>14.993871689000001</v>
      </c>
      <c r="G77">
        <v>1411.6588135</v>
      </c>
      <c r="H77">
        <v>1396.9935303</v>
      </c>
      <c r="I77">
        <v>1250.3560791</v>
      </c>
      <c r="J77">
        <v>1210.9152832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1.418353</v>
      </c>
      <c r="B78" s="1">
        <f>DATE(2010,5,2) + TIME(10,2,25)</f>
        <v>40300.418344907404</v>
      </c>
      <c r="C78">
        <v>90</v>
      </c>
      <c r="D78">
        <v>77.125221252000003</v>
      </c>
      <c r="E78">
        <v>60</v>
      </c>
      <c r="F78">
        <v>14.993889809000001</v>
      </c>
      <c r="G78">
        <v>1411.5395507999999</v>
      </c>
      <c r="H78">
        <v>1396.9279785000001</v>
      </c>
      <c r="I78">
        <v>1250.3566894999999</v>
      </c>
      <c r="J78">
        <v>1210.9157714999999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1.442021</v>
      </c>
      <c r="B79" s="1">
        <f>DATE(2010,5,2) + TIME(10,36,30)</f>
        <v>40300.442013888889</v>
      </c>
      <c r="C79">
        <v>90</v>
      </c>
      <c r="D79">
        <v>77.524566649999997</v>
      </c>
      <c r="E79">
        <v>60</v>
      </c>
      <c r="F79">
        <v>14.993907928</v>
      </c>
      <c r="G79">
        <v>1411.4232178</v>
      </c>
      <c r="H79">
        <v>1396.8630370999999</v>
      </c>
      <c r="I79">
        <v>1250.3571777</v>
      </c>
      <c r="J79">
        <v>1210.9161377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1.4656899999999999</v>
      </c>
      <c r="B80" s="1">
        <f>DATE(2010,5,2) + TIME(11,10,35)</f>
        <v>40300.465682870374</v>
      </c>
      <c r="C80">
        <v>90</v>
      </c>
      <c r="D80">
        <v>77.911941528</v>
      </c>
      <c r="E80">
        <v>60</v>
      </c>
      <c r="F80">
        <v>14.993925095</v>
      </c>
      <c r="G80">
        <v>1411.3095702999999</v>
      </c>
      <c r="H80">
        <v>1396.7987060999999</v>
      </c>
      <c r="I80">
        <v>1250.3577881000001</v>
      </c>
      <c r="J80">
        <v>1210.916626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1.489358</v>
      </c>
      <c r="B81" s="1">
        <f>DATE(2010,5,2) + TIME(11,44,40)</f>
        <v>40300.489351851851</v>
      </c>
      <c r="C81">
        <v>90</v>
      </c>
      <c r="D81">
        <v>78.287666321000003</v>
      </c>
      <c r="E81">
        <v>60</v>
      </c>
      <c r="F81">
        <v>14.993942261000001</v>
      </c>
      <c r="G81">
        <v>1411.1986084</v>
      </c>
      <c r="H81">
        <v>1396.7349853999999</v>
      </c>
      <c r="I81">
        <v>1250.3582764</v>
      </c>
      <c r="J81">
        <v>1210.9171143000001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1.5130269999999999</v>
      </c>
      <c r="B82" s="1">
        <f>DATE(2010,5,2) + TIME(12,18,45)</f>
        <v>40300.513020833336</v>
      </c>
      <c r="C82">
        <v>90</v>
      </c>
      <c r="D82">
        <v>78.652076721</v>
      </c>
      <c r="E82">
        <v>60</v>
      </c>
      <c r="F82">
        <v>14.993959427</v>
      </c>
      <c r="G82">
        <v>1411.0900879000001</v>
      </c>
      <c r="H82">
        <v>1396.6717529</v>
      </c>
      <c r="I82">
        <v>1250.3587646000001</v>
      </c>
      <c r="J82">
        <v>1210.9174805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1.5366949999999999</v>
      </c>
      <c r="B83" s="1">
        <f>DATE(2010,5,2) + TIME(12,52,50)</f>
        <v>40300.536689814813</v>
      </c>
      <c r="C83">
        <v>90</v>
      </c>
      <c r="D83">
        <v>79.005470275999997</v>
      </c>
      <c r="E83">
        <v>60</v>
      </c>
      <c r="F83">
        <v>14.993976592999999</v>
      </c>
      <c r="G83">
        <v>1410.9840088000001</v>
      </c>
      <c r="H83">
        <v>1396.6092529</v>
      </c>
      <c r="I83">
        <v>1250.359375</v>
      </c>
      <c r="J83">
        <v>1210.9179687999999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1.5840320000000001</v>
      </c>
      <c r="B84" s="1">
        <f>DATE(2010,5,2) + TIME(14,1,0)</f>
        <v>40300.584027777775</v>
      </c>
      <c r="C84">
        <v>90</v>
      </c>
      <c r="D84">
        <v>79.669662475999999</v>
      </c>
      <c r="E84">
        <v>60</v>
      </c>
      <c r="F84">
        <v>14.994009018</v>
      </c>
      <c r="G84">
        <v>1410.8033447</v>
      </c>
      <c r="H84">
        <v>1396.5292969</v>
      </c>
      <c r="I84">
        <v>1250.3601074000001</v>
      </c>
      <c r="J84">
        <v>1210.9185791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1.631462</v>
      </c>
      <c r="B85" s="1">
        <f>DATE(2010,5,2) + TIME(15,9,18)</f>
        <v>40300.631458333337</v>
      </c>
      <c r="C85">
        <v>90</v>
      </c>
      <c r="D85">
        <v>80.295761107999994</v>
      </c>
      <c r="E85">
        <v>60</v>
      </c>
      <c r="F85">
        <v>14.994040489</v>
      </c>
      <c r="G85">
        <v>1410.6083983999999</v>
      </c>
      <c r="H85">
        <v>1396.4075928</v>
      </c>
      <c r="I85">
        <v>1250.3610839999999</v>
      </c>
      <c r="J85">
        <v>1210.9194336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1.679163</v>
      </c>
      <c r="B86" s="1">
        <f>DATE(2010,5,2) + TIME(16,17,59)</f>
        <v>40300.679155092592</v>
      </c>
      <c r="C86">
        <v>90</v>
      </c>
      <c r="D86">
        <v>80.887763977000006</v>
      </c>
      <c r="E86">
        <v>60</v>
      </c>
      <c r="F86">
        <v>14.994071007000001</v>
      </c>
      <c r="G86">
        <v>1410.4195557</v>
      </c>
      <c r="H86">
        <v>1396.2869873</v>
      </c>
      <c r="I86">
        <v>1250.3620605000001</v>
      </c>
      <c r="J86">
        <v>1210.9204102000001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1.7271860000000001</v>
      </c>
      <c r="B87" s="1">
        <f>DATE(2010,5,2) + TIME(17,27,8)</f>
        <v>40300.727175925924</v>
      </c>
      <c r="C87">
        <v>90</v>
      </c>
      <c r="D87">
        <v>81.447799683</v>
      </c>
      <c r="E87">
        <v>60</v>
      </c>
      <c r="F87">
        <v>14.994100571000001</v>
      </c>
      <c r="G87">
        <v>1410.2366943</v>
      </c>
      <c r="H87">
        <v>1396.1674805</v>
      </c>
      <c r="I87">
        <v>1250.3631591999999</v>
      </c>
      <c r="J87">
        <v>1210.9212646000001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1.7755879999999999</v>
      </c>
      <c r="B88" s="1">
        <f>DATE(2010,5,2) + TIME(18,36,50)</f>
        <v>40300.775578703702</v>
      </c>
      <c r="C88">
        <v>90</v>
      </c>
      <c r="D88">
        <v>81.977813721000004</v>
      </c>
      <c r="E88">
        <v>60</v>
      </c>
      <c r="F88">
        <v>14.994130135000001</v>
      </c>
      <c r="G88">
        <v>1410.0589600000001</v>
      </c>
      <c r="H88">
        <v>1396.0487060999999</v>
      </c>
      <c r="I88">
        <v>1250.3643798999999</v>
      </c>
      <c r="J88">
        <v>1210.9222411999999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1.824422</v>
      </c>
      <c r="B89" s="1">
        <f>DATE(2010,5,2) + TIME(19,47,10)</f>
        <v>40300.824421296296</v>
      </c>
      <c r="C89">
        <v>90</v>
      </c>
      <c r="D89">
        <v>82.479515075999998</v>
      </c>
      <c r="E89">
        <v>60</v>
      </c>
      <c r="F89">
        <v>14.994158745</v>
      </c>
      <c r="G89">
        <v>1409.8861084</v>
      </c>
      <c r="H89">
        <v>1395.9305420000001</v>
      </c>
      <c r="I89">
        <v>1250.3654785000001</v>
      </c>
      <c r="J89">
        <v>1210.9232178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1.873739</v>
      </c>
      <c r="B90" s="1">
        <f>DATE(2010,5,2) + TIME(20,58,11)</f>
        <v>40300.873738425929</v>
      </c>
      <c r="C90">
        <v>90</v>
      </c>
      <c r="D90">
        <v>82.954475403000004</v>
      </c>
      <c r="E90">
        <v>60</v>
      </c>
      <c r="F90">
        <v>14.994187354999999</v>
      </c>
      <c r="G90">
        <v>1409.7174072</v>
      </c>
      <c r="H90">
        <v>1395.8128661999999</v>
      </c>
      <c r="I90">
        <v>1250.3665771000001</v>
      </c>
      <c r="J90">
        <v>1210.9241943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1.923594</v>
      </c>
      <c r="B91" s="1">
        <f>DATE(2010,5,2) + TIME(22,9,58)</f>
        <v>40300.923587962963</v>
      </c>
      <c r="C91">
        <v>90</v>
      </c>
      <c r="D91">
        <v>83.404159546000002</v>
      </c>
      <c r="E91">
        <v>60</v>
      </c>
      <c r="F91">
        <v>14.994215012</v>
      </c>
      <c r="G91">
        <v>1409.5526123</v>
      </c>
      <c r="H91">
        <v>1395.6955565999999</v>
      </c>
      <c r="I91">
        <v>1250.3676757999999</v>
      </c>
      <c r="J91">
        <v>1210.9251709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1.9740409999999999</v>
      </c>
      <c r="B92" s="1">
        <f>DATE(2010,5,2) + TIME(23,22,37)</f>
        <v>40300.974039351851</v>
      </c>
      <c r="C92">
        <v>90</v>
      </c>
      <c r="D92">
        <v>83.829895019999995</v>
      </c>
      <c r="E92">
        <v>60</v>
      </c>
      <c r="F92">
        <v>14.994241713999999</v>
      </c>
      <c r="G92">
        <v>1409.3912353999999</v>
      </c>
      <c r="H92">
        <v>1395.5783690999999</v>
      </c>
      <c r="I92">
        <v>1250.3687743999999</v>
      </c>
      <c r="J92">
        <v>1210.9261475000001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2.0251350000000001</v>
      </c>
      <c r="B93" s="1">
        <f>DATE(2010,5,3) + TIME(0,36,11)</f>
        <v>40301.025127314817</v>
      </c>
      <c r="C93">
        <v>90</v>
      </c>
      <c r="D93">
        <v>84.232925414999997</v>
      </c>
      <c r="E93">
        <v>60</v>
      </c>
      <c r="F93">
        <v>14.994269371</v>
      </c>
      <c r="G93">
        <v>1409.2327881000001</v>
      </c>
      <c r="H93">
        <v>1395.4611815999999</v>
      </c>
      <c r="I93">
        <v>1250.3698730000001</v>
      </c>
      <c r="J93">
        <v>1210.9272461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2.0769350000000002</v>
      </c>
      <c r="B94" s="1">
        <f>DATE(2010,5,3) + TIME(1,50,47)</f>
        <v>40301.076932870368</v>
      </c>
      <c r="C94">
        <v>90</v>
      </c>
      <c r="D94">
        <v>84.614402771000002</v>
      </c>
      <c r="E94">
        <v>60</v>
      </c>
      <c r="F94">
        <v>14.99429512</v>
      </c>
      <c r="G94">
        <v>1409.0771483999999</v>
      </c>
      <c r="H94">
        <v>1395.3438721</v>
      </c>
      <c r="I94">
        <v>1250.3709716999999</v>
      </c>
      <c r="J94">
        <v>1210.9282227000001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2.129499</v>
      </c>
      <c r="B95" s="1">
        <f>DATE(2010,5,3) + TIME(3,6,28)</f>
        <v>40301.129490740743</v>
      </c>
      <c r="C95">
        <v>90</v>
      </c>
      <c r="D95">
        <v>84.975395203000005</v>
      </c>
      <c r="E95">
        <v>60</v>
      </c>
      <c r="F95">
        <v>14.994321823</v>
      </c>
      <c r="G95">
        <v>1408.9238281</v>
      </c>
      <c r="H95">
        <v>1395.2263184000001</v>
      </c>
      <c r="I95">
        <v>1250.3721923999999</v>
      </c>
      <c r="J95">
        <v>1210.9291992000001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2.1829019999999999</v>
      </c>
      <c r="B96" s="1">
        <f>DATE(2010,5,3) + TIME(4,23,22)</f>
        <v>40301.182893518519</v>
      </c>
      <c r="C96">
        <v>90</v>
      </c>
      <c r="D96">
        <v>85.316719054999993</v>
      </c>
      <c r="E96">
        <v>60</v>
      </c>
      <c r="F96">
        <v>14.994347572000001</v>
      </c>
      <c r="G96">
        <v>1408.7725829999999</v>
      </c>
      <c r="H96">
        <v>1395.1083983999999</v>
      </c>
      <c r="I96">
        <v>1250.3732910000001</v>
      </c>
      <c r="J96">
        <v>1210.9302978999999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2.2372100000000001</v>
      </c>
      <c r="B97" s="1">
        <f>DATE(2010,5,3) + TIME(5,41,34)</f>
        <v>40301.237199074072</v>
      </c>
      <c r="C97">
        <v>90</v>
      </c>
      <c r="D97">
        <v>85.639541625999996</v>
      </c>
      <c r="E97">
        <v>60</v>
      </c>
      <c r="F97">
        <v>14.994373322</v>
      </c>
      <c r="G97">
        <v>1408.6230469</v>
      </c>
      <c r="H97">
        <v>1394.9899902</v>
      </c>
      <c r="I97">
        <v>1250.3743896000001</v>
      </c>
      <c r="J97">
        <v>1210.9312743999999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2.292481</v>
      </c>
      <c r="B98" s="1">
        <f>DATE(2010,5,3) + TIME(7,1,10)</f>
        <v>40301.29247685185</v>
      </c>
      <c r="C98">
        <v>90</v>
      </c>
      <c r="D98">
        <v>85.944664001000007</v>
      </c>
      <c r="E98">
        <v>60</v>
      </c>
      <c r="F98">
        <v>14.994398116999999</v>
      </c>
      <c r="G98">
        <v>1408.4750977000001</v>
      </c>
      <c r="H98">
        <v>1394.8709716999999</v>
      </c>
      <c r="I98">
        <v>1250.3756103999999</v>
      </c>
      <c r="J98">
        <v>1210.9323730000001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2.348786</v>
      </c>
      <c r="B99" s="1">
        <f>DATE(2010,5,3) + TIME(8,22,15)</f>
        <v>40301.34878472222</v>
      </c>
      <c r="C99">
        <v>90</v>
      </c>
      <c r="D99">
        <v>86.232910156000003</v>
      </c>
      <c r="E99">
        <v>60</v>
      </c>
      <c r="F99">
        <v>14.994422912999999</v>
      </c>
      <c r="G99">
        <v>1408.3284911999999</v>
      </c>
      <c r="H99">
        <v>1394.7512207</v>
      </c>
      <c r="I99">
        <v>1250.3767089999999</v>
      </c>
      <c r="J99">
        <v>1210.9334716999999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2.4062039999999998</v>
      </c>
      <c r="B100" s="1">
        <f>DATE(2010,5,3) + TIME(9,44,56)</f>
        <v>40301.4062037037</v>
      </c>
      <c r="C100">
        <v>90</v>
      </c>
      <c r="D100">
        <v>86.505050659000005</v>
      </c>
      <c r="E100">
        <v>60</v>
      </c>
      <c r="F100">
        <v>14.994447707999999</v>
      </c>
      <c r="G100">
        <v>1408.1829834</v>
      </c>
      <c r="H100">
        <v>1394.6307373</v>
      </c>
      <c r="I100">
        <v>1250.3779297000001</v>
      </c>
      <c r="J100">
        <v>1210.9344481999999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2.464817</v>
      </c>
      <c r="B101" s="1">
        <f>DATE(2010,5,3) + TIME(11,9,20)</f>
        <v>40301.464814814812</v>
      </c>
      <c r="C101">
        <v>90</v>
      </c>
      <c r="D101">
        <v>86.761825561999999</v>
      </c>
      <c r="E101">
        <v>60</v>
      </c>
      <c r="F101">
        <v>14.994472504000001</v>
      </c>
      <c r="G101">
        <v>1408.0383300999999</v>
      </c>
      <c r="H101">
        <v>1394.5092772999999</v>
      </c>
      <c r="I101">
        <v>1250.3791504000001</v>
      </c>
      <c r="J101">
        <v>1210.9355469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2.5247109999999999</v>
      </c>
      <c r="B102" s="1">
        <f>DATE(2010,5,3) + TIME(12,35,35)</f>
        <v>40301.524710648147</v>
      </c>
      <c r="C102">
        <v>90</v>
      </c>
      <c r="D102">
        <v>87.00390625</v>
      </c>
      <c r="E102">
        <v>60</v>
      </c>
      <c r="F102">
        <v>14.994497299000001</v>
      </c>
      <c r="G102">
        <v>1407.8942870999999</v>
      </c>
      <c r="H102">
        <v>1394.3868408000001</v>
      </c>
      <c r="I102">
        <v>1250.380249</v>
      </c>
      <c r="J102">
        <v>1210.9366454999999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2.5859830000000001</v>
      </c>
      <c r="B103" s="1">
        <f>DATE(2010,5,3) + TIME(14,3,48)</f>
        <v>40301.585972222223</v>
      </c>
      <c r="C103">
        <v>90</v>
      </c>
      <c r="D103">
        <v>87.231948853000006</v>
      </c>
      <c r="E103">
        <v>60</v>
      </c>
      <c r="F103">
        <v>14.994521141</v>
      </c>
      <c r="G103">
        <v>1407.7508545000001</v>
      </c>
      <c r="H103">
        <v>1394.2633057</v>
      </c>
      <c r="I103">
        <v>1250.3814697</v>
      </c>
      <c r="J103">
        <v>1210.9377440999999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2.6487319999999999</v>
      </c>
      <c r="B104" s="1">
        <f>DATE(2010,5,3) + TIME(15,34,10)</f>
        <v>40301.648726851854</v>
      </c>
      <c r="C104">
        <v>90</v>
      </c>
      <c r="D104">
        <v>87.446571349999999</v>
      </c>
      <c r="E104">
        <v>60</v>
      </c>
      <c r="F104">
        <v>14.994545937</v>
      </c>
      <c r="G104">
        <v>1407.6075439000001</v>
      </c>
      <c r="H104">
        <v>1394.1385498</v>
      </c>
      <c r="I104">
        <v>1250.3826904</v>
      </c>
      <c r="J104">
        <v>1210.9389647999999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2.7130700000000001</v>
      </c>
      <c r="B105" s="1">
        <f>DATE(2010,5,3) + TIME(17,6,49)</f>
        <v>40301.713067129633</v>
      </c>
      <c r="C105">
        <v>90</v>
      </c>
      <c r="D105">
        <v>87.648361206000004</v>
      </c>
      <c r="E105">
        <v>60</v>
      </c>
      <c r="F105">
        <v>14.994569778000001</v>
      </c>
      <c r="G105">
        <v>1407.4642334</v>
      </c>
      <c r="H105">
        <v>1394.0124512</v>
      </c>
      <c r="I105">
        <v>1250.3840332</v>
      </c>
      <c r="J105">
        <v>1210.9400635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2.7791269999999999</v>
      </c>
      <c r="B106" s="1">
        <f>DATE(2010,5,3) + TIME(18,41,56)</f>
        <v>40301.779120370367</v>
      </c>
      <c r="C106">
        <v>90</v>
      </c>
      <c r="D106">
        <v>87.837890625</v>
      </c>
      <c r="E106">
        <v>60</v>
      </c>
      <c r="F106">
        <v>14.994594574000001</v>
      </c>
      <c r="G106">
        <v>1407.3208007999999</v>
      </c>
      <c r="H106">
        <v>1393.8848877</v>
      </c>
      <c r="I106">
        <v>1250.3852539</v>
      </c>
      <c r="J106">
        <v>1210.9412841999999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2.8470580000000001</v>
      </c>
      <c r="B107" s="1">
        <f>DATE(2010,5,3) + TIME(20,19,45)</f>
        <v>40301.847048611111</v>
      </c>
      <c r="C107">
        <v>90</v>
      </c>
      <c r="D107">
        <v>88.015754700000002</v>
      </c>
      <c r="E107">
        <v>60</v>
      </c>
      <c r="F107">
        <v>14.994618416</v>
      </c>
      <c r="G107">
        <v>1407.1770019999999</v>
      </c>
      <c r="H107">
        <v>1393.7556152</v>
      </c>
      <c r="I107">
        <v>1250.3864745999999</v>
      </c>
      <c r="J107">
        <v>1210.9425048999999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2.9169740000000002</v>
      </c>
      <c r="B108" s="1">
        <f>DATE(2010,5,3) + TIME(22,0,26)</f>
        <v>40301.916967592595</v>
      </c>
      <c r="C108">
        <v>90</v>
      </c>
      <c r="D108">
        <v>88.182373046999999</v>
      </c>
      <c r="E108">
        <v>60</v>
      </c>
      <c r="F108">
        <v>14.994643211</v>
      </c>
      <c r="G108">
        <v>1407.0325928</v>
      </c>
      <c r="H108">
        <v>1393.6246338000001</v>
      </c>
      <c r="I108">
        <v>1250.3878173999999</v>
      </c>
      <c r="J108">
        <v>1210.9437256000001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2.9890330000000001</v>
      </c>
      <c r="B109" s="1">
        <f>DATE(2010,5,3) + TIME(23,44,12)</f>
        <v>40301.989027777781</v>
      </c>
      <c r="C109">
        <v>90</v>
      </c>
      <c r="D109">
        <v>88.338218689000001</v>
      </c>
      <c r="E109">
        <v>60</v>
      </c>
      <c r="F109">
        <v>14.994667053000001</v>
      </c>
      <c r="G109">
        <v>1406.8874512</v>
      </c>
      <c r="H109">
        <v>1393.4916992000001</v>
      </c>
      <c r="I109">
        <v>1250.3891602000001</v>
      </c>
      <c r="J109">
        <v>1210.9449463000001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3.063062</v>
      </c>
      <c r="B110" s="1">
        <f>DATE(2010,5,4) + TIME(1,30,48)</f>
        <v>40302.063055555554</v>
      </c>
      <c r="C110">
        <v>90</v>
      </c>
      <c r="D110">
        <v>88.483146667</v>
      </c>
      <c r="E110">
        <v>60</v>
      </c>
      <c r="F110">
        <v>14.994691849000001</v>
      </c>
      <c r="G110">
        <v>1406.7414550999999</v>
      </c>
      <c r="H110">
        <v>1393.3568115</v>
      </c>
      <c r="I110">
        <v>1250.3905029</v>
      </c>
      <c r="J110">
        <v>1210.9462891000001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3.1391040000000001</v>
      </c>
      <c r="B111" s="1">
        <f>DATE(2010,5,4) + TIME(3,20,18)</f>
        <v>40302.139097222222</v>
      </c>
      <c r="C111">
        <v>90</v>
      </c>
      <c r="D111">
        <v>88.617553710999999</v>
      </c>
      <c r="E111">
        <v>60</v>
      </c>
      <c r="F111">
        <v>14.994715691</v>
      </c>
      <c r="G111">
        <v>1406.5948486</v>
      </c>
      <c r="H111">
        <v>1393.2204589999999</v>
      </c>
      <c r="I111">
        <v>1250.3918457</v>
      </c>
      <c r="J111">
        <v>1210.9475098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3.2173090000000002</v>
      </c>
      <c r="B112" s="1">
        <f>DATE(2010,5,4) + TIME(5,12,55)</f>
        <v>40302.217303240737</v>
      </c>
      <c r="C112">
        <v>90</v>
      </c>
      <c r="D112">
        <v>88.742012024000005</v>
      </c>
      <c r="E112">
        <v>60</v>
      </c>
      <c r="F112">
        <v>14.994740486</v>
      </c>
      <c r="G112">
        <v>1406.447876</v>
      </c>
      <c r="H112">
        <v>1393.0825195</v>
      </c>
      <c r="I112">
        <v>1250.3933105000001</v>
      </c>
      <c r="J112">
        <v>1210.9488524999999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3.2978200000000002</v>
      </c>
      <c r="B113" s="1">
        <f>DATE(2010,5,4) + TIME(7,8,51)</f>
        <v>40302.297812500001</v>
      </c>
      <c r="C113">
        <v>90</v>
      </c>
      <c r="D113">
        <v>88.857025145999998</v>
      </c>
      <c r="E113">
        <v>60</v>
      </c>
      <c r="F113">
        <v>14.994764328</v>
      </c>
      <c r="G113">
        <v>1406.3000488</v>
      </c>
      <c r="H113">
        <v>1392.9428711</v>
      </c>
      <c r="I113">
        <v>1250.3947754000001</v>
      </c>
      <c r="J113">
        <v>1210.9501952999999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3.3808029999999998</v>
      </c>
      <c r="B114" s="1">
        <f>DATE(2010,5,4) + TIME(9,8,21)</f>
        <v>40302.380798611113</v>
      </c>
      <c r="C114">
        <v>90</v>
      </c>
      <c r="D114">
        <v>88.963104247999993</v>
      </c>
      <c r="E114">
        <v>60</v>
      </c>
      <c r="F114">
        <v>14.994789124</v>
      </c>
      <c r="G114">
        <v>1406.1513672000001</v>
      </c>
      <c r="H114">
        <v>1392.8016356999999</v>
      </c>
      <c r="I114">
        <v>1250.3962402</v>
      </c>
      <c r="J114">
        <v>1210.9516602000001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3.4662980000000001</v>
      </c>
      <c r="B115" s="1">
        <f>DATE(2010,5,4) + TIME(11,11,28)</f>
        <v>40302.466296296298</v>
      </c>
      <c r="C115">
        <v>90</v>
      </c>
      <c r="D115">
        <v>89.060592650999993</v>
      </c>
      <c r="E115">
        <v>60</v>
      </c>
      <c r="F115">
        <v>14.994813919</v>
      </c>
      <c r="G115">
        <v>1406.0017089999999</v>
      </c>
      <c r="H115">
        <v>1392.6584473</v>
      </c>
      <c r="I115">
        <v>1250.3977050999999</v>
      </c>
      <c r="J115">
        <v>1210.9530029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3.5545070000000001</v>
      </c>
      <c r="B116" s="1">
        <f>DATE(2010,5,4) + TIME(13,18,29)</f>
        <v>40302.554502314815</v>
      </c>
      <c r="C116">
        <v>90</v>
      </c>
      <c r="D116">
        <v>89.150016785000005</v>
      </c>
      <c r="E116">
        <v>60</v>
      </c>
      <c r="F116">
        <v>14.994837760999999</v>
      </c>
      <c r="G116">
        <v>1405.8510742000001</v>
      </c>
      <c r="H116">
        <v>1392.5135498</v>
      </c>
      <c r="I116">
        <v>1250.3991699000001</v>
      </c>
      <c r="J116">
        <v>1210.9544678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3.6456400000000002</v>
      </c>
      <c r="B117" s="1">
        <f>DATE(2010,5,4) + TIME(15,29,43)</f>
        <v>40302.645636574074</v>
      </c>
      <c r="C117">
        <v>90</v>
      </c>
      <c r="D117">
        <v>89.231864928999997</v>
      </c>
      <c r="E117">
        <v>60</v>
      </c>
      <c r="F117">
        <v>14.994862555999999</v>
      </c>
      <c r="G117">
        <v>1405.6992187999999</v>
      </c>
      <c r="H117">
        <v>1392.3668213000001</v>
      </c>
      <c r="I117">
        <v>1250.4007568</v>
      </c>
      <c r="J117">
        <v>1210.9559326000001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3.7399360000000001</v>
      </c>
      <c r="B118" s="1">
        <f>DATE(2010,5,4) + TIME(17,45,30)</f>
        <v>40302.739930555559</v>
      </c>
      <c r="C118">
        <v>90</v>
      </c>
      <c r="D118">
        <v>89.306594849000007</v>
      </c>
      <c r="E118">
        <v>60</v>
      </c>
      <c r="F118">
        <v>14.994888306</v>
      </c>
      <c r="G118">
        <v>1405.5458983999999</v>
      </c>
      <c r="H118">
        <v>1392.2180175999999</v>
      </c>
      <c r="I118">
        <v>1250.4023437999999</v>
      </c>
      <c r="J118">
        <v>1210.9575195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3.8365100000000001</v>
      </c>
      <c r="B119" s="1">
        <f>DATE(2010,5,4) + TIME(20,4,34)</f>
        <v>40302.836504629631</v>
      </c>
      <c r="C119">
        <v>90</v>
      </c>
      <c r="D119">
        <v>89.373954772999994</v>
      </c>
      <c r="E119">
        <v>60</v>
      </c>
      <c r="F119">
        <v>14.994913101</v>
      </c>
      <c r="G119">
        <v>1405.3911132999999</v>
      </c>
      <c r="H119">
        <v>1392.0670166</v>
      </c>
      <c r="I119">
        <v>1250.4039307</v>
      </c>
      <c r="J119">
        <v>1210.9589844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3.9331969999999998</v>
      </c>
      <c r="B120" s="1">
        <f>DATE(2010,5,4) + TIME(22,23,48)</f>
        <v>40302.933194444442</v>
      </c>
      <c r="C120">
        <v>90</v>
      </c>
      <c r="D120">
        <v>89.433303832999997</v>
      </c>
      <c r="E120">
        <v>60</v>
      </c>
      <c r="F120">
        <v>14.994936943000001</v>
      </c>
      <c r="G120">
        <v>1405.2365723</v>
      </c>
      <c r="H120">
        <v>1391.9154053</v>
      </c>
      <c r="I120">
        <v>1250.4056396000001</v>
      </c>
      <c r="J120">
        <v>1210.9605713000001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4.0301400000000003</v>
      </c>
      <c r="B121" s="1">
        <f>DATE(2010,5,5) + TIME(0,43,24)</f>
        <v>40303.030138888891</v>
      </c>
      <c r="C121">
        <v>90</v>
      </c>
      <c r="D121">
        <v>89.485671996999997</v>
      </c>
      <c r="E121">
        <v>60</v>
      </c>
      <c r="F121">
        <v>14.994960785</v>
      </c>
      <c r="G121">
        <v>1405.0852050999999</v>
      </c>
      <c r="H121">
        <v>1391.7664795000001</v>
      </c>
      <c r="I121">
        <v>1250.4072266000001</v>
      </c>
      <c r="J121">
        <v>1210.9621582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4.1274649999999999</v>
      </c>
      <c r="B122" s="1">
        <f>DATE(2010,5,5) + TIME(3,3,32)</f>
        <v>40303.127453703702</v>
      </c>
      <c r="C122">
        <v>90</v>
      </c>
      <c r="D122">
        <v>89.531936646000005</v>
      </c>
      <c r="E122">
        <v>60</v>
      </c>
      <c r="F122">
        <v>14.994984626999999</v>
      </c>
      <c r="G122">
        <v>1404.9367675999999</v>
      </c>
      <c r="H122">
        <v>1391.6201172000001</v>
      </c>
      <c r="I122">
        <v>1250.4088135</v>
      </c>
      <c r="J122">
        <v>1210.9637451000001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4.2252989999999997</v>
      </c>
      <c r="B123" s="1">
        <f>DATE(2010,5,5) + TIME(5,24,25)</f>
        <v>40303.225289351853</v>
      </c>
      <c r="C123">
        <v>90</v>
      </c>
      <c r="D123">
        <v>89.572830199999999</v>
      </c>
      <c r="E123">
        <v>60</v>
      </c>
      <c r="F123">
        <v>14.995007514999999</v>
      </c>
      <c r="G123">
        <v>1404.7910156</v>
      </c>
      <c r="H123">
        <v>1391.4760742000001</v>
      </c>
      <c r="I123">
        <v>1250.4104004000001</v>
      </c>
      <c r="J123">
        <v>1210.9652100000001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4.3237769999999998</v>
      </c>
      <c r="B124" s="1">
        <f>DATE(2010,5,5) + TIME(7,46,14)</f>
        <v>40303.323773148149</v>
      </c>
      <c r="C124">
        <v>90</v>
      </c>
      <c r="D124">
        <v>89.609016417999996</v>
      </c>
      <c r="E124">
        <v>60</v>
      </c>
      <c r="F124">
        <v>14.995030402999999</v>
      </c>
      <c r="G124">
        <v>1404.6475829999999</v>
      </c>
      <c r="H124">
        <v>1391.3339844</v>
      </c>
      <c r="I124">
        <v>1250.4121094</v>
      </c>
      <c r="J124">
        <v>1210.9667969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4.4230219999999996</v>
      </c>
      <c r="B125" s="1">
        <f>DATE(2010,5,5) + TIME(10,9,9)</f>
        <v>40303.423020833332</v>
      </c>
      <c r="C125">
        <v>90</v>
      </c>
      <c r="D125">
        <v>89.641059874999996</v>
      </c>
      <c r="E125">
        <v>60</v>
      </c>
      <c r="F125">
        <v>14.995052338000001</v>
      </c>
      <c r="G125">
        <v>1404.5062256000001</v>
      </c>
      <c r="H125">
        <v>1391.1937256000001</v>
      </c>
      <c r="I125">
        <v>1250.4136963000001</v>
      </c>
      <c r="J125">
        <v>1210.9683838000001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4.5231560000000002</v>
      </c>
      <c r="B126" s="1">
        <f>DATE(2010,5,5) + TIME(12,33,20)</f>
        <v>40303.523148148146</v>
      </c>
      <c r="C126">
        <v>90</v>
      </c>
      <c r="D126">
        <v>89.669441223000007</v>
      </c>
      <c r="E126">
        <v>60</v>
      </c>
      <c r="F126">
        <v>14.995075226000001</v>
      </c>
      <c r="G126">
        <v>1404.3666992000001</v>
      </c>
      <c r="H126">
        <v>1391.0550536999999</v>
      </c>
      <c r="I126">
        <v>1250.4152832</v>
      </c>
      <c r="J126">
        <v>1210.9699707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4.6240240000000004</v>
      </c>
      <c r="B127" s="1">
        <f>DATE(2010,5,5) + TIME(14,58,35)</f>
        <v>40303.624016203707</v>
      </c>
      <c r="C127">
        <v>90</v>
      </c>
      <c r="D127">
        <v>89.694534301999994</v>
      </c>
      <c r="E127">
        <v>60</v>
      </c>
      <c r="F127">
        <v>14.99509716</v>
      </c>
      <c r="G127">
        <v>1404.2287598</v>
      </c>
      <c r="H127">
        <v>1390.9178466999999</v>
      </c>
      <c r="I127">
        <v>1250.4168701000001</v>
      </c>
      <c r="J127">
        <v>1210.9714355000001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4.7256320000000001</v>
      </c>
      <c r="B128" s="1">
        <f>DATE(2010,5,5) + TIME(17,24,54)</f>
        <v>40303.725624999999</v>
      </c>
      <c r="C128">
        <v>90</v>
      </c>
      <c r="D128">
        <v>89.716705321999996</v>
      </c>
      <c r="E128">
        <v>60</v>
      </c>
      <c r="F128">
        <v>14.995118141000001</v>
      </c>
      <c r="G128">
        <v>1404.0926514</v>
      </c>
      <c r="H128">
        <v>1390.7822266000001</v>
      </c>
      <c r="I128">
        <v>1250.4185791</v>
      </c>
      <c r="J128">
        <v>1210.9730225000001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4.8280890000000003</v>
      </c>
      <c r="B129" s="1">
        <f>DATE(2010,5,5) + TIME(19,52,26)</f>
        <v>40303.8280787037</v>
      </c>
      <c r="C129">
        <v>90</v>
      </c>
      <c r="D129">
        <v>89.736312866000006</v>
      </c>
      <c r="E129">
        <v>60</v>
      </c>
      <c r="F129">
        <v>14.995140076</v>
      </c>
      <c r="G129">
        <v>1403.9581298999999</v>
      </c>
      <c r="H129">
        <v>1390.6480713000001</v>
      </c>
      <c r="I129">
        <v>1250.4201660000001</v>
      </c>
      <c r="J129">
        <v>1210.9746094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4.9315030000000002</v>
      </c>
      <c r="B130" s="1">
        <f>DATE(2010,5,5) + TIME(22,21,21)</f>
        <v>40303.931493055556</v>
      </c>
      <c r="C130">
        <v>90</v>
      </c>
      <c r="D130">
        <v>89.753654479999994</v>
      </c>
      <c r="E130">
        <v>60</v>
      </c>
      <c r="F130">
        <v>14.995161057000001</v>
      </c>
      <c r="G130">
        <v>1403.8253173999999</v>
      </c>
      <c r="H130">
        <v>1390.5155029</v>
      </c>
      <c r="I130">
        <v>1250.4217529</v>
      </c>
      <c r="J130">
        <v>1210.9761963000001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5.0359870000000004</v>
      </c>
      <c r="B131" s="1">
        <f>DATE(2010,5,6) + TIME(0,51,49)</f>
        <v>40304.035983796297</v>
      </c>
      <c r="C131">
        <v>90</v>
      </c>
      <c r="D131">
        <v>89.768997192</v>
      </c>
      <c r="E131">
        <v>60</v>
      </c>
      <c r="F131">
        <v>14.995182036999999</v>
      </c>
      <c r="G131">
        <v>1403.6937256000001</v>
      </c>
      <c r="H131">
        <v>1390.3840332</v>
      </c>
      <c r="I131">
        <v>1250.4234618999999</v>
      </c>
      <c r="J131">
        <v>1210.9777832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5.1416529999999998</v>
      </c>
      <c r="B132" s="1">
        <f>DATE(2010,5,6) + TIME(3,23,58)</f>
        <v>40304.141643518517</v>
      </c>
      <c r="C132">
        <v>90</v>
      </c>
      <c r="D132">
        <v>89.782577515</v>
      </c>
      <c r="E132">
        <v>60</v>
      </c>
      <c r="F132">
        <v>14.995203018</v>
      </c>
      <c r="G132">
        <v>1403.5633545000001</v>
      </c>
      <c r="H132">
        <v>1390.2537841999999</v>
      </c>
      <c r="I132">
        <v>1250.4251709</v>
      </c>
      <c r="J132">
        <v>1210.9793701000001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5.2486610000000002</v>
      </c>
      <c r="B133" s="1">
        <f>DATE(2010,5,6) + TIME(5,58,4)</f>
        <v>40304.248657407406</v>
      </c>
      <c r="C133">
        <v>90</v>
      </c>
      <c r="D133">
        <v>89.794609070000007</v>
      </c>
      <c r="E133">
        <v>60</v>
      </c>
      <c r="F133">
        <v>14.995223044999999</v>
      </c>
      <c r="G133">
        <v>1403.4339600000001</v>
      </c>
      <c r="H133">
        <v>1390.1245117000001</v>
      </c>
      <c r="I133">
        <v>1250.4267577999999</v>
      </c>
      <c r="J133">
        <v>1210.980957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5.3571010000000001</v>
      </c>
      <c r="B134" s="1">
        <f>DATE(2010,5,6) + TIME(8,34,13)</f>
        <v>40304.357094907406</v>
      </c>
      <c r="C134">
        <v>90</v>
      </c>
      <c r="D134">
        <v>89.805267334000007</v>
      </c>
      <c r="E134">
        <v>60</v>
      </c>
      <c r="F134">
        <v>14.995244026</v>
      </c>
      <c r="G134">
        <v>1403.3054199000001</v>
      </c>
      <c r="H134">
        <v>1389.9959716999999</v>
      </c>
      <c r="I134">
        <v>1250.4284668</v>
      </c>
      <c r="J134">
        <v>1210.9826660000001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5.4670940000000003</v>
      </c>
      <c r="B135" s="1">
        <f>DATE(2010,5,6) + TIME(11,12,36)</f>
        <v>40304.467083333337</v>
      </c>
      <c r="C135">
        <v>90</v>
      </c>
      <c r="D135">
        <v>89.814704895000006</v>
      </c>
      <c r="E135">
        <v>60</v>
      </c>
      <c r="F135">
        <v>14.995264053</v>
      </c>
      <c r="G135">
        <v>1403.1777344</v>
      </c>
      <c r="H135">
        <v>1389.8681641000001</v>
      </c>
      <c r="I135">
        <v>1250.4301757999999</v>
      </c>
      <c r="J135">
        <v>1210.9842529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5.5787740000000001</v>
      </c>
      <c r="B136" s="1">
        <f>DATE(2010,5,6) + TIME(13,53,26)</f>
        <v>40304.578773148147</v>
      </c>
      <c r="C136">
        <v>90</v>
      </c>
      <c r="D136">
        <v>89.823066710999996</v>
      </c>
      <c r="E136">
        <v>60</v>
      </c>
      <c r="F136">
        <v>14.995285034</v>
      </c>
      <c r="G136">
        <v>1403.0504149999999</v>
      </c>
      <c r="H136">
        <v>1389.7409668</v>
      </c>
      <c r="I136">
        <v>1250.4318848</v>
      </c>
      <c r="J136">
        <v>1210.9859618999999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5.6922819999999996</v>
      </c>
      <c r="B137" s="1">
        <f>DATE(2010,5,6) + TIME(16,36,53)</f>
        <v>40304.692280092589</v>
      </c>
      <c r="C137">
        <v>90</v>
      </c>
      <c r="D137">
        <v>89.830474854000002</v>
      </c>
      <c r="E137">
        <v>60</v>
      </c>
      <c r="F137">
        <v>14.995305061</v>
      </c>
      <c r="G137">
        <v>1402.9237060999999</v>
      </c>
      <c r="H137">
        <v>1389.6141356999999</v>
      </c>
      <c r="I137">
        <v>1250.4335937999999</v>
      </c>
      <c r="J137">
        <v>1210.9875488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5.8077680000000003</v>
      </c>
      <c r="B138" s="1">
        <f>DATE(2010,5,6) + TIME(19,23,11)</f>
        <v>40304.807766203703</v>
      </c>
      <c r="C138">
        <v>90</v>
      </c>
      <c r="D138">
        <v>89.837051392000006</v>
      </c>
      <c r="E138">
        <v>60</v>
      </c>
      <c r="F138">
        <v>14.995325089</v>
      </c>
      <c r="G138">
        <v>1402.7972411999999</v>
      </c>
      <c r="H138">
        <v>1389.4875488</v>
      </c>
      <c r="I138">
        <v>1250.4354248</v>
      </c>
      <c r="J138">
        <v>1210.9892577999999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5.9253910000000003</v>
      </c>
      <c r="B139" s="1">
        <f>DATE(2010,5,6) + TIME(22,12,33)</f>
        <v>40304.925381944442</v>
      </c>
      <c r="C139">
        <v>90</v>
      </c>
      <c r="D139">
        <v>89.842872619999994</v>
      </c>
      <c r="E139">
        <v>60</v>
      </c>
      <c r="F139">
        <v>14.995346069</v>
      </c>
      <c r="G139">
        <v>1402.6708983999999</v>
      </c>
      <c r="H139">
        <v>1389.3612060999999</v>
      </c>
      <c r="I139">
        <v>1250.4371338000001</v>
      </c>
      <c r="J139">
        <v>1210.9910889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6.0453219999999996</v>
      </c>
      <c r="B140" s="1">
        <f>DATE(2010,5,7) + TIME(1,5,15)</f>
        <v>40305.045312499999</v>
      </c>
      <c r="C140">
        <v>90</v>
      </c>
      <c r="D140">
        <v>89.848037719999994</v>
      </c>
      <c r="E140">
        <v>60</v>
      </c>
      <c r="F140">
        <v>14.995366096</v>
      </c>
      <c r="G140">
        <v>1402.5446777</v>
      </c>
      <c r="H140">
        <v>1389.2349853999999</v>
      </c>
      <c r="I140">
        <v>1250.4389647999999</v>
      </c>
      <c r="J140">
        <v>1210.9927978999999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6.167745</v>
      </c>
      <c r="B141" s="1">
        <f>DATE(2010,5,7) + TIME(4,1,33)</f>
        <v>40305.167743055557</v>
      </c>
      <c r="C141">
        <v>90</v>
      </c>
      <c r="D141">
        <v>89.852622986</v>
      </c>
      <c r="E141">
        <v>60</v>
      </c>
      <c r="F141">
        <v>14.995387077</v>
      </c>
      <c r="G141">
        <v>1402.4182129000001</v>
      </c>
      <c r="H141">
        <v>1389.1086425999999</v>
      </c>
      <c r="I141">
        <v>1250.440918</v>
      </c>
      <c r="J141">
        <v>1210.9946289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6.2925380000000004</v>
      </c>
      <c r="B142" s="1">
        <f>DATE(2010,5,7) + TIME(7,1,15)</f>
        <v>40305.292534722219</v>
      </c>
      <c r="C142">
        <v>90</v>
      </c>
      <c r="D142">
        <v>89.856681824000006</v>
      </c>
      <c r="E142">
        <v>60</v>
      </c>
      <c r="F142">
        <v>14.995407104</v>
      </c>
      <c r="G142">
        <v>1402.291626</v>
      </c>
      <c r="H142">
        <v>1388.9820557</v>
      </c>
      <c r="I142">
        <v>1250.442749</v>
      </c>
      <c r="J142">
        <v>1210.9964600000001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6.4198680000000001</v>
      </c>
      <c r="B143" s="1">
        <f>DATE(2010,5,7) + TIME(10,4,36)</f>
        <v>40305.419861111113</v>
      </c>
      <c r="C143">
        <v>90</v>
      </c>
      <c r="D143">
        <v>89.860275268999999</v>
      </c>
      <c r="E143">
        <v>60</v>
      </c>
      <c r="F143">
        <v>14.995427132</v>
      </c>
      <c r="G143">
        <v>1402.1649170000001</v>
      </c>
      <c r="H143">
        <v>1388.8554687999999</v>
      </c>
      <c r="I143">
        <v>1250.4447021000001</v>
      </c>
      <c r="J143">
        <v>1210.9982910000001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6.5499429999999998</v>
      </c>
      <c r="B144" s="1">
        <f>DATE(2010,5,7) + TIME(13,11,55)</f>
        <v>40305.549942129626</v>
      </c>
      <c r="C144">
        <v>90</v>
      </c>
      <c r="D144">
        <v>89.863464355000005</v>
      </c>
      <c r="E144">
        <v>60</v>
      </c>
      <c r="F144">
        <v>14.995448112</v>
      </c>
      <c r="G144">
        <v>1402.0379639</v>
      </c>
      <c r="H144">
        <v>1388.7286377</v>
      </c>
      <c r="I144">
        <v>1250.4466553</v>
      </c>
      <c r="J144">
        <v>1211.0001221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6.6830439999999998</v>
      </c>
      <c r="B145" s="1">
        <f>DATE(2010,5,7) + TIME(16,23,35)</f>
        <v>40305.68304398148</v>
      </c>
      <c r="C145">
        <v>90</v>
      </c>
      <c r="D145">
        <v>89.866294861</v>
      </c>
      <c r="E145">
        <v>60</v>
      </c>
      <c r="F145">
        <v>14.995469093000001</v>
      </c>
      <c r="G145">
        <v>1401.9107666</v>
      </c>
      <c r="H145">
        <v>1388.6015625</v>
      </c>
      <c r="I145">
        <v>1250.4486084</v>
      </c>
      <c r="J145">
        <v>1211.0020752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6.8193289999999998</v>
      </c>
      <c r="B146" s="1">
        <f>DATE(2010,5,7) + TIME(19,39,50)</f>
        <v>40305.819328703707</v>
      </c>
      <c r="C146">
        <v>90</v>
      </c>
      <c r="D146">
        <v>89.868812560999999</v>
      </c>
      <c r="E146">
        <v>60</v>
      </c>
      <c r="F146">
        <v>14.99548912</v>
      </c>
      <c r="G146">
        <v>1401.7829589999999</v>
      </c>
      <c r="H146">
        <v>1388.4741211</v>
      </c>
      <c r="I146">
        <v>1250.4506836</v>
      </c>
      <c r="J146">
        <v>1211.0040283000001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6.9590560000000004</v>
      </c>
      <c r="B147" s="1">
        <f>DATE(2010,5,7) + TIME(23,1,2)</f>
        <v>40305.959050925929</v>
      </c>
      <c r="C147">
        <v>90</v>
      </c>
      <c r="D147">
        <v>89.871055603000002</v>
      </c>
      <c r="E147">
        <v>60</v>
      </c>
      <c r="F147">
        <v>14.995510101000001</v>
      </c>
      <c r="G147">
        <v>1401.6545410000001</v>
      </c>
      <c r="H147">
        <v>1388.3459473</v>
      </c>
      <c r="I147">
        <v>1250.4527588000001</v>
      </c>
      <c r="J147">
        <v>1211.0061035000001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7.1024390000000004</v>
      </c>
      <c r="B148" s="1">
        <f>DATE(2010,5,8) + TIME(2,27,30)</f>
        <v>40306.102430555555</v>
      </c>
      <c r="C148">
        <v>90</v>
      </c>
      <c r="D148">
        <v>89.873046875</v>
      </c>
      <c r="E148">
        <v>60</v>
      </c>
      <c r="F148">
        <v>14.995531081999999</v>
      </c>
      <c r="G148">
        <v>1401.5253906</v>
      </c>
      <c r="H148">
        <v>1388.2171631000001</v>
      </c>
      <c r="I148">
        <v>1250.4548339999999</v>
      </c>
      <c r="J148">
        <v>1211.0080565999999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7.2495440000000002</v>
      </c>
      <c r="B149" s="1">
        <f>DATE(2010,5,8) + TIME(5,59,20)</f>
        <v>40306.249537037038</v>
      </c>
      <c r="C149">
        <v>90</v>
      </c>
      <c r="D149">
        <v>89.874824524000005</v>
      </c>
      <c r="E149">
        <v>60</v>
      </c>
      <c r="F149">
        <v>14.995552063</v>
      </c>
      <c r="G149">
        <v>1401.3953856999999</v>
      </c>
      <c r="H149">
        <v>1388.0875243999999</v>
      </c>
      <c r="I149">
        <v>1250.4570312000001</v>
      </c>
      <c r="J149">
        <v>1211.0102539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7.4005179999999999</v>
      </c>
      <c r="B150" s="1">
        <f>DATE(2010,5,8) + TIME(9,36,44)</f>
        <v>40306.400509259256</v>
      </c>
      <c r="C150">
        <v>90</v>
      </c>
      <c r="D150">
        <v>89.876403808999996</v>
      </c>
      <c r="E150">
        <v>60</v>
      </c>
      <c r="F150">
        <v>14.995573996999999</v>
      </c>
      <c r="G150">
        <v>1401.2644043</v>
      </c>
      <c r="H150">
        <v>1387.9571533000001</v>
      </c>
      <c r="I150">
        <v>1250.4592285000001</v>
      </c>
      <c r="J150">
        <v>1211.0123291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7.555536</v>
      </c>
      <c r="B151" s="1">
        <f>DATE(2010,5,8) + TIME(13,19,58)</f>
        <v>40306.555532407408</v>
      </c>
      <c r="C151">
        <v>90</v>
      </c>
      <c r="D151">
        <v>89.877822875999996</v>
      </c>
      <c r="E151">
        <v>60</v>
      </c>
      <c r="F151">
        <v>14.995594978</v>
      </c>
      <c r="G151">
        <v>1401.1325684000001</v>
      </c>
      <c r="H151">
        <v>1387.8260498</v>
      </c>
      <c r="I151">
        <v>1250.4615478999999</v>
      </c>
      <c r="J151">
        <v>1211.0145264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7.6331420000000003</v>
      </c>
      <c r="B152" s="1">
        <f>DATE(2010,5,8) + TIME(15,11,43)</f>
        <v>40306.633136574077</v>
      </c>
      <c r="C152">
        <v>90</v>
      </c>
      <c r="D152">
        <v>89.878471375000004</v>
      </c>
      <c r="E152">
        <v>60</v>
      </c>
      <c r="F152">
        <v>14.995606422</v>
      </c>
      <c r="G152">
        <v>1400.9987793</v>
      </c>
      <c r="H152">
        <v>1387.6918945</v>
      </c>
      <c r="I152">
        <v>1250.4633789</v>
      </c>
      <c r="J152">
        <v>1211.0163574000001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7.7883529999999999</v>
      </c>
      <c r="B153" s="1">
        <f>DATE(2010,5,8) + TIME(18,55,13)</f>
        <v>40306.788344907407</v>
      </c>
      <c r="C153">
        <v>90</v>
      </c>
      <c r="D153">
        <v>89.879631042</v>
      </c>
      <c r="E153">
        <v>60</v>
      </c>
      <c r="F153">
        <v>14.995627403</v>
      </c>
      <c r="G153">
        <v>1400.9335937999999</v>
      </c>
      <c r="H153">
        <v>1387.6280518000001</v>
      </c>
      <c r="I153">
        <v>1250.4649658000001</v>
      </c>
      <c r="J153">
        <v>1211.0179443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7.9435750000000001</v>
      </c>
      <c r="B154" s="1">
        <f>DATE(2010,5,8) + TIME(22,38,44)</f>
        <v>40306.943564814814</v>
      </c>
      <c r="C154">
        <v>90</v>
      </c>
      <c r="D154">
        <v>89.880645752000007</v>
      </c>
      <c r="E154">
        <v>60</v>
      </c>
      <c r="F154">
        <v>14.995648384000001</v>
      </c>
      <c r="G154">
        <v>1400.8050536999999</v>
      </c>
      <c r="H154">
        <v>1387.5002440999999</v>
      </c>
      <c r="I154">
        <v>1250.4672852000001</v>
      </c>
      <c r="J154">
        <v>1211.0201416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8.0990649999999995</v>
      </c>
      <c r="B155" s="1">
        <f>DATE(2010,5,9) + TIME(2,22,39)</f>
        <v>40307.099062499998</v>
      </c>
      <c r="C155">
        <v>90</v>
      </c>
      <c r="D155">
        <v>89.881538391000007</v>
      </c>
      <c r="E155">
        <v>60</v>
      </c>
      <c r="F155">
        <v>14.995668411</v>
      </c>
      <c r="G155">
        <v>1400.6782227000001</v>
      </c>
      <c r="H155">
        <v>1387.3742675999999</v>
      </c>
      <c r="I155">
        <v>1250.4696045000001</v>
      </c>
      <c r="J155">
        <v>1211.0223389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8.2550089999999994</v>
      </c>
      <c r="B156" s="1">
        <f>DATE(2010,5,9) + TIME(6,7,12)</f>
        <v>40307.254999999997</v>
      </c>
      <c r="C156">
        <v>90</v>
      </c>
      <c r="D156">
        <v>89.882339478000006</v>
      </c>
      <c r="E156">
        <v>60</v>
      </c>
      <c r="F156">
        <v>14.995688438</v>
      </c>
      <c r="G156">
        <v>1400.5534668</v>
      </c>
      <c r="H156">
        <v>1387.2504882999999</v>
      </c>
      <c r="I156">
        <v>1250.4719238</v>
      </c>
      <c r="J156">
        <v>1211.0246582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8.4115870000000008</v>
      </c>
      <c r="B157" s="1">
        <f>DATE(2010,5,9) + TIME(9,52,41)</f>
        <v>40307.411585648151</v>
      </c>
      <c r="C157">
        <v>90</v>
      </c>
      <c r="D157">
        <v>89.883049010999997</v>
      </c>
      <c r="E157">
        <v>60</v>
      </c>
      <c r="F157">
        <v>14.995708466</v>
      </c>
      <c r="G157">
        <v>1400.4306641000001</v>
      </c>
      <c r="H157">
        <v>1387.1286620999999</v>
      </c>
      <c r="I157">
        <v>1250.4742432</v>
      </c>
      <c r="J157">
        <v>1211.0268555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8.5689799999999998</v>
      </c>
      <c r="B158" s="1">
        <f>DATE(2010,5,9) + TIME(13,39,19)</f>
        <v>40307.568969907406</v>
      </c>
      <c r="C158">
        <v>90</v>
      </c>
      <c r="D158">
        <v>89.883682250999996</v>
      </c>
      <c r="E158">
        <v>60</v>
      </c>
      <c r="F158">
        <v>14.995728493</v>
      </c>
      <c r="G158">
        <v>1400.3094481999999</v>
      </c>
      <c r="H158">
        <v>1387.0085449000001</v>
      </c>
      <c r="I158">
        <v>1250.4765625</v>
      </c>
      <c r="J158">
        <v>1211.0290527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8.7273650000000007</v>
      </c>
      <c r="B159" s="1">
        <f>DATE(2010,5,9) + TIME(17,27,24)</f>
        <v>40307.727361111109</v>
      </c>
      <c r="C159">
        <v>90</v>
      </c>
      <c r="D159">
        <v>89.884254455999994</v>
      </c>
      <c r="E159">
        <v>60</v>
      </c>
      <c r="F159">
        <v>14.995747566</v>
      </c>
      <c r="G159">
        <v>1400.1898193</v>
      </c>
      <c r="H159">
        <v>1386.8900146000001</v>
      </c>
      <c r="I159">
        <v>1250.4788818</v>
      </c>
      <c r="J159">
        <v>1211.0313721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8.8869209999999992</v>
      </c>
      <c r="B160" s="1">
        <f>DATE(2010,5,9) + TIME(21,17,9)</f>
        <v>40307.88690972222</v>
      </c>
      <c r="C160">
        <v>90</v>
      </c>
      <c r="D160">
        <v>89.884773253999995</v>
      </c>
      <c r="E160">
        <v>60</v>
      </c>
      <c r="F160">
        <v>14.995766639999999</v>
      </c>
      <c r="G160">
        <v>1400.0714111</v>
      </c>
      <c r="H160">
        <v>1386.7728271000001</v>
      </c>
      <c r="I160">
        <v>1250.4812012</v>
      </c>
      <c r="J160">
        <v>1211.0335693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9.0478280000000009</v>
      </c>
      <c r="B161" s="1">
        <f>DATE(2010,5,10) + TIME(1,8,52)</f>
        <v>40308.047824074078</v>
      </c>
      <c r="C161">
        <v>90</v>
      </c>
      <c r="D161">
        <v>89.885246276999993</v>
      </c>
      <c r="E161">
        <v>60</v>
      </c>
      <c r="F161">
        <v>14.995785713</v>
      </c>
      <c r="G161">
        <v>1399.9542236</v>
      </c>
      <c r="H161">
        <v>1386.6569824000001</v>
      </c>
      <c r="I161">
        <v>1250.4836425999999</v>
      </c>
      <c r="J161">
        <v>1211.0358887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9.2102760000000004</v>
      </c>
      <c r="B162" s="1">
        <f>DATE(2010,5,10) + TIME(5,2,47)</f>
        <v>40308.210266203707</v>
      </c>
      <c r="C162">
        <v>90</v>
      </c>
      <c r="D162">
        <v>89.885673522999994</v>
      </c>
      <c r="E162">
        <v>60</v>
      </c>
      <c r="F162">
        <v>14.995804787000001</v>
      </c>
      <c r="G162">
        <v>1399.8381348</v>
      </c>
      <c r="H162">
        <v>1386.5421143000001</v>
      </c>
      <c r="I162">
        <v>1250.4859618999999</v>
      </c>
      <c r="J162">
        <v>1211.0382079999999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9.3745119999999993</v>
      </c>
      <c r="B163" s="1">
        <f>DATE(2010,5,10) + TIME(8,59,17)</f>
        <v>40308.374502314815</v>
      </c>
      <c r="C163">
        <v>90</v>
      </c>
      <c r="D163">
        <v>89.886070251000007</v>
      </c>
      <c r="E163">
        <v>60</v>
      </c>
      <c r="F163">
        <v>14.99582386</v>
      </c>
      <c r="G163">
        <v>1399.7227783000001</v>
      </c>
      <c r="H163">
        <v>1386.4282227000001</v>
      </c>
      <c r="I163">
        <v>1250.4884033000001</v>
      </c>
      <c r="J163">
        <v>1211.0405272999999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9.5406689999999994</v>
      </c>
      <c r="B164" s="1">
        <f>DATE(2010,5,10) + TIME(12,58,33)</f>
        <v>40308.540659722225</v>
      </c>
      <c r="C164">
        <v>90</v>
      </c>
      <c r="D164">
        <v>89.886428832999997</v>
      </c>
      <c r="E164">
        <v>60</v>
      </c>
      <c r="F164">
        <v>14.995842934000001</v>
      </c>
      <c r="G164">
        <v>1399.6081543</v>
      </c>
      <c r="H164">
        <v>1386.3150635</v>
      </c>
      <c r="I164">
        <v>1250.4908447</v>
      </c>
      <c r="J164">
        <v>1211.0428466999999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9.7089499999999997</v>
      </c>
      <c r="B165" s="1">
        <f>DATE(2010,5,10) + TIME(17,0,53)</f>
        <v>40308.70894675926</v>
      </c>
      <c r="C165">
        <v>90</v>
      </c>
      <c r="D165">
        <v>89.886756896999998</v>
      </c>
      <c r="E165">
        <v>60</v>
      </c>
      <c r="F165">
        <v>14.995862006999999</v>
      </c>
      <c r="G165">
        <v>1399.4941406</v>
      </c>
      <c r="H165">
        <v>1386.2025146000001</v>
      </c>
      <c r="I165">
        <v>1250.4932861</v>
      </c>
      <c r="J165">
        <v>1211.0452881000001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9.8795669999999998</v>
      </c>
      <c r="B166" s="1">
        <f>DATE(2010,5,10) + TIME(21,6,34)</f>
        <v>40308.879560185182</v>
      </c>
      <c r="C166">
        <v>90</v>
      </c>
      <c r="D166">
        <v>89.887062072999996</v>
      </c>
      <c r="E166">
        <v>60</v>
      </c>
      <c r="F166">
        <v>14.995880127</v>
      </c>
      <c r="G166">
        <v>1399.3804932</v>
      </c>
      <c r="H166">
        <v>1386.0904541</v>
      </c>
      <c r="I166">
        <v>1250.4957274999999</v>
      </c>
      <c r="J166">
        <v>1211.0476074000001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10.052742</v>
      </c>
      <c r="B167" s="1">
        <f>DATE(2010,5,11) + TIME(1,15,56)</f>
        <v>40309.052731481483</v>
      </c>
      <c r="C167">
        <v>90</v>
      </c>
      <c r="D167">
        <v>89.88734436</v>
      </c>
      <c r="E167">
        <v>60</v>
      </c>
      <c r="F167">
        <v>14.9958992</v>
      </c>
      <c r="G167">
        <v>1399.2672118999999</v>
      </c>
      <c r="H167">
        <v>1385.9788818</v>
      </c>
      <c r="I167">
        <v>1250.4982910000001</v>
      </c>
      <c r="J167">
        <v>1211.0500488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10.228709</v>
      </c>
      <c r="B168" s="1">
        <f>DATE(2010,5,11) + TIME(5,29,20)</f>
        <v>40309.228703703702</v>
      </c>
      <c r="C168">
        <v>90</v>
      </c>
      <c r="D168">
        <v>89.887603760000005</v>
      </c>
      <c r="E168">
        <v>60</v>
      </c>
      <c r="F168">
        <v>14.995918273999999</v>
      </c>
      <c r="G168">
        <v>1399.1540527</v>
      </c>
      <c r="H168">
        <v>1385.8675536999999</v>
      </c>
      <c r="I168">
        <v>1250.5008545000001</v>
      </c>
      <c r="J168">
        <v>1211.0524902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10.40715</v>
      </c>
      <c r="B169" s="1">
        <f>DATE(2010,5,11) + TIME(9,46,17)</f>
        <v>40309.407141203701</v>
      </c>
      <c r="C169">
        <v>90</v>
      </c>
      <c r="D169">
        <v>89.887840271000002</v>
      </c>
      <c r="E169">
        <v>60</v>
      </c>
      <c r="F169">
        <v>14.995936393999999</v>
      </c>
      <c r="G169">
        <v>1399.0410156</v>
      </c>
      <c r="H169">
        <v>1385.7562256000001</v>
      </c>
      <c r="I169">
        <v>1250.503418</v>
      </c>
      <c r="J169">
        <v>1211.0550536999999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10.58822</v>
      </c>
      <c r="B170" s="1">
        <f>DATE(2010,5,11) + TIME(14,7,2)</f>
        <v>40309.588217592594</v>
      </c>
      <c r="C170">
        <v>90</v>
      </c>
      <c r="D170">
        <v>89.888061523000005</v>
      </c>
      <c r="E170">
        <v>60</v>
      </c>
      <c r="F170">
        <v>14.995955467</v>
      </c>
      <c r="G170">
        <v>1398.9282227000001</v>
      </c>
      <c r="H170">
        <v>1385.6453856999999</v>
      </c>
      <c r="I170">
        <v>1250.5059814000001</v>
      </c>
      <c r="J170">
        <v>1211.0574951000001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10.772156000000001</v>
      </c>
      <c r="B171" s="1">
        <f>DATE(2010,5,11) + TIME(18,31,54)</f>
        <v>40309.772152777776</v>
      </c>
      <c r="C171">
        <v>90</v>
      </c>
      <c r="D171">
        <v>89.888275145999998</v>
      </c>
      <c r="E171">
        <v>60</v>
      </c>
      <c r="F171">
        <v>14.995973587</v>
      </c>
      <c r="G171">
        <v>1398.8156738</v>
      </c>
      <c r="H171">
        <v>1385.5347899999999</v>
      </c>
      <c r="I171">
        <v>1250.5086670000001</v>
      </c>
      <c r="J171">
        <v>1211.0601807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10.959206999999999</v>
      </c>
      <c r="B172" s="1">
        <f>DATE(2010,5,11) + TIME(23,1,15)</f>
        <v>40309.959201388891</v>
      </c>
      <c r="C172">
        <v>90</v>
      </c>
      <c r="D172">
        <v>89.888465881000002</v>
      </c>
      <c r="E172">
        <v>60</v>
      </c>
      <c r="F172">
        <v>14.995992661000001</v>
      </c>
      <c r="G172">
        <v>1398.703125</v>
      </c>
      <c r="H172">
        <v>1385.4243164</v>
      </c>
      <c r="I172">
        <v>1250.5113524999999</v>
      </c>
      <c r="J172">
        <v>1211.0627440999999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11.149639000000001</v>
      </c>
      <c r="B173" s="1">
        <f>DATE(2010,5,12) + TIME(3,35,28)</f>
        <v>40310.149629629632</v>
      </c>
      <c r="C173">
        <v>90</v>
      </c>
      <c r="D173">
        <v>89.888641356999997</v>
      </c>
      <c r="E173">
        <v>60</v>
      </c>
      <c r="F173">
        <v>14.996011734</v>
      </c>
      <c r="G173">
        <v>1398.5905762</v>
      </c>
      <c r="H173">
        <v>1385.3138428</v>
      </c>
      <c r="I173">
        <v>1250.5141602000001</v>
      </c>
      <c r="J173">
        <v>1211.0654297000001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11.343724999999999</v>
      </c>
      <c r="B174" s="1">
        <f>DATE(2010,5,12) + TIME(8,14,57)</f>
        <v>40310.343715277777</v>
      </c>
      <c r="C174">
        <v>90</v>
      </c>
      <c r="D174">
        <v>89.888809203999998</v>
      </c>
      <c r="E174">
        <v>60</v>
      </c>
      <c r="F174">
        <v>14.996029854</v>
      </c>
      <c r="G174">
        <v>1398.4779053</v>
      </c>
      <c r="H174">
        <v>1385.2033690999999</v>
      </c>
      <c r="I174">
        <v>1250.5169678</v>
      </c>
      <c r="J174">
        <v>1211.0681152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11.541899000000001</v>
      </c>
      <c r="B175" s="1">
        <f>DATE(2010,5,12) + TIME(13,0,20)</f>
        <v>40310.541898148149</v>
      </c>
      <c r="C175">
        <v>90</v>
      </c>
      <c r="D175">
        <v>89.888969420999999</v>
      </c>
      <c r="E175">
        <v>60</v>
      </c>
      <c r="F175">
        <v>14.996048927</v>
      </c>
      <c r="G175">
        <v>1398.3649902</v>
      </c>
      <c r="H175">
        <v>1385.0926514</v>
      </c>
      <c r="I175">
        <v>1250.5197754000001</v>
      </c>
      <c r="J175">
        <v>1211.0708007999999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11.744301999999999</v>
      </c>
      <c r="B176" s="1">
        <f>DATE(2010,5,12) + TIME(17,51,47)</f>
        <v>40310.744293981479</v>
      </c>
      <c r="C176">
        <v>90</v>
      </c>
      <c r="D176">
        <v>89.889114379999995</v>
      </c>
      <c r="E176">
        <v>60</v>
      </c>
      <c r="F176">
        <v>14.996068000999999</v>
      </c>
      <c r="G176">
        <v>1398.2514647999999</v>
      </c>
      <c r="H176">
        <v>1384.9814452999999</v>
      </c>
      <c r="I176">
        <v>1250.5227050999999</v>
      </c>
      <c r="J176">
        <v>1211.0736084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11.950993</v>
      </c>
      <c r="B177" s="1">
        <f>DATE(2010,5,12) + TIME(22,49,25)</f>
        <v>40310.950983796298</v>
      </c>
      <c r="C177">
        <v>90</v>
      </c>
      <c r="D177">
        <v>89.889251709000007</v>
      </c>
      <c r="E177">
        <v>60</v>
      </c>
      <c r="F177">
        <v>14.996087074</v>
      </c>
      <c r="G177">
        <v>1398.1374512</v>
      </c>
      <c r="H177">
        <v>1384.8698730000001</v>
      </c>
      <c r="I177">
        <v>1250.5257568</v>
      </c>
      <c r="J177">
        <v>1211.0765381000001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12.161992</v>
      </c>
      <c r="B178" s="1">
        <f>DATE(2010,5,13) + TIME(3,53,16)</f>
        <v>40311.161990740744</v>
      </c>
      <c r="C178">
        <v>90</v>
      </c>
      <c r="D178">
        <v>89.889373778999996</v>
      </c>
      <c r="E178">
        <v>60</v>
      </c>
      <c r="F178">
        <v>14.996106148000001</v>
      </c>
      <c r="G178">
        <v>1398.0229492000001</v>
      </c>
      <c r="H178">
        <v>1384.7579346</v>
      </c>
      <c r="I178">
        <v>1250.5286865</v>
      </c>
      <c r="J178">
        <v>1211.0794678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12.375432999999999</v>
      </c>
      <c r="B179" s="1">
        <f>DATE(2010,5,13) + TIME(9,0,37)</f>
        <v>40311.375428240739</v>
      </c>
      <c r="C179">
        <v>90</v>
      </c>
      <c r="D179">
        <v>89.889495850000003</v>
      </c>
      <c r="E179">
        <v>60</v>
      </c>
      <c r="F179">
        <v>14.996125221</v>
      </c>
      <c r="G179">
        <v>1397.9079589999999</v>
      </c>
      <c r="H179">
        <v>1384.6455077999999</v>
      </c>
      <c r="I179">
        <v>1250.5318603999999</v>
      </c>
      <c r="J179">
        <v>1211.0823975000001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12.588922</v>
      </c>
      <c r="B180" s="1">
        <f>DATE(2010,5,13) + TIME(14,8,2)</f>
        <v>40311.588912037034</v>
      </c>
      <c r="C180">
        <v>90</v>
      </c>
      <c r="D180">
        <v>89.889602660999998</v>
      </c>
      <c r="E180">
        <v>60</v>
      </c>
      <c r="F180">
        <v>14.996143341</v>
      </c>
      <c r="G180">
        <v>1397.7935791</v>
      </c>
      <c r="H180">
        <v>1384.5336914</v>
      </c>
      <c r="I180">
        <v>1250.5349120999999</v>
      </c>
      <c r="J180">
        <v>1211.0854492000001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12.802727000000001</v>
      </c>
      <c r="B181" s="1">
        <f>DATE(2010,5,13) + TIME(19,15,55)</f>
        <v>40311.802719907406</v>
      </c>
      <c r="C181">
        <v>90</v>
      </c>
      <c r="D181">
        <v>89.889701842999997</v>
      </c>
      <c r="E181">
        <v>60</v>
      </c>
      <c r="F181">
        <v>14.996162415000001</v>
      </c>
      <c r="G181">
        <v>1397.6809082</v>
      </c>
      <c r="H181">
        <v>1384.4238281</v>
      </c>
      <c r="I181">
        <v>1250.5380858999999</v>
      </c>
      <c r="J181">
        <v>1211.0883789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13.017111999999999</v>
      </c>
      <c r="B182" s="1">
        <f>DATE(2010,5,14) + TIME(0,24,38)</f>
        <v>40312.017106481479</v>
      </c>
      <c r="C182">
        <v>90</v>
      </c>
      <c r="D182">
        <v>89.889793396000002</v>
      </c>
      <c r="E182">
        <v>60</v>
      </c>
      <c r="F182">
        <v>14.996180534000001</v>
      </c>
      <c r="G182">
        <v>1397.5699463000001</v>
      </c>
      <c r="H182">
        <v>1384.3155518000001</v>
      </c>
      <c r="I182">
        <v>1250.5411377</v>
      </c>
      <c r="J182">
        <v>1211.0914307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13.232335000000001</v>
      </c>
      <c r="B183" s="1">
        <f>DATE(2010,5,14) + TIME(5,34,33)</f>
        <v>40312.23232638889</v>
      </c>
      <c r="C183">
        <v>90</v>
      </c>
      <c r="D183">
        <v>89.889877318999993</v>
      </c>
      <c r="E183">
        <v>60</v>
      </c>
      <c r="F183">
        <v>14.996198654000001</v>
      </c>
      <c r="G183">
        <v>1397.4604492000001</v>
      </c>
      <c r="H183">
        <v>1384.2087402</v>
      </c>
      <c r="I183">
        <v>1250.5443115</v>
      </c>
      <c r="J183">
        <v>1211.0944824000001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13.448651999999999</v>
      </c>
      <c r="B184" s="1">
        <f>DATE(2010,5,14) + TIME(10,46,3)</f>
        <v>40312.448645833334</v>
      </c>
      <c r="C184">
        <v>90</v>
      </c>
      <c r="D184">
        <v>89.889961243000002</v>
      </c>
      <c r="E184">
        <v>60</v>
      </c>
      <c r="F184">
        <v>14.996216774000001</v>
      </c>
      <c r="G184">
        <v>1397.3522949000001</v>
      </c>
      <c r="H184">
        <v>1384.1033935999999</v>
      </c>
      <c r="I184">
        <v>1250.5474853999999</v>
      </c>
      <c r="J184">
        <v>1211.0974120999999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13.666314</v>
      </c>
      <c r="B185" s="1">
        <f>DATE(2010,5,14) + TIME(15,59,29)</f>
        <v>40312.666307870371</v>
      </c>
      <c r="C185">
        <v>90</v>
      </c>
      <c r="D185">
        <v>89.890029906999999</v>
      </c>
      <c r="E185">
        <v>60</v>
      </c>
      <c r="F185">
        <v>14.996234894000001</v>
      </c>
      <c r="G185">
        <v>1397.2452393000001</v>
      </c>
      <c r="H185">
        <v>1383.9991454999999</v>
      </c>
      <c r="I185">
        <v>1250.5506591999999</v>
      </c>
      <c r="J185">
        <v>1211.1004639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13.885577</v>
      </c>
      <c r="B186" s="1">
        <f>DATE(2010,5,14) + TIME(21,15,13)</f>
        <v>40312.885567129626</v>
      </c>
      <c r="C186">
        <v>90</v>
      </c>
      <c r="D186">
        <v>89.890098571999999</v>
      </c>
      <c r="E186">
        <v>60</v>
      </c>
      <c r="F186">
        <v>14.99625206</v>
      </c>
      <c r="G186">
        <v>1397.1391602000001</v>
      </c>
      <c r="H186">
        <v>1383.895874</v>
      </c>
      <c r="I186">
        <v>1250.5538329999999</v>
      </c>
      <c r="J186">
        <v>1211.1036377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14.106738</v>
      </c>
      <c r="B187" s="1">
        <f>DATE(2010,5,15) + TIME(2,33,42)</f>
        <v>40313.106736111113</v>
      </c>
      <c r="C187">
        <v>90</v>
      </c>
      <c r="D187">
        <v>89.890167235999996</v>
      </c>
      <c r="E187">
        <v>60</v>
      </c>
      <c r="F187">
        <v>14.99627018</v>
      </c>
      <c r="G187">
        <v>1397.0339355000001</v>
      </c>
      <c r="H187">
        <v>1383.7935791</v>
      </c>
      <c r="I187">
        <v>1250.5570068</v>
      </c>
      <c r="J187">
        <v>1211.1066894999999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14.330095999999999</v>
      </c>
      <c r="B188" s="1">
        <f>DATE(2010,5,15) + TIME(7,55,20)</f>
        <v>40313.330092592594</v>
      </c>
      <c r="C188">
        <v>90</v>
      </c>
      <c r="D188">
        <v>89.890228270999998</v>
      </c>
      <c r="E188">
        <v>60</v>
      </c>
      <c r="F188">
        <v>14.996287346000001</v>
      </c>
      <c r="G188">
        <v>1396.9294434000001</v>
      </c>
      <c r="H188">
        <v>1383.6918945</v>
      </c>
      <c r="I188">
        <v>1250.5603027</v>
      </c>
      <c r="J188">
        <v>1211.1098632999999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14.555864</v>
      </c>
      <c r="B189" s="1">
        <f>DATE(2010,5,15) + TIME(13,20,26)</f>
        <v>40313.555856481478</v>
      </c>
      <c r="C189">
        <v>90</v>
      </c>
      <c r="D189">
        <v>89.890281677000004</v>
      </c>
      <c r="E189">
        <v>60</v>
      </c>
      <c r="F189">
        <v>14.996304512</v>
      </c>
      <c r="G189">
        <v>1396.8254394999999</v>
      </c>
      <c r="H189">
        <v>1383.5909423999999</v>
      </c>
      <c r="I189">
        <v>1250.5635986</v>
      </c>
      <c r="J189">
        <v>1211.1129149999999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14.784329</v>
      </c>
      <c r="B190" s="1">
        <f>DATE(2010,5,15) + TIME(18,49,26)</f>
        <v>40313.784328703703</v>
      </c>
      <c r="C190">
        <v>90</v>
      </c>
      <c r="D190">
        <v>89.890335082999997</v>
      </c>
      <c r="E190">
        <v>60</v>
      </c>
      <c r="F190">
        <v>14.996322632</v>
      </c>
      <c r="G190">
        <v>1396.7218018000001</v>
      </c>
      <c r="H190">
        <v>1383.4903564000001</v>
      </c>
      <c r="I190">
        <v>1250.5668945</v>
      </c>
      <c r="J190">
        <v>1211.1162108999999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15.015787</v>
      </c>
      <c r="B191" s="1">
        <f>DATE(2010,5,16) + TIME(0,22,44)</f>
        <v>40314.015787037039</v>
      </c>
      <c r="C191">
        <v>90</v>
      </c>
      <c r="D191">
        <v>89.890388489000003</v>
      </c>
      <c r="E191">
        <v>60</v>
      </c>
      <c r="F191">
        <v>14.996339797999999</v>
      </c>
      <c r="G191">
        <v>1396.6186522999999</v>
      </c>
      <c r="H191">
        <v>1383.3902588000001</v>
      </c>
      <c r="I191">
        <v>1250.5703125</v>
      </c>
      <c r="J191">
        <v>1211.1193848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15.250031999999999</v>
      </c>
      <c r="B192" s="1">
        <f>DATE(2010,5,16) + TIME(6,0,2)</f>
        <v>40314.250023148146</v>
      </c>
      <c r="C192">
        <v>90</v>
      </c>
      <c r="D192">
        <v>89.890434264999996</v>
      </c>
      <c r="E192">
        <v>60</v>
      </c>
      <c r="F192">
        <v>14.996356964</v>
      </c>
      <c r="G192">
        <v>1396.515625</v>
      </c>
      <c r="H192">
        <v>1383.2904053</v>
      </c>
      <c r="I192">
        <v>1250.5736084</v>
      </c>
      <c r="J192">
        <v>1211.1226807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15.486774</v>
      </c>
      <c r="B193" s="1">
        <f>DATE(2010,5,16) + TIME(11,40,57)</f>
        <v>40314.486770833333</v>
      </c>
      <c r="C193">
        <v>90</v>
      </c>
      <c r="D193">
        <v>89.890480041999993</v>
      </c>
      <c r="E193">
        <v>60</v>
      </c>
      <c r="F193">
        <v>14.99637413</v>
      </c>
      <c r="G193">
        <v>1396.4128418</v>
      </c>
      <c r="H193">
        <v>1383.1907959</v>
      </c>
      <c r="I193">
        <v>1250.5771483999999</v>
      </c>
      <c r="J193">
        <v>1211.1259766000001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15.726297000000001</v>
      </c>
      <c r="B194" s="1">
        <f>DATE(2010,5,16) + TIME(17,25,52)</f>
        <v>40314.7262962963</v>
      </c>
      <c r="C194">
        <v>90</v>
      </c>
      <c r="D194">
        <v>89.890525818</v>
      </c>
      <c r="E194">
        <v>60</v>
      </c>
      <c r="F194">
        <v>14.996391296000001</v>
      </c>
      <c r="G194">
        <v>1396.3105469</v>
      </c>
      <c r="H194">
        <v>1383.0916748</v>
      </c>
      <c r="I194">
        <v>1250.5805664</v>
      </c>
      <c r="J194">
        <v>1211.1292725000001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15.968890999999999</v>
      </c>
      <c r="B195" s="1">
        <f>DATE(2010,5,16) + TIME(23,15,12)</f>
        <v>40314.968888888892</v>
      </c>
      <c r="C195">
        <v>90</v>
      </c>
      <c r="D195">
        <v>89.890571593999994</v>
      </c>
      <c r="E195">
        <v>60</v>
      </c>
      <c r="F195">
        <v>14.996408463</v>
      </c>
      <c r="G195">
        <v>1396.2084961</v>
      </c>
      <c r="H195">
        <v>1382.9930420000001</v>
      </c>
      <c r="I195">
        <v>1250.5841064000001</v>
      </c>
      <c r="J195">
        <v>1211.1326904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16.214865</v>
      </c>
      <c r="B196" s="1">
        <f>DATE(2010,5,17) + TIME(5,9,24)</f>
        <v>40315.214861111112</v>
      </c>
      <c r="C196">
        <v>90</v>
      </c>
      <c r="D196">
        <v>89.890609741000006</v>
      </c>
      <c r="E196">
        <v>60</v>
      </c>
      <c r="F196">
        <v>14.996425629000001</v>
      </c>
      <c r="G196">
        <v>1396.1066894999999</v>
      </c>
      <c r="H196">
        <v>1382.8945312000001</v>
      </c>
      <c r="I196">
        <v>1250.5876464999999</v>
      </c>
      <c r="J196">
        <v>1211.1361084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16.464542999999999</v>
      </c>
      <c r="B197" s="1">
        <f>DATE(2010,5,17) + TIME(11,8,56)</f>
        <v>40315.464537037034</v>
      </c>
      <c r="C197">
        <v>90</v>
      </c>
      <c r="D197">
        <v>89.890647888000004</v>
      </c>
      <c r="E197">
        <v>60</v>
      </c>
      <c r="F197">
        <v>14.996442795</v>
      </c>
      <c r="G197">
        <v>1396.0048827999999</v>
      </c>
      <c r="H197">
        <v>1382.7962646000001</v>
      </c>
      <c r="I197">
        <v>1250.5913086</v>
      </c>
      <c r="J197">
        <v>1211.1396483999999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16.718263</v>
      </c>
      <c r="B198" s="1">
        <f>DATE(2010,5,17) + TIME(17,14,17)</f>
        <v>40315.718252314815</v>
      </c>
      <c r="C198">
        <v>90</v>
      </c>
      <c r="D198">
        <v>89.890686035000002</v>
      </c>
      <c r="E198">
        <v>60</v>
      </c>
      <c r="F198">
        <v>14.996459960999999</v>
      </c>
      <c r="G198">
        <v>1395.9031981999999</v>
      </c>
      <c r="H198">
        <v>1382.6979980000001</v>
      </c>
      <c r="I198">
        <v>1250.5949707</v>
      </c>
      <c r="J198">
        <v>1211.1431885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16.976368999999998</v>
      </c>
      <c r="B199" s="1">
        <f>DATE(2010,5,17) + TIME(23,25,58)</f>
        <v>40315.976365740738</v>
      </c>
      <c r="C199">
        <v>90</v>
      </c>
      <c r="D199">
        <v>89.890724182</v>
      </c>
      <c r="E199">
        <v>60</v>
      </c>
      <c r="F199">
        <v>14.996477127</v>
      </c>
      <c r="G199">
        <v>1395.8012695</v>
      </c>
      <c r="H199">
        <v>1382.5996094</v>
      </c>
      <c r="I199">
        <v>1250.5987548999999</v>
      </c>
      <c r="J199">
        <v>1211.1467285000001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17.239374000000002</v>
      </c>
      <c r="B200" s="1">
        <f>DATE(2010,5,18) + TIME(5,44,41)</f>
        <v>40316.239363425928</v>
      </c>
      <c r="C200">
        <v>90</v>
      </c>
      <c r="D200">
        <v>89.890762328999998</v>
      </c>
      <c r="E200">
        <v>60</v>
      </c>
      <c r="F200">
        <v>14.996494293</v>
      </c>
      <c r="G200">
        <v>1395.6990966999999</v>
      </c>
      <c r="H200">
        <v>1382.5010986</v>
      </c>
      <c r="I200">
        <v>1250.6026611</v>
      </c>
      <c r="J200">
        <v>1211.1505127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17.507476</v>
      </c>
      <c r="B201" s="1">
        <f>DATE(2010,5,18) + TIME(12,10,45)</f>
        <v>40316.507465277777</v>
      </c>
      <c r="C201">
        <v>90</v>
      </c>
      <c r="D201">
        <v>89.890792847</v>
      </c>
      <c r="E201">
        <v>60</v>
      </c>
      <c r="F201">
        <v>14.996512413</v>
      </c>
      <c r="G201">
        <v>1395.5965576000001</v>
      </c>
      <c r="H201">
        <v>1382.4020995999999</v>
      </c>
      <c r="I201">
        <v>1250.6064452999999</v>
      </c>
      <c r="J201">
        <v>1211.1541748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17.780441</v>
      </c>
      <c r="B202" s="1">
        <f>DATE(2010,5,18) + TIME(18,43,50)</f>
        <v>40316.780439814815</v>
      </c>
      <c r="C202">
        <v>90</v>
      </c>
      <c r="D202">
        <v>89.890830993999998</v>
      </c>
      <c r="E202">
        <v>60</v>
      </c>
      <c r="F202">
        <v>14.996529579000001</v>
      </c>
      <c r="G202">
        <v>1395.4935303</v>
      </c>
      <c r="H202">
        <v>1382.3028564000001</v>
      </c>
      <c r="I202">
        <v>1250.6104736</v>
      </c>
      <c r="J202">
        <v>1211.1579589999999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18.055050000000001</v>
      </c>
      <c r="B203" s="1">
        <f>DATE(2010,5,19) + TIME(1,19,16)</f>
        <v>40317.055046296293</v>
      </c>
      <c r="C203">
        <v>90</v>
      </c>
      <c r="D203">
        <v>89.890861510999997</v>
      </c>
      <c r="E203">
        <v>60</v>
      </c>
      <c r="F203">
        <v>14.996546745</v>
      </c>
      <c r="G203">
        <v>1395.3901367000001</v>
      </c>
      <c r="H203">
        <v>1382.2033690999999</v>
      </c>
      <c r="I203">
        <v>1250.6145019999999</v>
      </c>
      <c r="J203">
        <v>1211.1618652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18.329891</v>
      </c>
      <c r="B204" s="1">
        <f>DATE(2010,5,19) + TIME(7,55,2)</f>
        <v>40317.329884259256</v>
      </c>
      <c r="C204">
        <v>90</v>
      </c>
      <c r="D204">
        <v>89.890892029</v>
      </c>
      <c r="E204">
        <v>60</v>
      </c>
      <c r="F204">
        <v>14.996563911000001</v>
      </c>
      <c r="G204">
        <v>1395.2875977000001</v>
      </c>
      <c r="H204">
        <v>1382.1046143000001</v>
      </c>
      <c r="I204">
        <v>1250.6186522999999</v>
      </c>
      <c r="J204">
        <v>1211.1657714999999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18.605315999999998</v>
      </c>
      <c r="B205" s="1">
        <f>DATE(2010,5,19) + TIME(14,31,39)</f>
        <v>40317.605312500003</v>
      </c>
      <c r="C205">
        <v>90</v>
      </c>
      <c r="D205">
        <v>89.890922545999999</v>
      </c>
      <c r="E205">
        <v>60</v>
      </c>
      <c r="F205">
        <v>14.996581078</v>
      </c>
      <c r="G205">
        <v>1395.1865233999999</v>
      </c>
      <c r="H205">
        <v>1382.0074463000001</v>
      </c>
      <c r="I205">
        <v>1250.6226807</v>
      </c>
      <c r="J205">
        <v>1211.1696777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18.881675000000001</v>
      </c>
      <c r="B206" s="1">
        <f>DATE(2010,5,19) + TIME(21,9,36)</f>
        <v>40317.881666666668</v>
      </c>
      <c r="C206">
        <v>90</v>
      </c>
      <c r="D206">
        <v>89.890953064000001</v>
      </c>
      <c r="E206">
        <v>60</v>
      </c>
      <c r="F206">
        <v>14.996598243999999</v>
      </c>
      <c r="G206">
        <v>1395.0866699000001</v>
      </c>
      <c r="H206">
        <v>1381.9113769999999</v>
      </c>
      <c r="I206">
        <v>1250.6267089999999</v>
      </c>
      <c r="J206">
        <v>1211.1735839999999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19.159310000000001</v>
      </c>
      <c r="B207" s="1">
        <f>DATE(2010,5,20) + TIME(3,49,24)</f>
        <v>40318.159305555557</v>
      </c>
      <c r="C207">
        <v>90</v>
      </c>
      <c r="D207">
        <v>89.890983582000004</v>
      </c>
      <c r="E207">
        <v>60</v>
      </c>
      <c r="F207">
        <v>14.996614456</v>
      </c>
      <c r="G207">
        <v>1394.987793</v>
      </c>
      <c r="H207">
        <v>1381.8164062000001</v>
      </c>
      <c r="I207">
        <v>1250.6308594</v>
      </c>
      <c r="J207">
        <v>1211.1776123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19.438564</v>
      </c>
      <c r="B208" s="1">
        <f>DATE(2010,5,20) + TIME(10,31,31)</f>
        <v>40318.43855324074</v>
      </c>
      <c r="C208">
        <v>90</v>
      </c>
      <c r="D208">
        <v>89.891014099000003</v>
      </c>
      <c r="E208">
        <v>60</v>
      </c>
      <c r="F208">
        <v>14.996631622000001</v>
      </c>
      <c r="G208">
        <v>1394.8898925999999</v>
      </c>
      <c r="H208">
        <v>1381.7224120999999</v>
      </c>
      <c r="I208">
        <v>1250.6350098</v>
      </c>
      <c r="J208">
        <v>1211.1815185999999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19.71978</v>
      </c>
      <c r="B209" s="1">
        <f>DATE(2010,5,20) + TIME(17,16,29)</f>
        <v>40318.719780092593</v>
      </c>
      <c r="C209">
        <v>90</v>
      </c>
      <c r="D209">
        <v>89.891036987000007</v>
      </c>
      <c r="E209">
        <v>60</v>
      </c>
      <c r="F209">
        <v>14.996647834999999</v>
      </c>
      <c r="G209">
        <v>1394.7928466999999</v>
      </c>
      <c r="H209">
        <v>1381.6292725000001</v>
      </c>
      <c r="I209">
        <v>1250.6391602000001</v>
      </c>
      <c r="J209">
        <v>1211.1855469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20.003377</v>
      </c>
      <c r="B210" s="1">
        <f>DATE(2010,5,21) + TIME(0,4,51)</f>
        <v>40319.003368055557</v>
      </c>
      <c r="C210">
        <v>90</v>
      </c>
      <c r="D210">
        <v>89.891067504999995</v>
      </c>
      <c r="E210">
        <v>60</v>
      </c>
      <c r="F210">
        <v>14.996664046999999</v>
      </c>
      <c r="G210">
        <v>1394.6964111</v>
      </c>
      <c r="H210">
        <v>1381.5367432</v>
      </c>
      <c r="I210">
        <v>1250.6433105000001</v>
      </c>
      <c r="J210">
        <v>1211.1895752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20.289698000000001</v>
      </c>
      <c r="B211" s="1">
        <f>DATE(2010,5,21) + TIME(6,57,9)</f>
        <v>40319.289687500001</v>
      </c>
      <c r="C211">
        <v>90</v>
      </c>
      <c r="D211">
        <v>89.891098021999994</v>
      </c>
      <c r="E211">
        <v>60</v>
      </c>
      <c r="F211">
        <v>14.99668026</v>
      </c>
      <c r="G211">
        <v>1394.6004639</v>
      </c>
      <c r="H211">
        <v>1381.4448242000001</v>
      </c>
      <c r="I211">
        <v>1250.6475829999999</v>
      </c>
      <c r="J211">
        <v>1211.1936035000001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20.579058</v>
      </c>
      <c r="B212" s="1">
        <f>DATE(2010,5,21) + TIME(13,53,50)</f>
        <v>40319.579050925924</v>
      </c>
      <c r="C212">
        <v>90</v>
      </c>
      <c r="D212">
        <v>89.891120911000002</v>
      </c>
      <c r="E212">
        <v>60</v>
      </c>
      <c r="F212">
        <v>14.996697426000001</v>
      </c>
      <c r="G212">
        <v>1394.5050048999999</v>
      </c>
      <c r="H212">
        <v>1381.3532714999999</v>
      </c>
      <c r="I212">
        <v>1250.6518555</v>
      </c>
      <c r="J212">
        <v>1211.1977539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20.871683000000001</v>
      </c>
      <c r="B213" s="1">
        <f>DATE(2010,5,21) + TIME(20,55,13)</f>
        <v>40319.871678240743</v>
      </c>
      <c r="C213">
        <v>90</v>
      </c>
      <c r="D213">
        <v>89.891151428000001</v>
      </c>
      <c r="E213">
        <v>60</v>
      </c>
      <c r="F213">
        <v>14.996713637999999</v>
      </c>
      <c r="G213">
        <v>1394.409668</v>
      </c>
      <c r="H213">
        <v>1381.2620850000001</v>
      </c>
      <c r="I213">
        <v>1250.65625</v>
      </c>
      <c r="J213">
        <v>1211.2019043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21.166477</v>
      </c>
      <c r="B214" s="1">
        <f>DATE(2010,5,22) + TIME(3,59,43)</f>
        <v>40320.16646990741</v>
      </c>
      <c r="C214">
        <v>90</v>
      </c>
      <c r="D214">
        <v>89.891181946000003</v>
      </c>
      <c r="E214">
        <v>60</v>
      </c>
      <c r="F214">
        <v>14.996729851</v>
      </c>
      <c r="G214">
        <v>1394.3146973</v>
      </c>
      <c r="H214">
        <v>1381.1711425999999</v>
      </c>
      <c r="I214">
        <v>1250.6606445</v>
      </c>
      <c r="J214">
        <v>1211.2060547000001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21.463726999999999</v>
      </c>
      <c r="B215" s="1">
        <f>DATE(2010,5,22) + TIME(11,7,45)</f>
        <v>40320.46371527778</v>
      </c>
      <c r="C215">
        <v>90</v>
      </c>
      <c r="D215">
        <v>89.891212463000002</v>
      </c>
      <c r="E215">
        <v>60</v>
      </c>
      <c r="F215">
        <v>14.996745110000001</v>
      </c>
      <c r="G215">
        <v>1394.2202147999999</v>
      </c>
      <c r="H215">
        <v>1381.0808105000001</v>
      </c>
      <c r="I215">
        <v>1250.6650391000001</v>
      </c>
      <c r="J215">
        <v>1211.2103271000001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21.763774000000002</v>
      </c>
      <c r="B216" s="1">
        <f>DATE(2010,5,22) + TIME(18,19,50)</f>
        <v>40320.763773148145</v>
      </c>
      <c r="C216">
        <v>90</v>
      </c>
      <c r="D216">
        <v>89.891235351999995</v>
      </c>
      <c r="E216">
        <v>60</v>
      </c>
      <c r="F216">
        <v>14.996761321999999</v>
      </c>
      <c r="G216">
        <v>1394.1263428</v>
      </c>
      <c r="H216">
        <v>1380.9909668</v>
      </c>
      <c r="I216">
        <v>1250.6695557</v>
      </c>
      <c r="J216">
        <v>1211.2145995999999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22.066973000000001</v>
      </c>
      <c r="B217" s="1">
        <f>DATE(2010,5,23) + TIME(1,36,26)</f>
        <v>40321.066967592589</v>
      </c>
      <c r="C217">
        <v>90</v>
      </c>
      <c r="D217">
        <v>89.891265868999994</v>
      </c>
      <c r="E217">
        <v>60</v>
      </c>
      <c r="F217">
        <v>14.996777534</v>
      </c>
      <c r="G217">
        <v>1394.0327147999999</v>
      </c>
      <c r="H217">
        <v>1380.9014893000001</v>
      </c>
      <c r="I217">
        <v>1250.6740723</v>
      </c>
      <c r="J217">
        <v>1211.2188721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22.373691000000001</v>
      </c>
      <c r="B218" s="1">
        <f>DATE(2010,5,23) + TIME(8,58,6)</f>
        <v>40321.373680555553</v>
      </c>
      <c r="C218">
        <v>90</v>
      </c>
      <c r="D218">
        <v>89.891296386999997</v>
      </c>
      <c r="E218">
        <v>60</v>
      </c>
      <c r="F218">
        <v>14.996793747</v>
      </c>
      <c r="G218">
        <v>1393.9393310999999</v>
      </c>
      <c r="H218">
        <v>1380.8123779</v>
      </c>
      <c r="I218">
        <v>1250.6785889</v>
      </c>
      <c r="J218">
        <v>1211.2232666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22.684308000000001</v>
      </c>
      <c r="B219" s="1">
        <f>DATE(2010,5,23) + TIME(16,25,24)</f>
        <v>40321.684305555558</v>
      </c>
      <c r="C219">
        <v>90</v>
      </c>
      <c r="D219">
        <v>89.891319275000001</v>
      </c>
      <c r="E219">
        <v>60</v>
      </c>
      <c r="F219">
        <v>14.996809959</v>
      </c>
      <c r="G219">
        <v>1393.8461914</v>
      </c>
      <c r="H219">
        <v>1380.7233887</v>
      </c>
      <c r="I219">
        <v>1250.6832274999999</v>
      </c>
      <c r="J219">
        <v>1211.2276611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22.999227000000001</v>
      </c>
      <c r="B220" s="1">
        <f>DATE(2010,5,23) + TIME(23,58,53)</f>
        <v>40321.999224537038</v>
      </c>
      <c r="C220">
        <v>90</v>
      </c>
      <c r="D220">
        <v>89.891349792</v>
      </c>
      <c r="E220">
        <v>60</v>
      </c>
      <c r="F220">
        <v>14.996825218</v>
      </c>
      <c r="G220">
        <v>1393.7530518000001</v>
      </c>
      <c r="H220">
        <v>1380.6345214999999</v>
      </c>
      <c r="I220">
        <v>1250.6879882999999</v>
      </c>
      <c r="J220">
        <v>1211.2321777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23.318860999999998</v>
      </c>
      <c r="B221" s="1">
        <f>DATE(2010,5,24) + TIME(7,39,9)</f>
        <v>40322.318854166668</v>
      </c>
      <c r="C221">
        <v>90</v>
      </c>
      <c r="D221">
        <v>89.891380310000002</v>
      </c>
      <c r="E221">
        <v>60</v>
      </c>
      <c r="F221">
        <v>14.996841431</v>
      </c>
      <c r="G221">
        <v>1393.6599120999999</v>
      </c>
      <c r="H221">
        <v>1380.5456543</v>
      </c>
      <c r="I221">
        <v>1250.692749</v>
      </c>
      <c r="J221">
        <v>1211.2366943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23.643623999999999</v>
      </c>
      <c r="B222" s="1">
        <f>DATE(2010,5,24) + TIME(15,26,49)</f>
        <v>40322.643622685187</v>
      </c>
      <c r="C222">
        <v>90</v>
      </c>
      <c r="D222">
        <v>89.891410828000005</v>
      </c>
      <c r="E222">
        <v>60</v>
      </c>
      <c r="F222">
        <v>14.996857643</v>
      </c>
      <c r="G222">
        <v>1393.5665283000001</v>
      </c>
      <c r="H222">
        <v>1380.4567870999999</v>
      </c>
      <c r="I222">
        <v>1250.6975098</v>
      </c>
      <c r="J222">
        <v>1211.2413329999999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23.974112000000002</v>
      </c>
      <c r="B223" s="1">
        <f>DATE(2010,5,24) + TIME(23,22,43)</f>
        <v>40322.974108796298</v>
      </c>
      <c r="C223">
        <v>90</v>
      </c>
      <c r="D223">
        <v>89.891441345000004</v>
      </c>
      <c r="E223">
        <v>60</v>
      </c>
      <c r="F223">
        <v>14.996873856000001</v>
      </c>
      <c r="G223">
        <v>1393.4730225000001</v>
      </c>
      <c r="H223">
        <v>1380.3676757999999</v>
      </c>
      <c r="I223">
        <v>1250.7025146000001</v>
      </c>
      <c r="J223">
        <v>1211.2460937999999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24.310642000000001</v>
      </c>
      <c r="B224" s="1">
        <f>DATE(2010,5,25) + TIME(7,27,19)</f>
        <v>40323.310636574075</v>
      </c>
      <c r="C224">
        <v>90</v>
      </c>
      <c r="D224">
        <v>89.891471863000007</v>
      </c>
      <c r="E224">
        <v>60</v>
      </c>
      <c r="F224">
        <v>14.996890068000001</v>
      </c>
      <c r="G224">
        <v>1393.3790283000001</v>
      </c>
      <c r="H224">
        <v>1380.2781981999999</v>
      </c>
      <c r="I224">
        <v>1250.7075195</v>
      </c>
      <c r="J224">
        <v>1211.2508545000001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24.651667</v>
      </c>
      <c r="B225" s="1">
        <f>DATE(2010,5,25) + TIME(15,38,24)</f>
        <v>40323.651666666665</v>
      </c>
      <c r="C225">
        <v>90</v>
      </c>
      <c r="D225">
        <v>89.891502380000006</v>
      </c>
      <c r="E225">
        <v>60</v>
      </c>
      <c r="F225">
        <v>14.996906280999999</v>
      </c>
      <c r="G225">
        <v>1393.284668</v>
      </c>
      <c r="H225">
        <v>1380.1883545000001</v>
      </c>
      <c r="I225">
        <v>1250.7126464999999</v>
      </c>
      <c r="J225">
        <v>1211.2557373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24.993174</v>
      </c>
      <c r="B226" s="1">
        <f>DATE(2010,5,25) + TIME(23,50,10)</f>
        <v>40323.993171296293</v>
      </c>
      <c r="C226">
        <v>90</v>
      </c>
      <c r="D226">
        <v>89.891532897999994</v>
      </c>
      <c r="E226">
        <v>60</v>
      </c>
      <c r="F226">
        <v>14.996922493</v>
      </c>
      <c r="G226">
        <v>1393.1901855000001</v>
      </c>
      <c r="H226">
        <v>1380.0985106999999</v>
      </c>
      <c r="I226">
        <v>1250.7178954999999</v>
      </c>
      <c r="J226">
        <v>1211.2607422000001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25.335616999999999</v>
      </c>
      <c r="B227" s="1">
        <f>DATE(2010,5,26) + TIME(8,3,17)</f>
        <v>40324.335613425923</v>
      </c>
      <c r="C227">
        <v>90</v>
      </c>
      <c r="D227">
        <v>89.891563415999997</v>
      </c>
      <c r="E227">
        <v>60</v>
      </c>
      <c r="F227">
        <v>14.996938705</v>
      </c>
      <c r="G227">
        <v>1393.0968018000001</v>
      </c>
      <c r="H227">
        <v>1380.0097656</v>
      </c>
      <c r="I227">
        <v>1250.7230225000001</v>
      </c>
      <c r="J227">
        <v>1211.2657471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25.679445000000001</v>
      </c>
      <c r="B228" s="1">
        <f>DATE(2010,5,26) + TIME(16,18,24)</f>
        <v>40324.679444444446</v>
      </c>
      <c r="C228">
        <v>90</v>
      </c>
      <c r="D228">
        <v>89.891593932999996</v>
      </c>
      <c r="E228">
        <v>60</v>
      </c>
      <c r="F228">
        <v>14.996953963999999</v>
      </c>
      <c r="G228">
        <v>1393.0045166</v>
      </c>
      <c r="H228">
        <v>1379.9219971</v>
      </c>
      <c r="I228">
        <v>1250.7282714999999</v>
      </c>
      <c r="J228">
        <v>1211.2707519999999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26.025099999999998</v>
      </c>
      <c r="B229" s="1">
        <f>DATE(2010,5,27) + TIME(0,36,8)</f>
        <v>40325.025092592594</v>
      </c>
      <c r="C229">
        <v>90</v>
      </c>
      <c r="D229">
        <v>89.891624450999998</v>
      </c>
      <c r="E229">
        <v>60</v>
      </c>
      <c r="F229">
        <v>14.996970177</v>
      </c>
      <c r="G229">
        <v>1392.9129639</v>
      </c>
      <c r="H229">
        <v>1379.8350829999999</v>
      </c>
      <c r="I229">
        <v>1250.7336425999999</v>
      </c>
      <c r="J229">
        <v>1211.2757568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26.373025999999999</v>
      </c>
      <c r="B230" s="1">
        <f>DATE(2010,5,27) + TIME(8,57,9)</f>
        <v>40325.373020833336</v>
      </c>
      <c r="C230">
        <v>90</v>
      </c>
      <c r="D230">
        <v>89.891654967999997</v>
      </c>
      <c r="E230">
        <v>60</v>
      </c>
      <c r="F230">
        <v>14.996985434999999</v>
      </c>
      <c r="G230">
        <v>1392.8221435999999</v>
      </c>
      <c r="H230">
        <v>1379.7487793</v>
      </c>
      <c r="I230">
        <v>1250.7388916</v>
      </c>
      <c r="J230">
        <v>1211.2808838000001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26.723704000000001</v>
      </c>
      <c r="B231" s="1">
        <f>DATE(2010,5,27) + TIME(17,22,8)</f>
        <v>40325.723703703705</v>
      </c>
      <c r="C231">
        <v>90</v>
      </c>
      <c r="D231">
        <v>89.891685486</v>
      </c>
      <c r="E231">
        <v>60</v>
      </c>
      <c r="F231">
        <v>14.997001647999999</v>
      </c>
      <c r="G231">
        <v>1392.7318115</v>
      </c>
      <c r="H231">
        <v>1379.6632079999999</v>
      </c>
      <c r="I231">
        <v>1250.7442627</v>
      </c>
      <c r="J231">
        <v>1211.2860106999999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27.077694999999999</v>
      </c>
      <c r="B232" s="1">
        <f>DATE(2010,5,28) + TIME(1,51,52)</f>
        <v>40326.077685185184</v>
      </c>
      <c r="C232">
        <v>90</v>
      </c>
      <c r="D232">
        <v>89.891723632999998</v>
      </c>
      <c r="E232">
        <v>60</v>
      </c>
      <c r="F232">
        <v>14.997016907000001</v>
      </c>
      <c r="G232">
        <v>1392.6419678</v>
      </c>
      <c r="H232">
        <v>1379.5780029</v>
      </c>
      <c r="I232">
        <v>1250.7497559000001</v>
      </c>
      <c r="J232">
        <v>1211.2911377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27.434785999999999</v>
      </c>
      <c r="B233" s="1">
        <f>DATE(2010,5,28) + TIME(10,26,5)</f>
        <v>40326.43478009259</v>
      </c>
      <c r="C233">
        <v>90</v>
      </c>
      <c r="D233">
        <v>89.891754149999997</v>
      </c>
      <c r="E233">
        <v>60</v>
      </c>
      <c r="F233">
        <v>14.997032166</v>
      </c>
      <c r="G233">
        <v>1392.5524902</v>
      </c>
      <c r="H233">
        <v>1379.4930420000001</v>
      </c>
      <c r="I233">
        <v>1250.755249</v>
      </c>
      <c r="J233">
        <v>1211.2963867000001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27.793571</v>
      </c>
      <c r="B234" s="1">
        <f>DATE(2010,5,28) + TIME(19,2,44)</f>
        <v>40326.793564814812</v>
      </c>
      <c r="C234">
        <v>90</v>
      </c>
      <c r="D234">
        <v>89.891784668</v>
      </c>
      <c r="E234">
        <v>60</v>
      </c>
      <c r="F234">
        <v>14.997048378000001</v>
      </c>
      <c r="G234">
        <v>1392.4632568</v>
      </c>
      <c r="H234">
        <v>1379.4085693</v>
      </c>
      <c r="I234">
        <v>1250.7607422000001</v>
      </c>
      <c r="J234">
        <v>1211.3016356999999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28.154596999999999</v>
      </c>
      <c r="B235" s="1">
        <f>DATE(2010,5,29) + TIME(3,42,37)</f>
        <v>40327.154594907406</v>
      </c>
      <c r="C235">
        <v>90</v>
      </c>
      <c r="D235">
        <v>89.891815186000002</v>
      </c>
      <c r="E235">
        <v>60</v>
      </c>
      <c r="F235">
        <v>14.997063637</v>
      </c>
      <c r="G235">
        <v>1392.3747559000001</v>
      </c>
      <c r="H235">
        <v>1379.324707</v>
      </c>
      <c r="I235">
        <v>1250.7663574000001</v>
      </c>
      <c r="J235">
        <v>1211.3070068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28.518173999999998</v>
      </c>
      <c r="B236" s="1">
        <f>DATE(2010,5,29) + TIME(12,26,10)</f>
        <v>40327.518171296295</v>
      </c>
      <c r="C236">
        <v>90</v>
      </c>
      <c r="D236">
        <v>89.891853333</v>
      </c>
      <c r="E236">
        <v>60</v>
      </c>
      <c r="F236">
        <v>14.997078896</v>
      </c>
      <c r="G236">
        <v>1392.2867432</v>
      </c>
      <c r="H236">
        <v>1379.2414550999999</v>
      </c>
      <c r="I236">
        <v>1250.7719727000001</v>
      </c>
      <c r="J236">
        <v>1211.3123779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28.884695000000001</v>
      </c>
      <c r="B237" s="1">
        <f>DATE(2010,5,29) + TIME(21,13,57)</f>
        <v>40327.884687500002</v>
      </c>
      <c r="C237">
        <v>90</v>
      </c>
      <c r="D237">
        <v>89.891883849999999</v>
      </c>
      <c r="E237">
        <v>60</v>
      </c>
      <c r="F237">
        <v>14.997094153999999</v>
      </c>
      <c r="G237">
        <v>1392.1992187999999</v>
      </c>
      <c r="H237">
        <v>1379.1585693</v>
      </c>
      <c r="I237">
        <v>1250.7777100000001</v>
      </c>
      <c r="J237">
        <v>1211.317749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29.254588999999999</v>
      </c>
      <c r="B238" s="1">
        <f>DATE(2010,5,30) + TIME(6,6,36)</f>
        <v>40328.254583333335</v>
      </c>
      <c r="C238">
        <v>90</v>
      </c>
      <c r="D238">
        <v>89.891921996999997</v>
      </c>
      <c r="E238">
        <v>60</v>
      </c>
      <c r="F238">
        <v>14.997109413</v>
      </c>
      <c r="G238">
        <v>1392.1120605000001</v>
      </c>
      <c r="H238">
        <v>1379.0761719</v>
      </c>
      <c r="I238">
        <v>1250.7834473</v>
      </c>
      <c r="J238">
        <v>1211.3232422000001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29.628297</v>
      </c>
      <c r="B239" s="1">
        <f>DATE(2010,5,30) + TIME(15,4,44)</f>
        <v>40328.628287037034</v>
      </c>
      <c r="C239">
        <v>90</v>
      </c>
      <c r="D239">
        <v>89.891952515</v>
      </c>
      <c r="E239">
        <v>60</v>
      </c>
      <c r="F239">
        <v>14.997123717999999</v>
      </c>
      <c r="G239">
        <v>1392.0251464999999</v>
      </c>
      <c r="H239">
        <v>1378.9940185999999</v>
      </c>
      <c r="I239">
        <v>1250.7893065999999</v>
      </c>
      <c r="J239">
        <v>1211.3288574000001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30.00628</v>
      </c>
      <c r="B240" s="1">
        <f>DATE(2010,5,31) + TIME(0,9,2)</f>
        <v>40329.006273148145</v>
      </c>
      <c r="C240">
        <v>90</v>
      </c>
      <c r="D240">
        <v>89.891990661999998</v>
      </c>
      <c r="E240">
        <v>60</v>
      </c>
      <c r="F240">
        <v>14.997138977000001</v>
      </c>
      <c r="G240">
        <v>1391.9384766000001</v>
      </c>
      <c r="H240">
        <v>1378.9121094</v>
      </c>
      <c r="I240">
        <v>1250.7951660000001</v>
      </c>
      <c r="J240">
        <v>1211.3344727000001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30.389019999999999</v>
      </c>
      <c r="B241" s="1">
        <f>DATE(2010,5,31) + TIME(9,20,11)</f>
        <v>40329.389016203706</v>
      </c>
      <c r="C241">
        <v>90</v>
      </c>
      <c r="D241">
        <v>89.892028808999996</v>
      </c>
      <c r="E241">
        <v>60</v>
      </c>
      <c r="F241">
        <v>14.997154236</v>
      </c>
      <c r="G241">
        <v>1391.8518065999999</v>
      </c>
      <c r="H241">
        <v>1378.8302002</v>
      </c>
      <c r="I241">
        <v>1250.8011475000001</v>
      </c>
      <c r="J241">
        <v>1211.3400879000001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30.777014999999999</v>
      </c>
      <c r="B242" s="1">
        <f>DATE(2010,5,31) + TIME(18,38,54)</f>
        <v>40329.777013888888</v>
      </c>
      <c r="C242">
        <v>90</v>
      </c>
      <c r="D242">
        <v>89.892066955999994</v>
      </c>
      <c r="E242">
        <v>60</v>
      </c>
      <c r="F242">
        <v>14.997169495</v>
      </c>
      <c r="G242">
        <v>1391.7651367000001</v>
      </c>
      <c r="H242">
        <v>1378.7482910000001</v>
      </c>
      <c r="I242">
        <v>1250.807251</v>
      </c>
      <c r="J242">
        <v>1211.3459473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31</v>
      </c>
      <c r="B243" s="1">
        <f>DATE(2010,6,1) + TIME(0,0,0)</f>
        <v>40330</v>
      </c>
      <c r="C243">
        <v>90</v>
      </c>
      <c r="D243">
        <v>89.892074585000003</v>
      </c>
      <c r="E243">
        <v>60</v>
      </c>
      <c r="F243">
        <v>14.997179985000001</v>
      </c>
      <c r="G243">
        <v>1391.6778564000001</v>
      </c>
      <c r="H243">
        <v>1378.6658935999999</v>
      </c>
      <c r="I243">
        <v>1250.8129882999999</v>
      </c>
      <c r="J243">
        <v>1211.3513184000001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31.393704</v>
      </c>
      <c r="B244" s="1">
        <f>DATE(2010,6,1) + TIME(9,26,56)</f>
        <v>40330.393703703703</v>
      </c>
      <c r="C244">
        <v>90</v>
      </c>
      <c r="D244">
        <v>89.892120360999996</v>
      </c>
      <c r="E244">
        <v>60</v>
      </c>
      <c r="F244">
        <v>14.997194289999999</v>
      </c>
      <c r="G244">
        <v>1391.628418</v>
      </c>
      <c r="H244">
        <v>1378.6192627</v>
      </c>
      <c r="I244">
        <v>1250.8170166</v>
      </c>
      <c r="J244">
        <v>1211.3552245999999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31.797643000000001</v>
      </c>
      <c r="B245" s="1">
        <f>DATE(2010,6,1) + TIME(19,8,36)</f>
        <v>40330.797638888886</v>
      </c>
      <c r="C245">
        <v>90</v>
      </c>
      <c r="D245">
        <v>89.892158507999994</v>
      </c>
      <c r="E245">
        <v>60</v>
      </c>
      <c r="F245">
        <v>14.997209549000001</v>
      </c>
      <c r="G245">
        <v>1391.5424805</v>
      </c>
      <c r="H245">
        <v>1378.5382079999999</v>
      </c>
      <c r="I245">
        <v>1250.8232422000001</v>
      </c>
      <c r="J245">
        <v>1211.3610839999999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32.203893000000001</v>
      </c>
      <c r="B246" s="1">
        <f>DATE(2010,6,2) + TIME(4,53,36)</f>
        <v>40331.203888888886</v>
      </c>
      <c r="C246">
        <v>90</v>
      </c>
      <c r="D246">
        <v>89.892196655000006</v>
      </c>
      <c r="E246">
        <v>60</v>
      </c>
      <c r="F246">
        <v>14.997223854</v>
      </c>
      <c r="G246">
        <v>1391.4548339999999</v>
      </c>
      <c r="H246">
        <v>1378.4555664</v>
      </c>
      <c r="I246">
        <v>1250.8297118999999</v>
      </c>
      <c r="J246">
        <v>1211.3673096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32.611403000000003</v>
      </c>
      <c r="B247" s="1">
        <f>DATE(2010,6,2) + TIME(14,40,25)</f>
        <v>40331.611400462964</v>
      </c>
      <c r="C247">
        <v>90</v>
      </c>
      <c r="D247">
        <v>89.892234802000004</v>
      </c>
      <c r="E247">
        <v>60</v>
      </c>
      <c r="F247">
        <v>14.997239112999999</v>
      </c>
      <c r="G247">
        <v>1391.3677978999999</v>
      </c>
      <c r="H247">
        <v>1378.3735352000001</v>
      </c>
      <c r="I247">
        <v>1250.8361815999999</v>
      </c>
      <c r="J247">
        <v>1211.3734131000001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33.020721999999999</v>
      </c>
      <c r="B248" s="1">
        <f>DATE(2010,6,3) + TIME(0,29,50)</f>
        <v>40332.02071759259</v>
      </c>
      <c r="C248">
        <v>90</v>
      </c>
      <c r="D248">
        <v>89.892280579000001</v>
      </c>
      <c r="E248">
        <v>60</v>
      </c>
      <c r="F248">
        <v>14.997254372</v>
      </c>
      <c r="G248">
        <v>1391.2814940999999</v>
      </c>
      <c r="H248">
        <v>1378.2922363</v>
      </c>
      <c r="I248">
        <v>1250.8427733999999</v>
      </c>
      <c r="J248">
        <v>1211.3796387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33.432402000000003</v>
      </c>
      <c r="B249" s="1">
        <f>DATE(2010,6,3) + TIME(10,22,39)</f>
        <v>40332.432395833333</v>
      </c>
      <c r="C249">
        <v>90</v>
      </c>
      <c r="D249">
        <v>89.892318725999999</v>
      </c>
      <c r="E249">
        <v>60</v>
      </c>
      <c r="F249">
        <v>14.99726963</v>
      </c>
      <c r="G249">
        <v>1391.1959228999999</v>
      </c>
      <c r="H249">
        <v>1378.2116699000001</v>
      </c>
      <c r="I249">
        <v>1250.8493652</v>
      </c>
      <c r="J249">
        <v>1211.3859863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33.846991000000003</v>
      </c>
      <c r="B250" s="1">
        <f>DATE(2010,6,3) + TIME(20,19,40)</f>
        <v>40332.846990740742</v>
      </c>
      <c r="C250">
        <v>90</v>
      </c>
      <c r="D250">
        <v>89.892356872999997</v>
      </c>
      <c r="E250">
        <v>60</v>
      </c>
      <c r="F250">
        <v>14.997283936000001</v>
      </c>
      <c r="G250">
        <v>1391.1107178</v>
      </c>
      <c r="H250">
        <v>1378.1314697</v>
      </c>
      <c r="I250">
        <v>1250.8560791</v>
      </c>
      <c r="J250">
        <v>1211.3923339999999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34.2652</v>
      </c>
      <c r="B251" s="1">
        <f>DATE(2010,6,4) + TIME(6,21,53)</f>
        <v>40333.265196759261</v>
      </c>
      <c r="C251">
        <v>90</v>
      </c>
      <c r="D251">
        <v>89.892395019999995</v>
      </c>
      <c r="E251">
        <v>60</v>
      </c>
      <c r="F251">
        <v>14.997299194</v>
      </c>
      <c r="G251">
        <v>1391.0261230000001</v>
      </c>
      <c r="H251">
        <v>1378.0517577999999</v>
      </c>
      <c r="I251">
        <v>1250.862793</v>
      </c>
      <c r="J251">
        <v>1211.3986815999999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34.686069000000003</v>
      </c>
      <c r="B252" s="1">
        <f>DATE(2010,6,4) + TIME(16,27,56)</f>
        <v>40333.686064814814</v>
      </c>
      <c r="C252">
        <v>90</v>
      </c>
      <c r="D252">
        <v>89.892440796000002</v>
      </c>
      <c r="E252">
        <v>60</v>
      </c>
      <c r="F252">
        <v>14.997313499000001</v>
      </c>
      <c r="G252">
        <v>1390.9416504000001</v>
      </c>
      <c r="H252">
        <v>1377.9724120999999</v>
      </c>
      <c r="I252">
        <v>1250.8696289</v>
      </c>
      <c r="J252">
        <v>1211.4051514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35.108108999999999</v>
      </c>
      <c r="B253" s="1">
        <f>DATE(2010,6,5) + TIME(2,35,40)</f>
        <v>40334.108101851853</v>
      </c>
      <c r="C253">
        <v>90</v>
      </c>
      <c r="D253">
        <v>89.892478943</v>
      </c>
      <c r="E253">
        <v>60</v>
      </c>
      <c r="F253">
        <v>14.997328758</v>
      </c>
      <c r="G253">
        <v>1390.8576660000001</v>
      </c>
      <c r="H253">
        <v>1377.8934326000001</v>
      </c>
      <c r="I253">
        <v>1250.8764647999999</v>
      </c>
      <c r="J253">
        <v>1211.4117432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35.53181</v>
      </c>
      <c r="B254" s="1">
        <f>DATE(2010,6,5) + TIME(12,45,48)</f>
        <v>40334.531805555554</v>
      </c>
      <c r="C254">
        <v>90</v>
      </c>
      <c r="D254">
        <v>89.892524718999994</v>
      </c>
      <c r="E254">
        <v>60</v>
      </c>
      <c r="F254">
        <v>14.997343063000001</v>
      </c>
      <c r="G254">
        <v>1390.7744141000001</v>
      </c>
      <c r="H254">
        <v>1377.8150635</v>
      </c>
      <c r="I254">
        <v>1250.8834228999999</v>
      </c>
      <c r="J254">
        <v>1211.4182129000001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35.957838000000002</v>
      </c>
      <c r="B255" s="1">
        <f>DATE(2010,6,5) + TIME(22,59,17)</f>
        <v>40334.957835648151</v>
      </c>
      <c r="C255">
        <v>90</v>
      </c>
      <c r="D255">
        <v>89.892562866000006</v>
      </c>
      <c r="E255">
        <v>60</v>
      </c>
      <c r="F255">
        <v>14.997358322</v>
      </c>
      <c r="G255">
        <v>1390.6917725000001</v>
      </c>
      <c r="H255">
        <v>1377.7374268000001</v>
      </c>
      <c r="I255">
        <v>1250.8903809000001</v>
      </c>
      <c r="J255">
        <v>1211.4248047000001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36.38653</v>
      </c>
      <c r="B256" s="1">
        <f>DATE(2010,6,6) + TIME(9,16,36)</f>
        <v>40335.38652777778</v>
      </c>
      <c r="C256">
        <v>90</v>
      </c>
      <c r="D256">
        <v>89.892608643000003</v>
      </c>
      <c r="E256">
        <v>60</v>
      </c>
      <c r="F256">
        <v>14.997372627000001</v>
      </c>
      <c r="G256">
        <v>1390.6096190999999</v>
      </c>
      <c r="H256">
        <v>1377.6602783000001</v>
      </c>
      <c r="I256">
        <v>1250.8973389</v>
      </c>
      <c r="J256">
        <v>1211.4315185999999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36.818368999999997</v>
      </c>
      <c r="B257" s="1">
        <f>DATE(2010,6,6) + TIME(19,38,27)</f>
        <v>40335.818368055552</v>
      </c>
      <c r="C257">
        <v>90</v>
      </c>
      <c r="D257">
        <v>89.892646790000001</v>
      </c>
      <c r="E257">
        <v>60</v>
      </c>
      <c r="F257">
        <v>14.997386932</v>
      </c>
      <c r="G257">
        <v>1390.527832</v>
      </c>
      <c r="H257">
        <v>1377.5836182</v>
      </c>
      <c r="I257">
        <v>1250.9044189000001</v>
      </c>
      <c r="J257">
        <v>1211.4382324000001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37.253850999999997</v>
      </c>
      <c r="B258" s="1">
        <f>DATE(2010,6,7) + TIME(6,5,32)</f>
        <v>40336.253842592596</v>
      </c>
      <c r="C258">
        <v>90</v>
      </c>
      <c r="D258">
        <v>89.892692565999994</v>
      </c>
      <c r="E258">
        <v>60</v>
      </c>
      <c r="F258">
        <v>14.997401237</v>
      </c>
      <c r="G258">
        <v>1390.4465332</v>
      </c>
      <c r="H258">
        <v>1377.5072021000001</v>
      </c>
      <c r="I258">
        <v>1250.9116211</v>
      </c>
      <c r="J258">
        <v>1211.4450684000001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37.6935</v>
      </c>
      <c r="B259" s="1">
        <f>DATE(2010,6,7) + TIME(16,38,38)</f>
        <v>40336.693495370368</v>
      </c>
      <c r="C259">
        <v>90</v>
      </c>
      <c r="D259">
        <v>89.892738342000001</v>
      </c>
      <c r="E259">
        <v>60</v>
      </c>
      <c r="F259">
        <v>14.997415543000001</v>
      </c>
      <c r="G259">
        <v>1390.3653564000001</v>
      </c>
      <c r="H259">
        <v>1377.4310303</v>
      </c>
      <c r="I259">
        <v>1250.9189452999999</v>
      </c>
      <c r="J259">
        <v>1211.4519043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38.137861000000001</v>
      </c>
      <c r="B260" s="1">
        <f>DATE(2010,6,8) + TIME(3,18,31)</f>
        <v>40337.137858796297</v>
      </c>
      <c r="C260">
        <v>90</v>
      </c>
      <c r="D260">
        <v>89.892784118999998</v>
      </c>
      <c r="E260">
        <v>60</v>
      </c>
      <c r="F260">
        <v>14.997429847999999</v>
      </c>
      <c r="G260">
        <v>1390.2843018000001</v>
      </c>
      <c r="H260">
        <v>1377.3549805</v>
      </c>
      <c r="I260">
        <v>1250.9262695</v>
      </c>
      <c r="J260">
        <v>1211.4588623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38.587499000000001</v>
      </c>
      <c r="B261" s="1">
        <f>DATE(2010,6,8) + TIME(14,5,59)</f>
        <v>40337.587488425925</v>
      </c>
      <c r="C261">
        <v>90</v>
      </c>
      <c r="D261">
        <v>89.892829895000006</v>
      </c>
      <c r="E261">
        <v>60</v>
      </c>
      <c r="F261">
        <v>14.997444153</v>
      </c>
      <c r="G261">
        <v>1390.2032471</v>
      </c>
      <c r="H261">
        <v>1377.2790527</v>
      </c>
      <c r="I261">
        <v>1250.9337158000001</v>
      </c>
      <c r="J261">
        <v>1211.4659423999999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39.043008999999998</v>
      </c>
      <c r="B262" s="1">
        <f>DATE(2010,6,9) + TIME(1,1,55)</f>
        <v>40338.042997685188</v>
      </c>
      <c r="C262">
        <v>90</v>
      </c>
      <c r="D262">
        <v>89.892875670999999</v>
      </c>
      <c r="E262">
        <v>60</v>
      </c>
      <c r="F262">
        <v>14.997458458000001</v>
      </c>
      <c r="G262">
        <v>1390.1221923999999</v>
      </c>
      <c r="H262">
        <v>1377.203125</v>
      </c>
      <c r="I262">
        <v>1250.9412841999999</v>
      </c>
      <c r="J262">
        <v>1211.4731445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39.504916000000001</v>
      </c>
      <c r="B263" s="1">
        <f>DATE(2010,6,9) + TIME(12,7,4)</f>
        <v>40338.504907407405</v>
      </c>
      <c r="C263">
        <v>90</v>
      </c>
      <c r="D263">
        <v>89.892921447999996</v>
      </c>
      <c r="E263">
        <v>60</v>
      </c>
      <c r="F263">
        <v>14.997473717</v>
      </c>
      <c r="G263">
        <v>1390.0410156</v>
      </c>
      <c r="H263">
        <v>1377.1270752</v>
      </c>
      <c r="I263">
        <v>1250.9489745999999</v>
      </c>
      <c r="J263">
        <v>1211.4803466999999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39.973855</v>
      </c>
      <c r="B264" s="1">
        <f>DATE(2010,6,9) + TIME(23,22,21)</f>
        <v>40338.973854166667</v>
      </c>
      <c r="C264">
        <v>90</v>
      </c>
      <c r="D264">
        <v>89.892967224000003</v>
      </c>
      <c r="E264">
        <v>60</v>
      </c>
      <c r="F264">
        <v>14.997488022000001</v>
      </c>
      <c r="G264">
        <v>1389.9597168</v>
      </c>
      <c r="H264">
        <v>1377.0507812000001</v>
      </c>
      <c r="I264">
        <v>1250.9567870999999</v>
      </c>
      <c r="J264">
        <v>1211.487793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40.449092999999998</v>
      </c>
      <c r="B265" s="1">
        <f>DATE(2010,6,10) + TIME(10,46,41)</f>
        <v>40339.44908564815</v>
      </c>
      <c r="C265">
        <v>90</v>
      </c>
      <c r="D265">
        <v>89.893020629999995</v>
      </c>
      <c r="E265">
        <v>60</v>
      </c>
      <c r="F265">
        <v>14.997502326999999</v>
      </c>
      <c r="G265">
        <v>1389.8779297000001</v>
      </c>
      <c r="H265">
        <v>1376.9742432</v>
      </c>
      <c r="I265">
        <v>1250.9647216999999</v>
      </c>
      <c r="J265">
        <v>1211.4953613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40.926347999999997</v>
      </c>
      <c r="B266" s="1">
        <f>DATE(2010,6,10) + TIME(22,13,56)</f>
        <v>40339.926342592589</v>
      </c>
      <c r="C266">
        <v>90</v>
      </c>
      <c r="D266">
        <v>89.893066406000003</v>
      </c>
      <c r="E266">
        <v>60</v>
      </c>
      <c r="F266">
        <v>14.997516632</v>
      </c>
      <c r="G266">
        <v>1389.7960204999999</v>
      </c>
      <c r="H266">
        <v>1376.8975829999999</v>
      </c>
      <c r="I266">
        <v>1250.9729004000001</v>
      </c>
      <c r="J266">
        <v>1211.5030518000001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41.406295999999998</v>
      </c>
      <c r="B267" s="1">
        <f>DATE(2010,6,11) + TIME(9,45,3)</f>
        <v>40340.406284722223</v>
      </c>
      <c r="C267">
        <v>90</v>
      </c>
      <c r="D267">
        <v>89.893119811999995</v>
      </c>
      <c r="E267">
        <v>60</v>
      </c>
      <c r="F267">
        <v>14.997530937000001</v>
      </c>
      <c r="G267">
        <v>1389.7147216999999</v>
      </c>
      <c r="H267">
        <v>1376.8214111</v>
      </c>
      <c r="I267">
        <v>1250.9810791</v>
      </c>
      <c r="J267">
        <v>1211.5107422000001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41.889605000000003</v>
      </c>
      <c r="B268" s="1">
        <f>DATE(2010,6,11) + TIME(21,21,1)</f>
        <v>40340.889594907407</v>
      </c>
      <c r="C268">
        <v>90</v>
      </c>
      <c r="D268">
        <v>89.893165588000002</v>
      </c>
      <c r="E268">
        <v>60</v>
      </c>
      <c r="F268">
        <v>14.997546196</v>
      </c>
      <c r="G268">
        <v>1389.6337891000001</v>
      </c>
      <c r="H268">
        <v>1376.7457274999999</v>
      </c>
      <c r="I268">
        <v>1250.9892577999999</v>
      </c>
      <c r="J268">
        <v>1211.5185547000001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42.375615000000003</v>
      </c>
      <c r="B269" s="1">
        <f>DATE(2010,6,12) + TIME(9,0,53)</f>
        <v>40341.375613425924</v>
      </c>
      <c r="C269">
        <v>90</v>
      </c>
      <c r="D269">
        <v>89.893218993999994</v>
      </c>
      <c r="E269">
        <v>60</v>
      </c>
      <c r="F269">
        <v>14.997560501000001</v>
      </c>
      <c r="G269">
        <v>1389.5532227000001</v>
      </c>
      <c r="H269">
        <v>1376.6704102000001</v>
      </c>
      <c r="I269">
        <v>1250.9976807</v>
      </c>
      <c r="J269">
        <v>1211.5263672000001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42.861879000000002</v>
      </c>
      <c r="B270" s="1">
        <f>DATE(2010,6,12) + TIME(20,41,6)</f>
        <v>40341.861875000002</v>
      </c>
      <c r="C270">
        <v>90</v>
      </c>
      <c r="D270">
        <v>89.893272400000001</v>
      </c>
      <c r="E270">
        <v>60</v>
      </c>
      <c r="F270">
        <v>14.997574805999999</v>
      </c>
      <c r="G270">
        <v>1389.4730225000001</v>
      </c>
      <c r="H270">
        <v>1376.5954589999999</v>
      </c>
      <c r="I270">
        <v>1251.0061035000001</v>
      </c>
      <c r="J270">
        <v>1211.5344238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43.348979999999997</v>
      </c>
      <c r="B271" s="1">
        <f>DATE(2010,6,13) + TIME(8,22,31)</f>
        <v>40342.348969907405</v>
      </c>
      <c r="C271">
        <v>90</v>
      </c>
      <c r="D271">
        <v>89.893318175999994</v>
      </c>
      <c r="E271">
        <v>60</v>
      </c>
      <c r="F271">
        <v>14.997589111</v>
      </c>
      <c r="G271">
        <v>1389.3936768000001</v>
      </c>
      <c r="H271">
        <v>1376.5212402</v>
      </c>
      <c r="I271">
        <v>1251.0145264</v>
      </c>
      <c r="J271">
        <v>1211.5423584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43.837497999999997</v>
      </c>
      <c r="B272" s="1">
        <f>DATE(2010,6,13) + TIME(20,5,59)</f>
        <v>40342.837488425925</v>
      </c>
      <c r="C272">
        <v>90</v>
      </c>
      <c r="D272">
        <v>89.893371582</v>
      </c>
      <c r="E272">
        <v>60</v>
      </c>
      <c r="F272">
        <v>14.997602463</v>
      </c>
      <c r="G272">
        <v>1389.3150635</v>
      </c>
      <c r="H272">
        <v>1376.4477539</v>
      </c>
      <c r="I272">
        <v>1251.0229492000001</v>
      </c>
      <c r="J272">
        <v>1211.5504149999999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44.328090000000003</v>
      </c>
      <c r="B273" s="1">
        <f>DATE(2010,6,14) + TIME(7,52,27)</f>
        <v>40343.328090277777</v>
      </c>
      <c r="C273">
        <v>90</v>
      </c>
      <c r="D273">
        <v>89.893424988000007</v>
      </c>
      <c r="E273">
        <v>60</v>
      </c>
      <c r="F273">
        <v>14.997616768</v>
      </c>
      <c r="G273">
        <v>1389.2371826000001</v>
      </c>
      <c r="H273">
        <v>1376.3748779</v>
      </c>
      <c r="I273">
        <v>1251.0316161999999</v>
      </c>
      <c r="J273">
        <v>1211.5584716999999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44.821389000000003</v>
      </c>
      <c r="B274" s="1">
        <f>DATE(2010,6,14) + TIME(19,42,47)</f>
        <v>40343.821377314816</v>
      </c>
      <c r="C274">
        <v>90</v>
      </c>
      <c r="D274">
        <v>89.893478393999999</v>
      </c>
      <c r="E274">
        <v>60</v>
      </c>
      <c r="F274">
        <v>14.997631073000001</v>
      </c>
      <c r="G274">
        <v>1389.159668</v>
      </c>
      <c r="H274">
        <v>1376.3024902</v>
      </c>
      <c r="I274">
        <v>1251.0401611</v>
      </c>
      <c r="J274">
        <v>1211.5666504000001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45.317839999999997</v>
      </c>
      <c r="B275" s="1">
        <f>DATE(2010,6,15) + TIME(7,37,41)</f>
        <v>40344.317835648151</v>
      </c>
      <c r="C275">
        <v>90</v>
      </c>
      <c r="D275">
        <v>89.893531799000002</v>
      </c>
      <c r="E275">
        <v>60</v>
      </c>
      <c r="F275">
        <v>14.997644424000001</v>
      </c>
      <c r="G275">
        <v>1389.0825195</v>
      </c>
      <c r="H275">
        <v>1376.2304687999999</v>
      </c>
      <c r="I275">
        <v>1251.0489502</v>
      </c>
      <c r="J275">
        <v>1211.5748291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45.818030999999998</v>
      </c>
      <c r="B276" s="1">
        <f>DATE(2010,6,15) + TIME(19,37,57)</f>
        <v>40344.818020833336</v>
      </c>
      <c r="C276">
        <v>90</v>
      </c>
      <c r="D276">
        <v>89.893585204999994</v>
      </c>
      <c r="E276">
        <v>60</v>
      </c>
      <c r="F276">
        <v>14.997658729999999</v>
      </c>
      <c r="G276">
        <v>1389.0057373</v>
      </c>
      <c r="H276">
        <v>1376.1588135</v>
      </c>
      <c r="I276">
        <v>1251.0577393000001</v>
      </c>
      <c r="J276">
        <v>1211.5831298999999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46.322552000000002</v>
      </c>
      <c r="B277" s="1">
        <f>DATE(2010,6,16) + TIME(7,44,28)</f>
        <v>40345.322546296295</v>
      </c>
      <c r="C277">
        <v>90</v>
      </c>
      <c r="D277">
        <v>89.893638611</v>
      </c>
      <c r="E277">
        <v>60</v>
      </c>
      <c r="F277">
        <v>14.997672080999999</v>
      </c>
      <c r="G277">
        <v>1388.9291992000001</v>
      </c>
      <c r="H277">
        <v>1376.0872803</v>
      </c>
      <c r="I277">
        <v>1251.0666504000001</v>
      </c>
      <c r="J277">
        <v>1211.5915527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46.832016000000003</v>
      </c>
      <c r="B278" s="1">
        <f>DATE(2010,6,16) + TIME(19,58,6)</f>
        <v>40345.832013888888</v>
      </c>
      <c r="C278">
        <v>90</v>
      </c>
      <c r="D278">
        <v>89.893692017000006</v>
      </c>
      <c r="E278">
        <v>60</v>
      </c>
      <c r="F278">
        <v>14.997686386</v>
      </c>
      <c r="G278">
        <v>1388.8526611</v>
      </c>
      <c r="H278">
        <v>1376.0159911999999</v>
      </c>
      <c r="I278">
        <v>1251.0756836</v>
      </c>
      <c r="J278">
        <v>1211.6000977000001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47.347064000000003</v>
      </c>
      <c r="B279" s="1">
        <f>DATE(2010,6,17) + TIME(8,19,46)</f>
        <v>40346.347060185188</v>
      </c>
      <c r="C279">
        <v>90</v>
      </c>
      <c r="D279">
        <v>89.893753051999994</v>
      </c>
      <c r="E279">
        <v>60</v>
      </c>
      <c r="F279">
        <v>14.997699738</v>
      </c>
      <c r="G279">
        <v>1388.7762451000001</v>
      </c>
      <c r="H279">
        <v>1375.9447021000001</v>
      </c>
      <c r="I279">
        <v>1251.0848389</v>
      </c>
      <c r="J279">
        <v>1211.6086425999999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47.868367999999997</v>
      </c>
      <c r="B280" s="1">
        <f>DATE(2010,6,17) + TIME(20,50,27)</f>
        <v>40346.868368055555</v>
      </c>
      <c r="C280">
        <v>90</v>
      </c>
      <c r="D280">
        <v>89.893806458</v>
      </c>
      <c r="E280">
        <v>60</v>
      </c>
      <c r="F280">
        <v>14.997714043</v>
      </c>
      <c r="G280">
        <v>1388.6998291</v>
      </c>
      <c r="H280">
        <v>1375.8734131000001</v>
      </c>
      <c r="I280">
        <v>1251.0941161999999</v>
      </c>
      <c r="J280">
        <v>1211.6174315999999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48.396568000000002</v>
      </c>
      <c r="B281" s="1">
        <f>DATE(2010,6,18) + TIME(9,31,3)</f>
        <v>40347.396562499998</v>
      </c>
      <c r="C281">
        <v>90</v>
      </c>
      <c r="D281">
        <v>89.893867493000002</v>
      </c>
      <c r="E281">
        <v>60</v>
      </c>
      <c r="F281">
        <v>14.997727394</v>
      </c>
      <c r="G281">
        <v>1388.6232910000001</v>
      </c>
      <c r="H281">
        <v>1375.802124</v>
      </c>
      <c r="I281">
        <v>1251.1035156</v>
      </c>
      <c r="J281">
        <v>1211.6263428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48.932310000000001</v>
      </c>
      <c r="B282" s="1">
        <f>DATE(2010,6,18) + TIME(22,22,31)</f>
        <v>40347.932303240741</v>
      </c>
      <c r="C282">
        <v>90</v>
      </c>
      <c r="D282">
        <v>89.893920898000005</v>
      </c>
      <c r="E282">
        <v>60</v>
      </c>
      <c r="F282">
        <v>14.997741699000001</v>
      </c>
      <c r="G282">
        <v>1388.5465088000001</v>
      </c>
      <c r="H282">
        <v>1375.7304687999999</v>
      </c>
      <c r="I282">
        <v>1251.1131591999999</v>
      </c>
      <c r="J282">
        <v>1211.635376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49.476495</v>
      </c>
      <c r="B283" s="1">
        <f>DATE(2010,6,19) + TIME(11,26,9)</f>
        <v>40348.476493055554</v>
      </c>
      <c r="C283">
        <v>90</v>
      </c>
      <c r="D283">
        <v>89.893981933999996</v>
      </c>
      <c r="E283">
        <v>60</v>
      </c>
      <c r="F283">
        <v>14.997756003999999</v>
      </c>
      <c r="G283">
        <v>1388.4694824000001</v>
      </c>
      <c r="H283">
        <v>1375.6586914</v>
      </c>
      <c r="I283">
        <v>1251.1229248</v>
      </c>
      <c r="J283">
        <v>1211.6446533000001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50.027507999999997</v>
      </c>
      <c r="B284" s="1">
        <f>DATE(2010,6,20) + TIME(0,39,36)</f>
        <v>40349.027499999997</v>
      </c>
      <c r="C284">
        <v>90</v>
      </c>
      <c r="D284">
        <v>89.894042968999997</v>
      </c>
      <c r="E284">
        <v>60</v>
      </c>
      <c r="F284">
        <v>14.997769355999999</v>
      </c>
      <c r="G284">
        <v>1388.3919678</v>
      </c>
      <c r="H284">
        <v>1375.5865478999999</v>
      </c>
      <c r="I284">
        <v>1251.1329346</v>
      </c>
      <c r="J284">
        <v>1211.6540527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50.304622000000002</v>
      </c>
      <c r="B285" s="1">
        <f>DATE(2010,6,20) + TIME(7,18,39)</f>
        <v>40349.304618055554</v>
      </c>
      <c r="C285">
        <v>90</v>
      </c>
      <c r="D285">
        <v>89.894065857000001</v>
      </c>
      <c r="E285">
        <v>60</v>
      </c>
      <c r="F285">
        <v>14.997778893</v>
      </c>
      <c r="G285">
        <v>1388.3138428</v>
      </c>
      <c r="H285">
        <v>1375.5136719</v>
      </c>
      <c r="I285">
        <v>1251.1425781</v>
      </c>
      <c r="J285">
        <v>1211.6629639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50.581736999999997</v>
      </c>
      <c r="B286" s="1">
        <f>DATE(2010,6,20) + TIME(13,57,42)</f>
        <v>40349.581736111111</v>
      </c>
      <c r="C286">
        <v>90</v>
      </c>
      <c r="D286">
        <v>89.894088745000005</v>
      </c>
      <c r="E286">
        <v>60</v>
      </c>
      <c r="F286">
        <v>14.997787475999999</v>
      </c>
      <c r="G286">
        <v>1388.2742920000001</v>
      </c>
      <c r="H286">
        <v>1375.4766846</v>
      </c>
      <c r="I286">
        <v>1251.1478271000001</v>
      </c>
      <c r="J286">
        <v>1211.6679687999999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50.858851000000001</v>
      </c>
      <c r="B287" s="1">
        <f>DATE(2010,6,20) + TIME(20,36,44)</f>
        <v>40349.858842592592</v>
      </c>
      <c r="C287">
        <v>90</v>
      </c>
      <c r="D287">
        <v>89.894119262999993</v>
      </c>
      <c r="E287">
        <v>60</v>
      </c>
      <c r="F287">
        <v>14.997795105</v>
      </c>
      <c r="G287">
        <v>1388.2355957</v>
      </c>
      <c r="H287">
        <v>1375.4406738</v>
      </c>
      <c r="I287">
        <v>1251.1529541</v>
      </c>
      <c r="J287">
        <v>1211.6728516000001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51.135966000000003</v>
      </c>
      <c r="B288" s="1">
        <f>DATE(2010,6,21) + TIME(3,15,47)</f>
        <v>40350.135960648149</v>
      </c>
      <c r="C288">
        <v>90</v>
      </c>
      <c r="D288">
        <v>89.894149780000006</v>
      </c>
      <c r="E288">
        <v>60</v>
      </c>
      <c r="F288">
        <v>14.997802734</v>
      </c>
      <c r="G288">
        <v>1388.1972656</v>
      </c>
      <c r="H288">
        <v>1375.4049072</v>
      </c>
      <c r="I288">
        <v>1251.1582031</v>
      </c>
      <c r="J288">
        <v>1211.6777344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51.413080000000001</v>
      </c>
      <c r="B289" s="1">
        <f>DATE(2010,6,21) + TIME(9,54,50)</f>
        <v>40350.413078703707</v>
      </c>
      <c r="C289">
        <v>90</v>
      </c>
      <c r="D289">
        <v>89.894180297999995</v>
      </c>
      <c r="E289">
        <v>60</v>
      </c>
      <c r="F289">
        <v>14.997810363999999</v>
      </c>
      <c r="G289">
        <v>1388.1590576000001</v>
      </c>
      <c r="H289">
        <v>1375.3692627</v>
      </c>
      <c r="I289">
        <v>1251.1633300999999</v>
      </c>
      <c r="J289">
        <v>1211.6824951000001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51.690195000000003</v>
      </c>
      <c r="B290" s="1">
        <f>DATE(2010,6,21) + TIME(16,33,52)</f>
        <v>40350.690185185187</v>
      </c>
      <c r="C290">
        <v>90</v>
      </c>
      <c r="D290">
        <v>89.894210814999994</v>
      </c>
      <c r="E290">
        <v>60</v>
      </c>
      <c r="F290">
        <v>14.997817993</v>
      </c>
      <c r="G290">
        <v>1388.1210937999999</v>
      </c>
      <c r="H290">
        <v>1375.3338623</v>
      </c>
      <c r="I290">
        <v>1251.1685791</v>
      </c>
      <c r="J290">
        <v>1211.6873779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51.967309</v>
      </c>
      <c r="B291" s="1">
        <f>DATE(2010,6,21) + TIME(23,12,55)</f>
        <v>40350.967303240737</v>
      </c>
      <c r="C291">
        <v>90</v>
      </c>
      <c r="D291">
        <v>89.894241332999997</v>
      </c>
      <c r="E291">
        <v>60</v>
      </c>
      <c r="F291">
        <v>14.997824669</v>
      </c>
      <c r="G291">
        <v>1388.0832519999999</v>
      </c>
      <c r="H291">
        <v>1375.2987060999999</v>
      </c>
      <c r="I291">
        <v>1251.1737060999999</v>
      </c>
      <c r="J291">
        <v>1211.6923827999999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52.244424000000002</v>
      </c>
      <c r="B292" s="1">
        <f>DATE(2010,6,22) + TIME(5,51,58)</f>
        <v>40351.244421296295</v>
      </c>
      <c r="C292">
        <v>90</v>
      </c>
      <c r="D292">
        <v>89.894271850999999</v>
      </c>
      <c r="E292">
        <v>60</v>
      </c>
      <c r="F292">
        <v>14.997832298000001</v>
      </c>
      <c r="G292">
        <v>1388.0456543</v>
      </c>
      <c r="H292">
        <v>1375.2636719</v>
      </c>
      <c r="I292">
        <v>1251.1789550999999</v>
      </c>
      <c r="J292">
        <v>1211.6972656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52.521538</v>
      </c>
      <c r="B293" s="1">
        <f>DATE(2010,6,22) + TIME(12,31,0)</f>
        <v>40351.521527777775</v>
      </c>
      <c r="C293">
        <v>90</v>
      </c>
      <c r="D293">
        <v>89.894302367999998</v>
      </c>
      <c r="E293">
        <v>60</v>
      </c>
      <c r="F293">
        <v>14.997838974</v>
      </c>
      <c r="G293">
        <v>1388.0083007999999</v>
      </c>
      <c r="H293">
        <v>1375.2287598</v>
      </c>
      <c r="I293">
        <v>1251.1842041</v>
      </c>
      <c r="J293">
        <v>1211.7021483999999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52.798653000000002</v>
      </c>
      <c r="B294" s="1">
        <f>DATE(2010,6,22) + TIME(19,10,3)</f>
        <v>40351.798645833333</v>
      </c>
      <c r="C294">
        <v>90</v>
      </c>
      <c r="D294">
        <v>89.894332886000001</v>
      </c>
      <c r="E294">
        <v>60</v>
      </c>
      <c r="F294">
        <v>14.99784565</v>
      </c>
      <c r="G294">
        <v>1387.9710693</v>
      </c>
      <c r="H294">
        <v>1375.1940918</v>
      </c>
      <c r="I294">
        <v>1251.1894531</v>
      </c>
      <c r="J294">
        <v>1211.7070312000001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53.352882000000001</v>
      </c>
      <c r="B295" s="1">
        <f>DATE(2010,6,23) + TIME(8,28,9)</f>
        <v>40352.352881944447</v>
      </c>
      <c r="C295">
        <v>90</v>
      </c>
      <c r="D295">
        <v>89.894409179999997</v>
      </c>
      <c r="E295">
        <v>60</v>
      </c>
      <c r="F295">
        <v>14.997857094</v>
      </c>
      <c r="G295">
        <v>1387.9348144999999</v>
      </c>
      <c r="H295">
        <v>1375.1604004000001</v>
      </c>
      <c r="I295">
        <v>1251.1951904</v>
      </c>
      <c r="J295">
        <v>1211.7124022999999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53.908149999999999</v>
      </c>
      <c r="B296" s="1">
        <f>DATE(2010,6,23) + TIME(21,47,44)</f>
        <v>40352.908148148148</v>
      </c>
      <c r="C296">
        <v>90</v>
      </c>
      <c r="D296">
        <v>89.894470214999998</v>
      </c>
      <c r="E296">
        <v>60</v>
      </c>
      <c r="F296">
        <v>14.997868538000001</v>
      </c>
      <c r="G296">
        <v>1387.8616943</v>
      </c>
      <c r="H296">
        <v>1375.0925293</v>
      </c>
      <c r="I296">
        <v>1251.2055664</v>
      </c>
      <c r="J296">
        <v>1211.7222899999999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54.466701999999998</v>
      </c>
      <c r="B297" s="1">
        <f>DATE(2010,6,24) + TIME(11,12,3)</f>
        <v>40353.46670138889</v>
      </c>
      <c r="C297">
        <v>90</v>
      </c>
      <c r="D297">
        <v>89.894538878999995</v>
      </c>
      <c r="E297">
        <v>60</v>
      </c>
      <c r="F297">
        <v>14.997880936</v>
      </c>
      <c r="G297">
        <v>1387.7888184000001</v>
      </c>
      <c r="H297">
        <v>1375.0246582</v>
      </c>
      <c r="I297">
        <v>1251.2161865</v>
      </c>
      <c r="J297">
        <v>1211.7321777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55.029083999999997</v>
      </c>
      <c r="B298" s="1">
        <f>DATE(2010,6,25) + TIME(0,41,52)</f>
        <v>40354.029074074075</v>
      </c>
      <c r="C298">
        <v>90</v>
      </c>
      <c r="D298">
        <v>89.894599915000001</v>
      </c>
      <c r="E298">
        <v>60</v>
      </c>
      <c r="F298">
        <v>14.997893333</v>
      </c>
      <c r="G298">
        <v>1387.7161865</v>
      </c>
      <c r="H298">
        <v>1374.9570312000001</v>
      </c>
      <c r="I298">
        <v>1251.2269286999999</v>
      </c>
      <c r="J298">
        <v>1211.7421875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55.595953000000002</v>
      </c>
      <c r="B299" s="1">
        <f>DATE(2010,6,25) + TIME(14,18,10)</f>
        <v>40354.595949074072</v>
      </c>
      <c r="C299">
        <v>90</v>
      </c>
      <c r="D299">
        <v>89.894668578999998</v>
      </c>
      <c r="E299">
        <v>60</v>
      </c>
      <c r="F299">
        <v>14.997906685</v>
      </c>
      <c r="G299">
        <v>1387.6437988</v>
      </c>
      <c r="H299">
        <v>1374.8896483999999</v>
      </c>
      <c r="I299">
        <v>1251.2376709</v>
      </c>
      <c r="J299">
        <v>1211.7523193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56.167985000000002</v>
      </c>
      <c r="B300" s="1">
        <f>DATE(2010,6,26) + TIME(4,1,53)</f>
        <v>40355.167974537035</v>
      </c>
      <c r="C300">
        <v>90</v>
      </c>
      <c r="D300">
        <v>89.894737243999998</v>
      </c>
      <c r="E300">
        <v>60</v>
      </c>
      <c r="F300">
        <v>14.997920036</v>
      </c>
      <c r="G300">
        <v>1387.5714111</v>
      </c>
      <c r="H300">
        <v>1374.8225098</v>
      </c>
      <c r="I300">
        <v>1251.2486572</v>
      </c>
      <c r="J300">
        <v>1211.7626952999999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56.745866999999997</v>
      </c>
      <c r="B301" s="1">
        <f>DATE(2010,6,26) + TIME(17,54,2)</f>
        <v>40355.745856481481</v>
      </c>
      <c r="C301">
        <v>90</v>
      </c>
      <c r="D301">
        <v>89.894798279</v>
      </c>
      <c r="E301">
        <v>60</v>
      </c>
      <c r="F301">
        <v>14.997933388</v>
      </c>
      <c r="G301">
        <v>1387.4991454999999</v>
      </c>
      <c r="H301">
        <v>1374.755249</v>
      </c>
      <c r="I301">
        <v>1251.2597656</v>
      </c>
      <c r="J301">
        <v>1211.7730713000001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57.330326999999997</v>
      </c>
      <c r="B302" s="1">
        <f>DATE(2010,6,27) + TIME(7,55,40)</f>
        <v>40356.330324074072</v>
      </c>
      <c r="C302">
        <v>90</v>
      </c>
      <c r="D302">
        <v>89.894866942999997</v>
      </c>
      <c r="E302">
        <v>60</v>
      </c>
      <c r="F302">
        <v>14.997946739</v>
      </c>
      <c r="G302">
        <v>1387.4268798999999</v>
      </c>
      <c r="H302">
        <v>1374.6879882999999</v>
      </c>
      <c r="I302">
        <v>1251.2711182</v>
      </c>
      <c r="J302">
        <v>1211.7835693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57.922125999999999</v>
      </c>
      <c r="B303" s="1">
        <f>DATE(2010,6,27) + TIME(22,7,51)</f>
        <v>40356.922118055554</v>
      </c>
      <c r="C303">
        <v>90</v>
      </c>
      <c r="D303">
        <v>89.894935607999997</v>
      </c>
      <c r="E303">
        <v>60</v>
      </c>
      <c r="F303">
        <v>14.997960090999999</v>
      </c>
      <c r="G303">
        <v>1387.3543701000001</v>
      </c>
      <c r="H303">
        <v>1374.6207274999999</v>
      </c>
      <c r="I303">
        <v>1251.2825928</v>
      </c>
      <c r="J303">
        <v>1211.7944336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58.521909000000001</v>
      </c>
      <c r="B304" s="1">
        <f>DATE(2010,6,28) + TIME(12,31,32)</f>
        <v>40357.521898148145</v>
      </c>
      <c r="C304">
        <v>90</v>
      </c>
      <c r="D304">
        <v>89.895004271999994</v>
      </c>
      <c r="E304">
        <v>60</v>
      </c>
      <c r="F304">
        <v>14.997973441999999</v>
      </c>
      <c r="G304">
        <v>1387.2817382999999</v>
      </c>
      <c r="H304">
        <v>1374.5532227000001</v>
      </c>
      <c r="I304">
        <v>1251.2941894999999</v>
      </c>
      <c r="J304">
        <v>1211.8052978999999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59.130495000000003</v>
      </c>
      <c r="B305" s="1">
        <f>DATE(2010,6,29) + TIME(3,7,54)</f>
        <v>40358.130486111113</v>
      </c>
      <c r="C305">
        <v>90</v>
      </c>
      <c r="D305">
        <v>89.895072936999995</v>
      </c>
      <c r="E305">
        <v>60</v>
      </c>
      <c r="F305">
        <v>14.997986793999999</v>
      </c>
      <c r="G305">
        <v>1387.2088623</v>
      </c>
      <c r="H305">
        <v>1374.4854736</v>
      </c>
      <c r="I305">
        <v>1251.3061522999999</v>
      </c>
      <c r="J305">
        <v>1211.8164062000001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59.748252000000001</v>
      </c>
      <c r="B306" s="1">
        <f>DATE(2010,6,29) + TIME(17,57,28)</f>
        <v>40358.748240740744</v>
      </c>
      <c r="C306">
        <v>90</v>
      </c>
      <c r="D306">
        <v>89.895149231000005</v>
      </c>
      <c r="E306">
        <v>60</v>
      </c>
      <c r="F306">
        <v>14.998000145000001</v>
      </c>
      <c r="G306">
        <v>1387.1354980000001</v>
      </c>
      <c r="H306">
        <v>1374.4173584</v>
      </c>
      <c r="I306">
        <v>1251.3182373</v>
      </c>
      <c r="J306">
        <v>1211.8277588000001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60.059424</v>
      </c>
      <c r="B307" s="1">
        <f>DATE(2010,6,30) + TIME(1,25,34)</f>
        <v>40359.059421296297</v>
      </c>
      <c r="C307">
        <v>90</v>
      </c>
      <c r="D307">
        <v>89.895172118999994</v>
      </c>
      <c r="E307">
        <v>60</v>
      </c>
      <c r="F307">
        <v>14.998009681999999</v>
      </c>
      <c r="G307">
        <v>1387.0614014</v>
      </c>
      <c r="H307">
        <v>1374.3483887</v>
      </c>
      <c r="I307">
        <v>1251.3302002</v>
      </c>
      <c r="J307">
        <v>1211.8388672000001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60.370595000000002</v>
      </c>
      <c r="B308" s="1">
        <f>DATE(2010,6,30) + TIME(8,53,39)</f>
        <v>40359.37059027778</v>
      </c>
      <c r="C308">
        <v>90</v>
      </c>
      <c r="D308">
        <v>89.895202636999997</v>
      </c>
      <c r="E308">
        <v>60</v>
      </c>
      <c r="F308">
        <v>14.998017311</v>
      </c>
      <c r="G308">
        <v>1387.0238036999999</v>
      </c>
      <c r="H308">
        <v>1374.3133545000001</v>
      </c>
      <c r="I308">
        <v>1251.3365478999999</v>
      </c>
      <c r="J308">
        <v>1211.8448486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60.685298000000003</v>
      </c>
      <c r="B309" s="1">
        <f>DATE(2010,6,30) + TIME(16,26,49)</f>
        <v>40359.685289351852</v>
      </c>
      <c r="C309">
        <v>90</v>
      </c>
      <c r="D309">
        <v>89.895240783999995</v>
      </c>
      <c r="E309">
        <v>60</v>
      </c>
      <c r="F309">
        <v>14.998024940000001</v>
      </c>
      <c r="G309">
        <v>1386.9870605000001</v>
      </c>
      <c r="H309">
        <v>1374.2791748</v>
      </c>
      <c r="I309">
        <v>1251.3428954999999</v>
      </c>
      <c r="J309">
        <v>1211.8507079999999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61</v>
      </c>
      <c r="B310" s="1">
        <f>DATE(2010,7,1) + TIME(0,0,0)</f>
        <v>40360</v>
      </c>
      <c r="C310">
        <v>90</v>
      </c>
      <c r="D310">
        <v>89.895271300999994</v>
      </c>
      <c r="E310">
        <v>60</v>
      </c>
      <c r="F310">
        <v>14.998032569999999</v>
      </c>
      <c r="G310">
        <v>1386.9501952999999</v>
      </c>
      <c r="H310">
        <v>1374.2449951000001</v>
      </c>
      <c r="I310">
        <v>1251.3492432</v>
      </c>
      <c r="J310">
        <v>1211.8566894999999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61.311565000000002</v>
      </c>
      <c r="B311" s="1">
        <f>DATE(2010,7,1) + TIME(7,28,39)</f>
        <v>40360.311562499999</v>
      </c>
      <c r="C311">
        <v>90</v>
      </c>
      <c r="D311">
        <v>89.895309448000006</v>
      </c>
      <c r="E311">
        <v>60</v>
      </c>
      <c r="F311">
        <v>14.998040199</v>
      </c>
      <c r="G311">
        <v>1386.9133300999999</v>
      </c>
      <c r="H311">
        <v>1374.2106934000001</v>
      </c>
      <c r="I311">
        <v>1251.3557129000001</v>
      </c>
      <c r="J311">
        <v>1211.8626709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61.623131000000001</v>
      </c>
      <c r="B312" s="1">
        <f>DATE(2010,7,1) + TIME(14,57,18)</f>
        <v>40360.623124999998</v>
      </c>
      <c r="C312">
        <v>90</v>
      </c>
      <c r="D312">
        <v>89.895347595000004</v>
      </c>
      <c r="E312">
        <v>60</v>
      </c>
      <c r="F312">
        <v>14.998046875</v>
      </c>
      <c r="G312">
        <v>1386.8770752</v>
      </c>
      <c r="H312">
        <v>1374.1770019999999</v>
      </c>
      <c r="I312">
        <v>1251.3620605000001</v>
      </c>
      <c r="J312">
        <v>1211.8686522999999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61.934696000000002</v>
      </c>
      <c r="B313" s="1">
        <f>DATE(2010,7,1) + TIME(22,25,57)</f>
        <v>40360.934687499997</v>
      </c>
      <c r="C313">
        <v>90</v>
      </c>
      <c r="D313">
        <v>89.895378113000007</v>
      </c>
      <c r="E313">
        <v>60</v>
      </c>
      <c r="F313">
        <v>14.998054504000001</v>
      </c>
      <c r="G313">
        <v>1386.8409423999999</v>
      </c>
      <c r="H313">
        <v>1374.1435547000001</v>
      </c>
      <c r="I313">
        <v>1251.3684082</v>
      </c>
      <c r="J313">
        <v>1211.8746338000001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62.246262000000002</v>
      </c>
      <c r="B314" s="1">
        <f>DATE(2010,7,2) + TIME(5,54,37)</f>
        <v>40361.246261574073</v>
      </c>
      <c r="C314">
        <v>90</v>
      </c>
      <c r="D314">
        <v>89.895416260000005</v>
      </c>
      <c r="E314">
        <v>60</v>
      </c>
      <c r="F314">
        <v>14.998061180000001</v>
      </c>
      <c r="G314">
        <v>1386.8050536999999</v>
      </c>
      <c r="H314">
        <v>1374.1101074000001</v>
      </c>
      <c r="I314">
        <v>1251.3748779</v>
      </c>
      <c r="J314">
        <v>1211.8806152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62.557827000000003</v>
      </c>
      <c r="B315" s="1">
        <f>DATE(2010,7,2) + TIME(13,23,16)</f>
        <v>40361.557824074072</v>
      </c>
      <c r="C315">
        <v>90</v>
      </c>
      <c r="D315">
        <v>89.895454407000003</v>
      </c>
      <c r="E315">
        <v>60</v>
      </c>
      <c r="F315">
        <v>14.998067856</v>
      </c>
      <c r="G315">
        <v>1386.7694091999999</v>
      </c>
      <c r="H315">
        <v>1374.0769043</v>
      </c>
      <c r="I315">
        <v>1251.3812256000001</v>
      </c>
      <c r="J315">
        <v>1211.8865966999999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62.869393000000002</v>
      </c>
      <c r="B316" s="1">
        <f>DATE(2010,7,2) + TIME(20,51,55)</f>
        <v>40361.869386574072</v>
      </c>
      <c r="C316">
        <v>90</v>
      </c>
      <c r="D316">
        <v>89.895492554</v>
      </c>
      <c r="E316">
        <v>60</v>
      </c>
      <c r="F316">
        <v>14.998074532</v>
      </c>
      <c r="G316">
        <v>1386.7337646000001</v>
      </c>
      <c r="H316">
        <v>1374.0439452999999</v>
      </c>
      <c r="I316">
        <v>1251.3876952999999</v>
      </c>
      <c r="J316">
        <v>1211.8925781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63.492524000000003</v>
      </c>
      <c r="B317" s="1">
        <f>DATE(2010,7,3) + TIME(11,49,14)</f>
        <v>40362.492523148147</v>
      </c>
      <c r="C317">
        <v>90</v>
      </c>
      <c r="D317">
        <v>89.895576477000006</v>
      </c>
      <c r="E317">
        <v>60</v>
      </c>
      <c r="F317">
        <v>14.998085022</v>
      </c>
      <c r="G317">
        <v>1386.6992187999999</v>
      </c>
      <c r="H317">
        <v>1374.0118408000001</v>
      </c>
      <c r="I317">
        <v>1251.3946533000001</v>
      </c>
      <c r="J317">
        <v>1211.8990478999999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64.116026000000005</v>
      </c>
      <c r="B318" s="1">
        <f>DATE(2010,7,4) + TIME(2,47,4)</f>
        <v>40363.116018518522</v>
      </c>
      <c r="C318">
        <v>90</v>
      </c>
      <c r="D318">
        <v>89.895652771000002</v>
      </c>
      <c r="E318">
        <v>60</v>
      </c>
      <c r="F318">
        <v>14.998096466</v>
      </c>
      <c r="G318">
        <v>1386.6292725000001</v>
      </c>
      <c r="H318">
        <v>1373.9470214999999</v>
      </c>
      <c r="I318">
        <v>1251.4074707</v>
      </c>
      <c r="J318">
        <v>1211.9110106999999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64.743088</v>
      </c>
      <c r="B319" s="1">
        <f>DATE(2010,7,4) + TIME(17,50,2)</f>
        <v>40363.743078703701</v>
      </c>
      <c r="C319">
        <v>90</v>
      </c>
      <c r="D319">
        <v>89.895729064999998</v>
      </c>
      <c r="E319">
        <v>60</v>
      </c>
      <c r="F319">
        <v>14.998108864000001</v>
      </c>
      <c r="G319">
        <v>1386.5596923999999</v>
      </c>
      <c r="H319">
        <v>1373.8823242000001</v>
      </c>
      <c r="I319">
        <v>1251.4205322</v>
      </c>
      <c r="J319">
        <v>1211.9232178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65.374395000000007</v>
      </c>
      <c r="B320" s="1">
        <f>DATE(2010,7,5) + TIME(8,59,7)</f>
        <v>40364.374386574076</v>
      </c>
      <c r="C320">
        <v>90</v>
      </c>
      <c r="D320">
        <v>89.895805358999993</v>
      </c>
      <c r="E320">
        <v>60</v>
      </c>
      <c r="F320">
        <v>14.998121262</v>
      </c>
      <c r="G320">
        <v>1386.4902344</v>
      </c>
      <c r="H320">
        <v>1373.8179932</v>
      </c>
      <c r="I320">
        <v>1251.4337158000001</v>
      </c>
      <c r="J320">
        <v>1211.9354248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66.010705999999999</v>
      </c>
      <c r="B321" s="1">
        <f>DATE(2010,7,6) + TIME(0,15,24)</f>
        <v>40365.010694444441</v>
      </c>
      <c r="C321">
        <v>90</v>
      </c>
      <c r="D321">
        <v>89.895881653000004</v>
      </c>
      <c r="E321">
        <v>60</v>
      </c>
      <c r="F321">
        <v>14.998133659000001</v>
      </c>
      <c r="G321">
        <v>1386.4210204999999</v>
      </c>
      <c r="H321">
        <v>1373.7536620999999</v>
      </c>
      <c r="I321">
        <v>1251.4470214999999</v>
      </c>
      <c r="J321">
        <v>1211.947876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66.652799999999999</v>
      </c>
      <c r="B322" s="1">
        <f>DATE(2010,7,6) + TIME(15,40,1)</f>
        <v>40365.652789351851</v>
      </c>
      <c r="C322">
        <v>90</v>
      </c>
      <c r="D322">
        <v>89.895957946999999</v>
      </c>
      <c r="E322">
        <v>60</v>
      </c>
      <c r="F322">
        <v>14.998147011</v>
      </c>
      <c r="G322">
        <v>1386.3518065999999</v>
      </c>
      <c r="H322">
        <v>1373.6894531</v>
      </c>
      <c r="I322">
        <v>1251.4605713000001</v>
      </c>
      <c r="J322">
        <v>1211.9604492000001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67.301477000000006</v>
      </c>
      <c r="B323" s="1">
        <f>DATE(2010,7,7) + TIME(7,14,7)</f>
        <v>40366.301469907405</v>
      </c>
      <c r="C323">
        <v>90</v>
      </c>
      <c r="D323">
        <v>89.896034240999995</v>
      </c>
      <c r="E323">
        <v>60</v>
      </c>
      <c r="F323">
        <v>14.998160362</v>
      </c>
      <c r="G323">
        <v>1386.2825928</v>
      </c>
      <c r="H323">
        <v>1373.6252440999999</v>
      </c>
      <c r="I323">
        <v>1251.4742432</v>
      </c>
      <c r="J323">
        <v>1211.9732666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67.957561999999996</v>
      </c>
      <c r="B324" s="1">
        <f>DATE(2010,7,7) + TIME(22,58,53)</f>
        <v>40366.957557870373</v>
      </c>
      <c r="C324">
        <v>90</v>
      </c>
      <c r="D324">
        <v>89.896110535000005</v>
      </c>
      <c r="E324">
        <v>60</v>
      </c>
      <c r="F324">
        <v>14.998172759999999</v>
      </c>
      <c r="G324">
        <v>1386.2133789</v>
      </c>
      <c r="H324">
        <v>1373.5610352000001</v>
      </c>
      <c r="I324">
        <v>1251.4882812000001</v>
      </c>
      <c r="J324">
        <v>1211.9862060999999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68.621550999999997</v>
      </c>
      <c r="B325" s="1">
        <f>DATE(2010,7,8) + TIME(14,55,1)</f>
        <v>40367.621539351851</v>
      </c>
      <c r="C325">
        <v>90</v>
      </c>
      <c r="D325">
        <v>89.896186829000001</v>
      </c>
      <c r="E325">
        <v>60</v>
      </c>
      <c r="F325">
        <v>14.998186111000001</v>
      </c>
      <c r="G325">
        <v>1386.1439209</v>
      </c>
      <c r="H325">
        <v>1373.496582</v>
      </c>
      <c r="I325">
        <v>1251.5024414</v>
      </c>
      <c r="J325">
        <v>1211.9993896000001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69.288470000000004</v>
      </c>
      <c r="B326" s="1">
        <f>DATE(2010,7,9) + TIME(6,55,23)</f>
        <v>40368.288460648146</v>
      </c>
      <c r="C326">
        <v>90</v>
      </c>
      <c r="D326">
        <v>89.896270752000007</v>
      </c>
      <c r="E326">
        <v>60</v>
      </c>
      <c r="F326">
        <v>14.998199463000001</v>
      </c>
      <c r="G326">
        <v>1386.0742187999999</v>
      </c>
      <c r="H326">
        <v>1373.4318848</v>
      </c>
      <c r="I326">
        <v>1251.5169678</v>
      </c>
      <c r="J326">
        <v>1212.0128173999999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69.959166999999994</v>
      </c>
      <c r="B327" s="1">
        <f>DATE(2010,7,9) + TIME(23,1,12)</f>
        <v>40368.959166666667</v>
      </c>
      <c r="C327">
        <v>90</v>
      </c>
      <c r="D327">
        <v>89.896347046000002</v>
      </c>
      <c r="E327">
        <v>60</v>
      </c>
      <c r="F327">
        <v>14.998212814</v>
      </c>
      <c r="G327">
        <v>1386.0047606999999</v>
      </c>
      <c r="H327">
        <v>1373.3675536999999</v>
      </c>
      <c r="I327">
        <v>1251.5314940999999</v>
      </c>
      <c r="J327">
        <v>1212.0263672000001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70.634758000000005</v>
      </c>
      <c r="B328" s="1">
        <f>DATE(2010,7,10) + TIME(15,14,3)</f>
        <v>40369.634756944448</v>
      </c>
      <c r="C328">
        <v>90</v>
      </c>
      <c r="D328">
        <v>89.896430968999994</v>
      </c>
      <c r="E328">
        <v>60</v>
      </c>
      <c r="F328">
        <v>14.998226166</v>
      </c>
      <c r="G328">
        <v>1385.9356689000001</v>
      </c>
      <c r="H328">
        <v>1373.3034668</v>
      </c>
      <c r="I328">
        <v>1251.5462646000001</v>
      </c>
      <c r="J328">
        <v>1212.0401611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71.315831000000003</v>
      </c>
      <c r="B329" s="1">
        <f>DATE(2010,7,11) + TIME(7,34,47)</f>
        <v>40370.315821759257</v>
      </c>
      <c r="C329">
        <v>90</v>
      </c>
      <c r="D329">
        <v>89.896514893000003</v>
      </c>
      <c r="E329">
        <v>60</v>
      </c>
      <c r="F329">
        <v>14.998239517</v>
      </c>
      <c r="G329">
        <v>1385.8665771000001</v>
      </c>
      <c r="H329">
        <v>1373.2393798999999</v>
      </c>
      <c r="I329">
        <v>1251.5612793</v>
      </c>
      <c r="J329">
        <v>1212.0540771000001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72.002927</v>
      </c>
      <c r="B330" s="1">
        <f>DATE(2010,7,12) + TIME(0,4,12)</f>
        <v>40371.002916666665</v>
      </c>
      <c r="C330">
        <v>90</v>
      </c>
      <c r="D330">
        <v>89.896591186999999</v>
      </c>
      <c r="E330">
        <v>60</v>
      </c>
      <c r="F330">
        <v>14.998251915000001</v>
      </c>
      <c r="G330">
        <v>1385.7976074000001</v>
      </c>
      <c r="H330">
        <v>1373.1754149999999</v>
      </c>
      <c r="I330">
        <v>1251.5765381000001</v>
      </c>
      <c r="J330">
        <v>1212.0681152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72.690150000000003</v>
      </c>
      <c r="B331" s="1">
        <f>DATE(2010,7,12) + TIME(16,33,48)</f>
        <v>40371.690138888887</v>
      </c>
      <c r="C331">
        <v>90</v>
      </c>
      <c r="D331">
        <v>89.896675110000004</v>
      </c>
      <c r="E331">
        <v>60</v>
      </c>
      <c r="F331">
        <v>14.998265266000001</v>
      </c>
      <c r="G331">
        <v>1385.7286377</v>
      </c>
      <c r="H331">
        <v>1373.1114502</v>
      </c>
      <c r="I331">
        <v>1251.5920410000001</v>
      </c>
      <c r="J331">
        <v>1212.0825195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73.378376000000003</v>
      </c>
      <c r="B332" s="1">
        <f>DATE(2010,7,13) + TIME(9,4,51)</f>
        <v>40372.378368055557</v>
      </c>
      <c r="C332">
        <v>90</v>
      </c>
      <c r="D332">
        <v>89.896759032999995</v>
      </c>
      <c r="E332">
        <v>60</v>
      </c>
      <c r="F332">
        <v>14.998278618000001</v>
      </c>
      <c r="G332">
        <v>1385.6601562000001</v>
      </c>
      <c r="H332">
        <v>1373.0479736</v>
      </c>
      <c r="I332">
        <v>1251.6075439000001</v>
      </c>
      <c r="J332">
        <v>1212.0969238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74.068369000000004</v>
      </c>
      <c r="B333" s="1">
        <f>DATE(2010,7,14) + TIME(1,38,27)</f>
        <v>40373.068368055552</v>
      </c>
      <c r="C333">
        <v>90</v>
      </c>
      <c r="D333">
        <v>89.896842957000004</v>
      </c>
      <c r="E333">
        <v>60</v>
      </c>
      <c r="F333">
        <v>14.998291969</v>
      </c>
      <c r="G333">
        <v>1385.5922852000001</v>
      </c>
      <c r="H333">
        <v>1372.9849853999999</v>
      </c>
      <c r="I333">
        <v>1251.6232910000001</v>
      </c>
      <c r="J333">
        <v>1212.1114502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74.761233000000004</v>
      </c>
      <c r="B334" s="1">
        <f>DATE(2010,7,14) + TIME(18,16,10)</f>
        <v>40373.76122685185</v>
      </c>
      <c r="C334">
        <v>90</v>
      </c>
      <c r="D334">
        <v>89.896926879999995</v>
      </c>
      <c r="E334">
        <v>60</v>
      </c>
      <c r="F334">
        <v>14.998305321</v>
      </c>
      <c r="G334">
        <v>1385.5247803</v>
      </c>
      <c r="H334">
        <v>1372.9223632999999</v>
      </c>
      <c r="I334">
        <v>1251.6391602000001</v>
      </c>
      <c r="J334">
        <v>1212.1260986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75.457648000000006</v>
      </c>
      <c r="B335" s="1">
        <f>DATE(2010,7,15) + TIME(10,59,0)</f>
        <v>40374.457638888889</v>
      </c>
      <c r="C335">
        <v>90</v>
      </c>
      <c r="D335">
        <v>89.897010803000001</v>
      </c>
      <c r="E335">
        <v>60</v>
      </c>
      <c r="F335">
        <v>14.998317718999999</v>
      </c>
      <c r="G335">
        <v>1385.4575195</v>
      </c>
      <c r="H335">
        <v>1372.8599853999999</v>
      </c>
      <c r="I335">
        <v>1251.6551514</v>
      </c>
      <c r="J335">
        <v>1212.1408690999999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76.158441999999994</v>
      </c>
      <c r="B336" s="1">
        <f>DATE(2010,7,16) + TIME(3,48,9)</f>
        <v>40375.158437500002</v>
      </c>
      <c r="C336">
        <v>90</v>
      </c>
      <c r="D336">
        <v>89.897094726999995</v>
      </c>
      <c r="E336">
        <v>60</v>
      </c>
      <c r="F336">
        <v>14.998331070000001</v>
      </c>
      <c r="G336">
        <v>1385.3905029</v>
      </c>
      <c r="H336">
        <v>1372.7978516000001</v>
      </c>
      <c r="I336">
        <v>1251.6713867000001</v>
      </c>
      <c r="J336">
        <v>1212.1558838000001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76.862426999999997</v>
      </c>
      <c r="B337" s="1">
        <f>DATE(2010,7,16) + TIME(20,41,53)</f>
        <v>40375.86241898148</v>
      </c>
      <c r="C337">
        <v>90</v>
      </c>
      <c r="D337">
        <v>89.897178650000001</v>
      </c>
      <c r="E337">
        <v>60</v>
      </c>
      <c r="F337">
        <v>14.998344421000001</v>
      </c>
      <c r="G337">
        <v>1385.3236084</v>
      </c>
      <c r="H337">
        <v>1372.7358397999999</v>
      </c>
      <c r="I337">
        <v>1251.6878661999999</v>
      </c>
      <c r="J337">
        <v>1212.1711425999999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77.566856999999999</v>
      </c>
      <c r="B338" s="1">
        <f>DATE(2010,7,17) + TIME(13,36,16)</f>
        <v>40376.566851851851</v>
      </c>
      <c r="C338">
        <v>90</v>
      </c>
      <c r="D338">
        <v>89.897262573000006</v>
      </c>
      <c r="E338">
        <v>60</v>
      </c>
      <c r="F338">
        <v>14.998357773</v>
      </c>
      <c r="G338">
        <v>1385.2569579999999</v>
      </c>
      <c r="H338">
        <v>1372.6740723</v>
      </c>
      <c r="I338">
        <v>1251.7044678</v>
      </c>
      <c r="J338">
        <v>1212.1864014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78.272651999999994</v>
      </c>
      <c r="B339" s="1">
        <f>DATE(2010,7,18) + TIME(6,32,37)</f>
        <v>40377.272650462961</v>
      </c>
      <c r="C339">
        <v>90</v>
      </c>
      <c r="D339">
        <v>89.897346497000001</v>
      </c>
      <c r="E339">
        <v>60</v>
      </c>
      <c r="F339">
        <v>14.998370170999999</v>
      </c>
      <c r="G339">
        <v>1385.190918</v>
      </c>
      <c r="H339">
        <v>1372.6126709</v>
      </c>
      <c r="I339">
        <v>1251.7213135</v>
      </c>
      <c r="J339">
        <v>1212.2019043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78.980720000000005</v>
      </c>
      <c r="B340" s="1">
        <f>DATE(2010,7,18) + TIME(23,32,14)</f>
        <v>40377.980717592596</v>
      </c>
      <c r="C340">
        <v>90</v>
      </c>
      <c r="D340">
        <v>89.897430420000006</v>
      </c>
      <c r="E340">
        <v>60</v>
      </c>
      <c r="F340">
        <v>14.998383521999999</v>
      </c>
      <c r="G340">
        <v>1385.1251221</v>
      </c>
      <c r="H340">
        <v>1372.5517577999999</v>
      </c>
      <c r="I340">
        <v>1251.7382812000001</v>
      </c>
      <c r="J340">
        <v>1212.2175293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79.691967000000005</v>
      </c>
      <c r="B341" s="1">
        <f>DATE(2010,7,19) + TIME(16,36,25)</f>
        <v>40378.69195601852</v>
      </c>
      <c r="C341">
        <v>90</v>
      </c>
      <c r="D341">
        <v>89.897521972999996</v>
      </c>
      <c r="E341">
        <v>60</v>
      </c>
      <c r="F341">
        <v>14.998396873000001</v>
      </c>
      <c r="G341">
        <v>1385.0596923999999</v>
      </c>
      <c r="H341">
        <v>1372.4910889</v>
      </c>
      <c r="I341">
        <v>1251.7553711</v>
      </c>
      <c r="J341">
        <v>1212.2332764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80.407342</v>
      </c>
      <c r="B342" s="1">
        <f>DATE(2010,7,20) + TIME(9,46,34)</f>
        <v>40379.407337962963</v>
      </c>
      <c r="C342">
        <v>90</v>
      </c>
      <c r="D342">
        <v>89.897605896000002</v>
      </c>
      <c r="E342">
        <v>60</v>
      </c>
      <c r="F342">
        <v>14.998409271</v>
      </c>
      <c r="G342">
        <v>1384.9946289</v>
      </c>
      <c r="H342">
        <v>1372.4306641000001</v>
      </c>
      <c r="I342">
        <v>1251.7727050999999</v>
      </c>
      <c r="J342">
        <v>1212.2492675999999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81.127979999999994</v>
      </c>
      <c r="B343" s="1">
        <f>DATE(2010,7,21) + TIME(3,4,17)</f>
        <v>40380.127974537034</v>
      </c>
      <c r="C343">
        <v>90</v>
      </c>
      <c r="D343">
        <v>89.897697449000006</v>
      </c>
      <c r="E343">
        <v>60</v>
      </c>
      <c r="F343">
        <v>14.998422623</v>
      </c>
      <c r="G343">
        <v>1384.9295654</v>
      </c>
      <c r="H343">
        <v>1372.3703613</v>
      </c>
      <c r="I343">
        <v>1251.7902832</v>
      </c>
      <c r="J343">
        <v>1212.2653809000001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81.854533000000004</v>
      </c>
      <c r="B344" s="1">
        <f>DATE(2010,7,21) + TIME(20,30,31)</f>
        <v>40380.854525462964</v>
      </c>
      <c r="C344">
        <v>90</v>
      </c>
      <c r="D344">
        <v>89.897781371999997</v>
      </c>
      <c r="E344">
        <v>60</v>
      </c>
      <c r="F344">
        <v>14.998435974</v>
      </c>
      <c r="G344">
        <v>1384.864624</v>
      </c>
      <c r="H344">
        <v>1372.3101807</v>
      </c>
      <c r="I344">
        <v>1251.8081055</v>
      </c>
      <c r="J344">
        <v>1212.2818603999999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82.587874999999997</v>
      </c>
      <c r="B345" s="1">
        <f>DATE(2010,7,22) + TIME(14,6,32)</f>
        <v>40381.587870370371</v>
      </c>
      <c r="C345">
        <v>90</v>
      </c>
      <c r="D345">
        <v>89.897872925000001</v>
      </c>
      <c r="E345">
        <v>60</v>
      </c>
      <c r="F345">
        <v>14.998449325999999</v>
      </c>
      <c r="G345">
        <v>1384.7996826000001</v>
      </c>
      <c r="H345">
        <v>1372.2498779</v>
      </c>
      <c r="I345">
        <v>1251.8261719</v>
      </c>
      <c r="J345">
        <v>1212.2984618999999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83.328963999999999</v>
      </c>
      <c r="B346" s="1">
        <f>DATE(2010,7,23) + TIME(7,53,42)</f>
        <v>40382.328958333332</v>
      </c>
      <c r="C346">
        <v>90</v>
      </c>
      <c r="D346">
        <v>89.897964478000006</v>
      </c>
      <c r="E346">
        <v>60</v>
      </c>
      <c r="F346">
        <v>14.998462676999999</v>
      </c>
      <c r="G346">
        <v>1384.7346190999999</v>
      </c>
      <c r="H346">
        <v>1372.1895752</v>
      </c>
      <c r="I346">
        <v>1251.8446045000001</v>
      </c>
      <c r="J346">
        <v>1212.3154297000001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83.702922000000001</v>
      </c>
      <c r="B347" s="1">
        <f>DATE(2010,7,23) + TIME(16,52,12)</f>
        <v>40382.702916666669</v>
      </c>
      <c r="C347">
        <v>90</v>
      </c>
      <c r="D347">
        <v>89.898002625000004</v>
      </c>
      <c r="E347">
        <v>60</v>
      </c>
      <c r="F347">
        <v>14.998472214</v>
      </c>
      <c r="G347">
        <v>1384.6690673999999</v>
      </c>
      <c r="H347">
        <v>1372.1286620999999</v>
      </c>
      <c r="I347">
        <v>1251.8629149999999</v>
      </c>
      <c r="J347">
        <v>1212.3321533000001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84.076879000000005</v>
      </c>
      <c r="B348" s="1">
        <f>DATE(2010,7,24) + TIME(1,50,42)</f>
        <v>40383.076874999999</v>
      </c>
      <c r="C348">
        <v>90</v>
      </c>
      <c r="D348">
        <v>89.898040770999998</v>
      </c>
      <c r="E348">
        <v>60</v>
      </c>
      <c r="F348">
        <v>14.998480796999999</v>
      </c>
      <c r="G348">
        <v>1384.6356201000001</v>
      </c>
      <c r="H348">
        <v>1372.0976562000001</v>
      </c>
      <c r="I348">
        <v>1251.8726807</v>
      </c>
      <c r="J348">
        <v>1212.3410644999999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84.450835999999995</v>
      </c>
      <c r="B349" s="1">
        <f>DATE(2010,7,24) + TIME(10,49,12)</f>
        <v>40383.450833333336</v>
      </c>
      <c r="C349">
        <v>90</v>
      </c>
      <c r="D349">
        <v>89.898086547999995</v>
      </c>
      <c r="E349">
        <v>60</v>
      </c>
      <c r="F349">
        <v>14.998488426</v>
      </c>
      <c r="G349">
        <v>1384.6029053</v>
      </c>
      <c r="H349">
        <v>1372.0672606999999</v>
      </c>
      <c r="I349">
        <v>1251.8823242000001</v>
      </c>
      <c r="J349">
        <v>1212.3498535000001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84.824793999999997</v>
      </c>
      <c r="B350" s="1">
        <f>DATE(2010,7,24) + TIME(19,47,42)</f>
        <v>40383.824791666666</v>
      </c>
      <c r="C350">
        <v>90</v>
      </c>
      <c r="D350">
        <v>89.898132324000002</v>
      </c>
      <c r="E350">
        <v>60</v>
      </c>
      <c r="F350">
        <v>14.998497008999999</v>
      </c>
      <c r="G350">
        <v>1384.5704346</v>
      </c>
      <c r="H350">
        <v>1372.0371094</v>
      </c>
      <c r="I350">
        <v>1251.8919678</v>
      </c>
      <c r="J350">
        <v>1212.3586425999999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85.198751000000001</v>
      </c>
      <c r="B351" s="1">
        <f>DATE(2010,7,25) + TIME(4,46,12)</f>
        <v>40384.198750000003</v>
      </c>
      <c r="C351">
        <v>90</v>
      </c>
      <c r="D351">
        <v>89.898178100999999</v>
      </c>
      <c r="E351">
        <v>60</v>
      </c>
      <c r="F351">
        <v>14.998503684999999</v>
      </c>
      <c r="G351">
        <v>1384.5379639</v>
      </c>
      <c r="H351">
        <v>1372.0070800999999</v>
      </c>
      <c r="I351">
        <v>1251.9016113</v>
      </c>
      <c r="J351">
        <v>1212.3675536999999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85.572708000000006</v>
      </c>
      <c r="B352" s="1">
        <f>DATE(2010,7,25) + TIME(13,44,42)</f>
        <v>40384.572708333333</v>
      </c>
      <c r="C352">
        <v>90</v>
      </c>
      <c r="D352">
        <v>89.898223877000007</v>
      </c>
      <c r="E352">
        <v>60</v>
      </c>
      <c r="F352">
        <v>14.998511314</v>
      </c>
      <c r="G352">
        <v>1384.5057373</v>
      </c>
      <c r="H352">
        <v>1371.9770507999999</v>
      </c>
      <c r="I352">
        <v>1251.9113769999999</v>
      </c>
      <c r="J352">
        <v>1212.3764647999999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85.946665999999993</v>
      </c>
      <c r="B353" s="1">
        <f>DATE(2010,7,25) + TIME(22,43,11)</f>
        <v>40384.946655092594</v>
      </c>
      <c r="C353">
        <v>90</v>
      </c>
      <c r="D353">
        <v>89.898269653</v>
      </c>
      <c r="E353">
        <v>60</v>
      </c>
      <c r="F353">
        <v>14.998518944000001</v>
      </c>
      <c r="G353">
        <v>1384.4736327999999</v>
      </c>
      <c r="H353">
        <v>1371.9472656</v>
      </c>
      <c r="I353">
        <v>1251.9211425999999</v>
      </c>
      <c r="J353">
        <v>1212.3854980000001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86.320622999999998</v>
      </c>
      <c r="B354" s="1">
        <f>DATE(2010,7,26) + TIME(7,41,41)</f>
        <v>40385.320613425924</v>
      </c>
      <c r="C354">
        <v>90</v>
      </c>
      <c r="D354">
        <v>89.898315429999997</v>
      </c>
      <c r="E354">
        <v>60</v>
      </c>
      <c r="F354">
        <v>14.998526572999999</v>
      </c>
      <c r="G354">
        <v>1384.4416504000001</v>
      </c>
      <c r="H354">
        <v>1371.9176024999999</v>
      </c>
      <c r="I354">
        <v>1251.9310303</v>
      </c>
      <c r="J354">
        <v>1212.3944091999999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86.694580999999999</v>
      </c>
      <c r="B355" s="1">
        <f>DATE(2010,7,26) + TIME(16,40,11)</f>
        <v>40385.694571759261</v>
      </c>
      <c r="C355">
        <v>90</v>
      </c>
      <c r="D355">
        <v>89.898353576999995</v>
      </c>
      <c r="E355">
        <v>60</v>
      </c>
      <c r="F355">
        <v>14.998533248999999</v>
      </c>
      <c r="G355">
        <v>1384.4097899999999</v>
      </c>
      <c r="H355">
        <v>1371.8879394999999</v>
      </c>
      <c r="I355">
        <v>1251.9407959</v>
      </c>
      <c r="J355">
        <v>1212.4034423999999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87.068538000000004</v>
      </c>
      <c r="B356" s="1">
        <f>DATE(2010,7,27) + TIME(1,38,41)</f>
        <v>40386.068530092591</v>
      </c>
      <c r="C356">
        <v>90</v>
      </c>
      <c r="D356">
        <v>89.898406981999997</v>
      </c>
      <c r="E356">
        <v>60</v>
      </c>
      <c r="F356">
        <v>14.998540878</v>
      </c>
      <c r="G356">
        <v>1384.3779297000001</v>
      </c>
      <c r="H356">
        <v>1371.8583983999999</v>
      </c>
      <c r="I356">
        <v>1251.9506836</v>
      </c>
      <c r="J356">
        <v>1212.4124756000001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87.442494999999994</v>
      </c>
      <c r="B357" s="1">
        <f>DATE(2010,7,27) + TIME(10,37,11)</f>
        <v>40386.442488425928</v>
      </c>
      <c r="C357">
        <v>90</v>
      </c>
      <c r="D357">
        <v>89.898452758999994</v>
      </c>
      <c r="E357">
        <v>60</v>
      </c>
      <c r="F357">
        <v>14.998548508000001</v>
      </c>
      <c r="G357">
        <v>1384.3463135</v>
      </c>
      <c r="H357">
        <v>1371.8291016000001</v>
      </c>
      <c r="I357">
        <v>1251.9606934000001</v>
      </c>
      <c r="J357">
        <v>1212.4216309000001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87.816452999999996</v>
      </c>
      <c r="B358" s="1">
        <f>DATE(2010,7,27) + TIME(19,35,41)</f>
        <v>40386.816446759258</v>
      </c>
      <c r="C358">
        <v>90</v>
      </c>
      <c r="D358">
        <v>89.898498535000002</v>
      </c>
      <c r="E358">
        <v>60</v>
      </c>
      <c r="F358">
        <v>14.998555183000001</v>
      </c>
      <c r="G358">
        <v>1384.3148193</v>
      </c>
      <c r="H358">
        <v>1371.7998047000001</v>
      </c>
      <c r="I358">
        <v>1251.9707031</v>
      </c>
      <c r="J358">
        <v>1212.4306641000001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88.19041</v>
      </c>
      <c r="B359" s="1">
        <f>DATE(2010,7,28) + TIME(4,34,11)</f>
        <v>40387.190405092595</v>
      </c>
      <c r="C359">
        <v>90</v>
      </c>
      <c r="D359">
        <v>89.898544311999999</v>
      </c>
      <c r="E359">
        <v>60</v>
      </c>
      <c r="F359">
        <v>14.998562812999999</v>
      </c>
      <c r="G359">
        <v>1384.2834473</v>
      </c>
      <c r="H359">
        <v>1371.7706298999999</v>
      </c>
      <c r="I359">
        <v>1251.9807129000001</v>
      </c>
      <c r="J359">
        <v>1212.4399414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88.564367000000004</v>
      </c>
      <c r="B360" s="1">
        <f>DATE(2010,7,28) + TIME(13,32,41)</f>
        <v>40387.564363425925</v>
      </c>
      <c r="C360">
        <v>90</v>
      </c>
      <c r="D360">
        <v>89.898590088000006</v>
      </c>
      <c r="E360">
        <v>60</v>
      </c>
      <c r="F360">
        <v>14.998570442</v>
      </c>
      <c r="G360">
        <v>1384.2521973</v>
      </c>
      <c r="H360">
        <v>1371.7415771000001</v>
      </c>
      <c r="I360">
        <v>1251.9908447</v>
      </c>
      <c r="J360">
        <v>1212.4490966999999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88.938325000000006</v>
      </c>
      <c r="B361" s="1">
        <f>DATE(2010,7,28) + TIME(22,31,11)</f>
        <v>40387.938321759262</v>
      </c>
      <c r="C361">
        <v>90</v>
      </c>
      <c r="D361">
        <v>89.898635863999999</v>
      </c>
      <c r="E361">
        <v>60</v>
      </c>
      <c r="F361">
        <v>14.998578072000001</v>
      </c>
      <c r="G361">
        <v>1384.2209473</v>
      </c>
      <c r="H361">
        <v>1371.7126464999999</v>
      </c>
      <c r="I361">
        <v>1252.0008545000001</v>
      </c>
      <c r="J361">
        <v>1212.458374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89.312281999999996</v>
      </c>
      <c r="B362" s="1">
        <f>DATE(2010,7,29) + TIME(7,29,41)</f>
        <v>40388.312280092592</v>
      </c>
      <c r="C362">
        <v>90</v>
      </c>
      <c r="D362">
        <v>89.898681640999996</v>
      </c>
      <c r="E362">
        <v>60</v>
      </c>
      <c r="F362">
        <v>14.998585701</v>
      </c>
      <c r="G362">
        <v>1384.1899414</v>
      </c>
      <c r="H362">
        <v>1371.6838379000001</v>
      </c>
      <c r="I362">
        <v>1252.0111084</v>
      </c>
      <c r="J362">
        <v>1212.4676514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89.686239</v>
      </c>
      <c r="B363" s="1">
        <f>DATE(2010,7,29) + TIME(16,28,11)</f>
        <v>40388.686238425929</v>
      </c>
      <c r="C363">
        <v>90</v>
      </c>
      <c r="D363">
        <v>89.898727417000003</v>
      </c>
      <c r="E363">
        <v>60</v>
      </c>
      <c r="F363">
        <v>14.99859333</v>
      </c>
      <c r="G363">
        <v>1384.1589355000001</v>
      </c>
      <c r="H363">
        <v>1371.6550293</v>
      </c>
      <c r="I363">
        <v>1252.0212402</v>
      </c>
      <c r="J363">
        <v>1212.4769286999999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90.060197000000002</v>
      </c>
      <c r="B364" s="1">
        <f>DATE(2010,7,30) + TIME(1,26,40)</f>
        <v>40389.060185185182</v>
      </c>
      <c r="C364">
        <v>90</v>
      </c>
      <c r="D364">
        <v>89.898773192999997</v>
      </c>
      <c r="E364">
        <v>60</v>
      </c>
      <c r="F364">
        <v>14.998600959999999</v>
      </c>
      <c r="G364">
        <v>1384.1281738</v>
      </c>
      <c r="H364">
        <v>1371.6264647999999</v>
      </c>
      <c r="I364">
        <v>1252.0314940999999</v>
      </c>
      <c r="J364">
        <v>1212.4862060999999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90.434154000000007</v>
      </c>
      <c r="B365" s="1">
        <f>DATE(2010,7,30) + TIME(10,25,10)</f>
        <v>40389.43414351852</v>
      </c>
      <c r="C365">
        <v>90</v>
      </c>
      <c r="D365">
        <v>89.898818969999994</v>
      </c>
      <c r="E365">
        <v>60</v>
      </c>
      <c r="F365">
        <v>14.998609543000001</v>
      </c>
      <c r="G365">
        <v>1384.0974120999999</v>
      </c>
      <c r="H365">
        <v>1371.5979004000001</v>
      </c>
      <c r="I365">
        <v>1252.0418701000001</v>
      </c>
      <c r="J365">
        <v>1212.4956055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90.808110999999997</v>
      </c>
      <c r="B366" s="1">
        <f>DATE(2010,7,30) + TIME(19,23,40)</f>
        <v>40389.80810185185</v>
      </c>
      <c r="C366">
        <v>90</v>
      </c>
      <c r="D366">
        <v>89.898864746000001</v>
      </c>
      <c r="E366">
        <v>60</v>
      </c>
      <c r="F366">
        <v>14.998617171999999</v>
      </c>
      <c r="G366">
        <v>1384.0667725000001</v>
      </c>
      <c r="H366">
        <v>1371.5694579999999</v>
      </c>
      <c r="I366">
        <v>1252.0522461</v>
      </c>
      <c r="J366">
        <v>1212.5051269999999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91.556026000000003</v>
      </c>
      <c r="B367" s="1">
        <f>DATE(2010,7,31) + TIME(13,20,40)</f>
        <v>40390.556018518517</v>
      </c>
      <c r="C367">
        <v>90</v>
      </c>
      <c r="D367">
        <v>89.898963928000001</v>
      </c>
      <c r="E367">
        <v>60</v>
      </c>
      <c r="F367">
        <v>14.99862957</v>
      </c>
      <c r="G367">
        <v>1384.0368652</v>
      </c>
      <c r="H367">
        <v>1371.5417480000001</v>
      </c>
      <c r="I367">
        <v>1252.0629882999999</v>
      </c>
      <c r="J367">
        <v>1212.5148925999999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92</v>
      </c>
      <c r="B368" s="1">
        <f>DATE(2010,8,1) + TIME(0,0,0)</f>
        <v>40391</v>
      </c>
      <c r="C368">
        <v>90</v>
      </c>
      <c r="D368">
        <v>89.899017334000007</v>
      </c>
      <c r="E368">
        <v>60</v>
      </c>
      <c r="F368">
        <v>14.998641014</v>
      </c>
      <c r="G368">
        <v>1383.9764404</v>
      </c>
      <c r="H368">
        <v>1371.4855957</v>
      </c>
      <c r="I368">
        <v>1252.0832519999999</v>
      </c>
      <c r="J368">
        <v>1212.5333252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92.749855999999994</v>
      </c>
      <c r="B369" s="1">
        <f>DATE(2010,8,1) + TIME(17,59,47)</f>
        <v>40391.749849537038</v>
      </c>
      <c r="C369">
        <v>90</v>
      </c>
      <c r="D369">
        <v>89.899116516000007</v>
      </c>
      <c r="E369">
        <v>60</v>
      </c>
      <c r="F369">
        <v>14.998655318999999</v>
      </c>
      <c r="G369">
        <v>1383.9405518000001</v>
      </c>
      <c r="H369">
        <v>1371.4523925999999</v>
      </c>
      <c r="I369">
        <v>1252.0963135</v>
      </c>
      <c r="J369">
        <v>1212.5452881000001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93.512855000000002</v>
      </c>
      <c r="B370" s="1">
        <f>DATE(2010,8,2) + TIME(12,18,30)</f>
        <v>40392.51284722222</v>
      </c>
      <c r="C370">
        <v>90</v>
      </c>
      <c r="D370">
        <v>89.899215698000006</v>
      </c>
      <c r="E370">
        <v>60</v>
      </c>
      <c r="F370">
        <v>14.998671531999999</v>
      </c>
      <c r="G370">
        <v>1383.8807373</v>
      </c>
      <c r="H370">
        <v>1371.3968506000001</v>
      </c>
      <c r="I370">
        <v>1252.1174315999999</v>
      </c>
      <c r="J370">
        <v>1212.5644531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94.285210000000006</v>
      </c>
      <c r="B371" s="1">
        <f>DATE(2010,8,3) + TIME(6,50,42)</f>
        <v>40393.285208333335</v>
      </c>
      <c r="C371">
        <v>90</v>
      </c>
      <c r="D371">
        <v>89.899307250999996</v>
      </c>
      <c r="E371">
        <v>60</v>
      </c>
      <c r="F371">
        <v>14.998689650999999</v>
      </c>
      <c r="G371">
        <v>1383.8200684000001</v>
      </c>
      <c r="H371">
        <v>1371.3405762</v>
      </c>
      <c r="I371">
        <v>1252.1392822</v>
      </c>
      <c r="J371">
        <v>1212.5842285000001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95.067994999999996</v>
      </c>
      <c r="B372" s="1">
        <f>DATE(2010,8,4) + TIME(1,37,54)</f>
        <v>40394.067986111113</v>
      </c>
      <c r="C372">
        <v>90</v>
      </c>
      <c r="D372">
        <v>89.899406432999996</v>
      </c>
      <c r="E372">
        <v>60</v>
      </c>
      <c r="F372">
        <v>14.998710632</v>
      </c>
      <c r="G372">
        <v>1383.7591553</v>
      </c>
      <c r="H372">
        <v>1371.2839355000001</v>
      </c>
      <c r="I372">
        <v>1252.161499</v>
      </c>
      <c r="J372">
        <v>1212.6044922000001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95.461161000000004</v>
      </c>
      <c r="B373" s="1">
        <f>DATE(2010,8,4) + TIME(11,4,4)</f>
        <v>40394.461157407408</v>
      </c>
      <c r="C373">
        <v>90</v>
      </c>
      <c r="D373">
        <v>89.899444579999994</v>
      </c>
      <c r="E373">
        <v>60</v>
      </c>
      <c r="F373">
        <v>14.998724937</v>
      </c>
      <c r="G373">
        <v>1383.6973877</v>
      </c>
      <c r="H373">
        <v>1371.2266846</v>
      </c>
      <c r="I373">
        <v>1252.1838379000001</v>
      </c>
      <c r="J373">
        <v>1212.6245117000001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95.854326999999998</v>
      </c>
      <c r="B374" s="1">
        <f>DATE(2010,8,4) + TIME(20,30,13)</f>
        <v>40394.854317129626</v>
      </c>
      <c r="C374">
        <v>90</v>
      </c>
      <c r="D374">
        <v>89.899490356000001</v>
      </c>
      <c r="E374">
        <v>60</v>
      </c>
      <c r="F374">
        <v>14.998739242999999</v>
      </c>
      <c r="G374">
        <v>1383.6660156</v>
      </c>
      <c r="H374">
        <v>1371.1973877</v>
      </c>
      <c r="I374">
        <v>1252.1955565999999</v>
      </c>
      <c r="J374">
        <v>1212.6352539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96.247493000000006</v>
      </c>
      <c r="B375" s="1">
        <f>DATE(2010,8,5) + TIME(5,56,23)</f>
        <v>40395.247488425928</v>
      </c>
      <c r="C375">
        <v>90</v>
      </c>
      <c r="D375">
        <v>89.899536132999998</v>
      </c>
      <c r="E375">
        <v>60</v>
      </c>
      <c r="F375">
        <v>14.998752594000001</v>
      </c>
      <c r="G375">
        <v>1383.635376</v>
      </c>
      <c r="H375">
        <v>1371.1689452999999</v>
      </c>
      <c r="I375">
        <v>1252.2071533000001</v>
      </c>
      <c r="J375">
        <v>1212.6457519999999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96.640658999999999</v>
      </c>
      <c r="B376" s="1">
        <f>DATE(2010,8,5) + TIME(15,22,32)</f>
        <v>40395.640648148146</v>
      </c>
      <c r="C376">
        <v>90</v>
      </c>
      <c r="D376">
        <v>89.899581909000005</v>
      </c>
      <c r="E376">
        <v>60</v>
      </c>
      <c r="F376">
        <v>14.998765945000001</v>
      </c>
      <c r="G376">
        <v>1383.6048584</v>
      </c>
      <c r="H376">
        <v>1371.140625</v>
      </c>
      <c r="I376">
        <v>1252.2188721</v>
      </c>
      <c r="J376">
        <v>1212.6563721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97.033824999999993</v>
      </c>
      <c r="B377" s="1">
        <f>DATE(2010,8,6) + TIME(0,48,42)</f>
        <v>40396.033819444441</v>
      </c>
      <c r="C377">
        <v>90</v>
      </c>
      <c r="D377">
        <v>89.899635314999998</v>
      </c>
      <c r="E377">
        <v>60</v>
      </c>
      <c r="F377">
        <v>14.998780250999999</v>
      </c>
      <c r="G377">
        <v>1383.5744629000001</v>
      </c>
      <c r="H377">
        <v>1371.1123047000001</v>
      </c>
      <c r="I377">
        <v>1252.2307129000001</v>
      </c>
      <c r="J377">
        <v>1212.6669922000001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97.426991999999998</v>
      </c>
      <c r="B378" s="1">
        <f>DATE(2010,8,6) + TIME(10,14,52)</f>
        <v>40396.426990740743</v>
      </c>
      <c r="C378">
        <v>90</v>
      </c>
      <c r="D378">
        <v>89.899681091000005</v>
      </c>
      <c r="E378">
        <v>60</v>
      </c>
      <c r="F378">
        <v>14.998794556</v>
      </c>
      <c r="G378">
        <v>1383.5441894999999</v>
      </c>
      <c r="H378">
        <v>1371.0842285000001</v>
      </c>
      <c r="I378">
        <v>1252.2424315999999</v>
      </c>
      <c r="J378">
        <v>1212.6776123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97.820158000000006</v>
      </c>
      <c r="B379" s="1">
        <f>DATE(2010,8,6) + TIME(19,41,1)</f>
        <v>40396.820150462961</v>
      </c>
      <c r="C379">
        <v>90</v>
      </c>
      <c r="D379">
        <v>89.899726868000002</v>
      </c>
      <c r="E379">
        <v>60</v>
      </c>
      <c r="F379">
        <v>14.998808861000001</v>
      </c>
      <c r="G379">
        <v>1383.5140381000001</v>
      </c>
      <c r="H379">
        <v>1371.0561522999999</v>
      </c>
      <c r="I379">
        <v>1252.2543945</v>
      </c>
      <c r="J379">
        <v>1212.6883545000001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98.213324</v>
      </c>
      <c r="B380" s="1">
        <f>DATE(2010,8,7) + TIME(5,7,11)</f>
        <v>40397.213321759256</v>
      </c>
      <c r="C380">
        <v>90</v>
      </c>
      <c r="D380">
        <v>89.899772643999995</v>
      </c>
      <c r="E380">
        <v>60</v>
      </c>
      <c r="F380">
        <v>14.99882412</v>
      </c>
      <c r="G380">
        <v>1383.4838867000001</v>
      </c>
      <c r="H380">
        <v>1371.0281981999999</v>
      </c>
      <c r="I380">
        <v>1252.2662353999999</v>
      </c>
      <c r="J380">
        <v>1212.6992187999999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98.606489999999994</v>
      </c>
      <c r="B381" s="1">
        <f>DATE(2010,8,7) + TIME(14,33,20)</f>
        <v>40397.606481481482</v>
      </c>
      <c r="C381">
        <v>90</v>
      </c>
      <c r="D381">
        <v>89.899826050000001</v>
      </c>
      <c r="E381">
        <v>60</v>
      </c>
      <c r="F381">
        <v>14.998839378</v>
      </c>
      <c r="G381">
        <v>1383.4539795000001</v>
      </c>
      <c r="H381">
        <v>1371.0003661999999</v>
      </c>
      <c r="I381">
        <v>1252.2783202999999</v>
      </c>
      <c r="J381">
        <v>1212.7099608999999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98.999656000000002</v>
      </c>
      <c r="B382" s="1">
        <f>DATE(2010,8,7) + TIME(23,59,30)</f>
        <v>40397.999652777777</v>
      </c>
      <c r="C382">
        <v>90</v>
      </c>
      <c r="D382">
        <v>89.899871825999995</v>
      </c>
      <c r="E382">
        <v>60</v>
      </c>
      <c r="F382">
        <v>14.998855591</v>
      </c>
      <c r="G382">
        <v>1383.4240723</v>
      </c>
      <c r="H382">
        <v>1370.9725341999999</v>
      </c>
      <c r="I382">
        <v>1252.2904053</v>
      </c>
      <c r="J382">
        <v>1212.7208252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99.392821999999995</v>
      </c>
      <c r="B383" s="1">
        <f>DATE(2010,8,8) + TIME(9,25,39)</f>
        <v>40398.392812500002</v>
      </c>
      <c r="C383">
        <v>90</v>
      </c>
      <c r="D383">
        <v>89.899917603000006</v>
      </c>
      <c r="E383">
        <v>60</v>
      </c>
      <c r="F383">
        <v>14.998872757000001</v>
      </c>
      <c r="G383">
        <v>1383.3942870999999</v>
      </c>
      <c r="H383">
        <v>1370.9448242000001</v>
      </c>
      <c r="I383">
        <v>1252.3024902</v>
      </c>
      <c r="J383">
        <v>1212.7318115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99.785989000000001</v>
      </c>
      <c r="B384" s="1">
        <f>DATE(2010,8,8) + TIME(18,51,49)</f>
        <v>40398.785983796297</v>
      </c>
      <c r="C384">
        <v>90</v>
      </c>
      <c r="D384">
        <v>89.899971007999994</v>
      </c>
      <c r="E384">
        <v>60</v>
      </c>
      <c r="F384">
        <v>14.998890876999999</v>
      </c>
      <c r="G384">
        <v>1383.364624</v>
      </c>
      <c r="H384">
        <v>1370.9172363</v>
      </c>
      <c r="I384">
        <v>1252.3146973</v>
      </c>
      <c r="J384">
        <v>1212.7427978999999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100.17915499999999</v>
      </c>
      <c r="B385" s="1">
        <f>DATE(2010,8,9) + TIME(4,17,58)</f>
        <v>40399.179143518515</v>
      </c>
      <c r="C385">
        <v>90</v>
      </c>
      <c r="D385">
        <v>89.900016785000005</v>
      </c>
      <c r="E385">
        <v>60</v>
      </c>
      <c r="F385">
        <v>14.99890995</v>
      </c>
      <c r="G385">
        <v>1383.3349608999999</v>
      </c>
      <c r="H385">
        <v>1370.8897704999999</v>
      </c>
      <c r="I385">
        <v>1252.3269043</v>
      </c>
      <c r="J385">
        <v>1212.7537841999999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100.572321</v>
      </c>
      <c r="B386" s="1">
        <f>DATE(2010,8,9) + TIME(13,44,8)</f>
        <v>40399.572314814817</v>
      </c>
      <c r="C386">
        <v>90</v>
      </c>
      <c r="D386">
        <v>89.900070189999994</v>
      </c>
      <c r="E386">
        <v>60</v>
      </c>
      <c r="F386">
        <v>14.998929977</v>
      </c>
      <c r="G386">
        <v>1383.3055420000001</v>
      </c>
      <c r="H386">
        <v>1370.8623047000001</v>
      </c>
      <c r="I386">
        <v>1252.3392334</v>
      </c>
      <c r="J386">
        <v>1212.7648925999999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100.965487</v>
      </c>
      <c r="B387" s="1">
        <f>DATE(2010,8,9) + TIME(23,10,18)</f>
        <v>40399.965486111112</v>
      </c>
      <c r="C387">
        <v>90</v>
      </c>
      <c r="D387">
        <v>89.900115967000005</v>
      </c>
      <c r="E387">
        <v>60</v>
      </c>
      <c r="F387">
        <v>14.998950004999999</v>
      </c>
      <c r="G387">
        <v>1383.2761230000001</v>
      </c>
      <c r="H387">
        <v>1370.8349608999999</v>
      </c>
      <c r="I387">
        <v>1252.3516846</v>
      </c>
      <c r="J387">
        <v>1212.776001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101.358653</v>
      </c>
      <c r="B388" s="1">
        <f>DATE(2010,8,10) + TIME(8,36,27)</f>
        <v>40400.35864583333</v>
      </c>
      <c r="C388">
        <v>90</v>
      </c>
      <c r="D388">
        <v>89.900161742999998</v>
      </c>
      <c r="E388">
        <v>60</v>
      </c>
      <c r="F388">
        <v>14.998971939</v>
      </c>
      <c r="G388">
        <v>1383.2468262</v>
      </c>
      <c r="H388">
        <v>1370.8077393000001</v>
      </c>
      <c r="I388">
        <v>1252.3641356999999</v>
      </c>
      <c r="J388">
        <v>1212.7872314000001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101.751819</v>
      </c>
      <c r="B389" s="1">
        <f>DATE(2010,8,10) + TIME(18,2,37)</f>
        <v>40400.751817129632</v>
      </c>
      <c r="C389">
        <v>90</v>
      </c>
      <c r="D389">
        <v>89.900215149000005</v>
      </c>
      <c r="E389">
        <v>60</v>
      </c>
      <c r="F389">
        <v>14.998994827000001</v>
      </c>
      <c r="G389">
        <v>1383.2176514</v>
      </c>
      <c r="H389">
        <v>1370.7806396000001</v>
      </c>
      <c r="I389">
        <v>1252.3765868999999</v>
      </c>
      <c r="J389">
        <v>1212.7984618999999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102.538152</v>
      </c>
      <c r="B390" s="1">
        <f>DATE(2010,8,11) + TIME(12,54,56)</f>
        <v>40401.538148148145</v>
      </c>
      <c r="C390">
        <v>90</v>
      </c>
      <c r="D390">
        <v>89.900321959999999</v>
      </c>
      <c r="E390">
        <v>60</v>
      </c>
      <c r="F390">
        <v>14.999032021</v>
      </c>
      <c r="G390">
        <v>1383.1890868999999</v>
      </c>
      <c r="H390">
        <v>1370.7540283000001</v>
      </c>
      <c r="I390">
        <v>1252.3896483999999</v>
      </c>
      <c r="J390">
        <v>1212.8101807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103.32586000000001</v>
      </c>
      <c r="B391" s="1">
        <f>DATE(2010,8,12) + TIME(7,49,14)</f>
        <v>40402.325856481482</v>
      </c>
      <c r="C391">
        <v>90</v>
      </c>
      <c r="D391">
        <v>89.900421143000003</v>
      </c>
      <c r="E391">
        <v>60</v>
      </c>
      <c r="F391">
        <v>14.999077797</v>
      </c>
      <c r="G391">
        <v>1383.1315918</v>
      </c>
      <c r="H391">
        <v>1370.7006836</v>
      </c>
      <c r="I391">
        <v>1252.4147949000001</v>
      </c>
      <c r="J391">
        <v>1212.8328856999999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104.12231199999999</v>
      </c>
      <c r="B392" s="1">
        <f>DATE(2010,8,13) + TIME(2,56,7)</f>
        <v>40403.122303240743</v>
      </c>
      <c r="C392">
        <v>90</v>
      </c>
      <c r="D392">
        <v>89.900520325000002</v>
      </c>
      <c r="E392">
        <v>60</v>
      </c>
      <c r="F392">
        <v>14.999133110000001</v>
      </c>
      <c r="G392">
        <v>1383.0739745999999</v>
      </c>
      <c r="H392">
        <v>1370.6470947</v>
      </c>
      <c r="I392">
        <v>1252.4404297000001</v>
      </c>
      <c r="J392">
        <v>1212.8558350000001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104.928557</v>
      </c>
      <c r="B393" s="1">
        <f>DATE(2010,8,13) + TIME(22,17,7)</f>
        <v>40403.928553240738</v>
      </c>
      <c r="C393">
        <v>90</v>
      </c>
      <c r="D393">
        <v>89.900619507000002</v>
      </c>
      <c r="E393">
        <v>60</v>
      </c>
      <c r="F393">
        <v>14.999197005999999</v>
      </c>
      <c r="G393">
        <v>1383.0161132999999</v>
      </c>
      <c r="H393">
        <v>1370.5932617000001</v>
      </c>
      <c r="I393">
        <v>1252.4665527</v>
      </c>
      <c r="J393">
        <v>1212.8792725000001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105.336572</v>
      </c>
      <c r="B394" s="1">
        <f>DATE(2010,8,14) + TIME(8,4,39)</f>
        <v>40404.336562500001</v>
      </c>
      <c r="C394">
        <v>90</v>
      </c>
      <c r="D394">
        <v>89.900657654</v>
      </c>
      <c r="E394">
        <v>60</v>
      </c>
      <c r="F394">
        <v>14.999245644</v>
      </c>
      <c r="G394">
        <v>1382.9576416</v>
      </c>
      <c r="H394">
        <v>1370.5389404</v>
      </c>
      <c r="I394">
        <v>1252.4929199000001</v>
      </c>
      <c r="J394">
        <v>1212.9027100000001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105.744586</v>
      </c>
      <c r="B395" s="1">
        <f>DATE(2010,8,14) + TIME(17,52,12)</f>
        <v>40404.744583333333</v>
      </c>
      <c r="C395">
        <v>90</v>
      </c>
      <c r="D395">
        <v>89.900711060000006</v>
      </c>
      <c r="E395">
        <v>60</v>
      </c>
      <c r="F395">
        <v>14.999293327</v>
      </c>
      <c r="G395">
        <v>1382.9276123</v>
      </c>
      <c r="H395">
        <v>1370.5109863</v>
      </c>
      <c r="I395">
        <v>1252.5068358999999</v>
      </c>
      <c r="J395">
        <v>1212.9152832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106.152601</v>
      </c>
      <c r="B396" s="1">
        <f>DATE(2010,8,15) + TIME(3,39,44)</f>
        <v>40405.152592592596</v>
      </c>
      <c r="C396">
        <v>90</v>
      </c>
      <c r="D396">
        <v>89.900756835999999</v>
      </c>
      <c r="E396">
        <v>60</v>
      </c>
      <c r="F396">
        <v>14.999341964999999</v>
      </c>
      <c r="G396">
        <v>1382.8983154</v>
      </c>
      <c r="H396">
        <v>1370.4836425999999</v>
      </c>
      <c r="I396">
        <v>1252.5207519999999</v>
      </c>
      <c r="J396">
        <v>1212.9276123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106.560616</v>
      </c>
      <c r="B397" s="1">
        <f>DATE(2010,8,15) + TIME(13,27,17)</f>
        <v>40405.560613425929</v>
      </c>
      <c r="C397">
        <v>90</v>
      </c>
      <c r="D397">
        <v>89.900802612000007</v>
      </c>
      <c r="E397">
        <v>60</v>
      </c>
      <c r="F397">
        <v>14.999391556000001</v>
      </c>
      <c r="G397">
        <v>1382.8691406</v>
      </c>
      <c r="H397">
        <v>1370.456543</v>
      </c>
      <c r="I397">
        <v>1252.534668</v>
      </c>
      <c r="J397">
        <v>1212.9400635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106.96863</v>
      </c>
      <c r="B398" s="1">
        <f>DATE(2010,8,15) + TIME(23,14,49)</f>
        <v>40405.968622685185</v>
      </c>
      <c r="C398">
        <v>90</v>
      </c>
      <c r="D398">
        <v>89.900856017999999</v>
      </c>
      <c r="E398">
        <v>60</v>
      </c>
      <c r="F398">
        <v>14.999444007999999</v>
      </c>
      <c r="G398">
        <v>1382.8400879000001</v>
      </c>
      <c r="H398">
        <v>1370.4294434000001</v>
      </c>
      <c r="I398">
        <v>1252.5485839999999</v>
      </c>
      <c r="J398">
        <v>1212.9525146000001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107.376645</v>
      </c>
      <c r="B399" s="1">
        <f>DATE(2010,8,16) + TIME(9,2,22)</f>
        <v>40406.376643518517</v>
      </c>
      <c r="C399">
        <v>90</v>
      </c>
      <c r="D399">
        <v>89.900901794000006</v>
      </c>
      <c r="E399">
        <v>60</v>
      </c>
      <c r="F399">
        <v>14.999498366999999</v>
      </c>
      <c r="G399">
        <v>1382.8110352000001</v>
      </c>
      <c r="H399">
        <v>1370.4024658000001</v>
      </c>
      <c r="I399">
        <v>1252.5627440999999</v>
      </c>
      <c r="J399">
        <v>1212.9650879000001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107.78466</v>
      </c>
      <c r="B400" s="1">
        <f>DATE(2010,8,16) + TIME(18,49,54)</f>
        <v>40406.78465277778</v>
      </c>
      <c r="C400">
        <v>90</v>
      </c>
      <c r="D400">
        <v>89.900955199999999</v>
      </c>
      <c r="E400">
        <v>60</v>
      </c>
      <c r="F400">
        <v>14.999556541</v>
      </c>
      <c r="G400">
        <v>1382.7821045000001</v>
      </c>
      <c r="H400">
        <v>1370.3756103999999</v>
      </c>
      <c r="I400">
        <v>1252.5769043</v>
      </c>
      <c r="J400">
        <v>1212.9777832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108.192674</v>
      </c>
      <c r="B401" s="1">
        <f>DATE(2010,8,17) + TIME(4,37,27)</f>
        <v>40407.192673611113</v>
      </c>
      <c r="C401">
        <v>90</v>
      </c>
      <c r="D401">
        <v>89.901008606000005</v>
      </c>
      <c r="E401">
        <v>60</v>
      </c>
      <c r="F401">
        <v>14.999617577</v>
      </c>
      <c r="G401">
        <v>1382.7532959</v>
      </c>
      <c r="H401">
        <v>1370.3487548999999</v>
      </c>
      <c r="I401">
        <v>1252.5911865</v>
      </c>
      <c r="J401">
        <v>1212.9904785000001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108.600689</v>
      </c>
      <c r="B402" s="1">
        <f>DATE(2010,8,17) + TIME(14,24,59)</f>
        <v>40407.600682870368</v>
      </c>
      <c r="C402">
        <v>90</v>
      </c>
      <c r="D402">
        <v>89.901054381999998</v>
      </c>
      <c r="E402">
        <v>60</v>
      </c>
      <c r="F402">
        <v>14.999682426</v>
      </c>
      <c r="G402">
        <v>1382.7246094</v>
      </c>
      <c r="H402">
        <v>1370.3220214999999</v>
      </c>
      <c r="I402">
        <v>1252.6055908000001</v>
      </c>
      <c r="J402">
        <v>1213.0032959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109.00870399999999</v>
      </c>
      <c r="B403" s="1">
        <f>DATE(2010,8,18) + TIME(0,12,32)</f>
        <v>40408.008703703701</v>
      </c>
      <c r="C403">
        <v>90</v>
      </c>
      <c r="D403">
        <v>89.901107788000004</v>
      </c>
      <c r="E403">
        <v>60</v>
      </c>
      <c r="F403">
        <v>14.999751091</v>
      </c>
      <c r="G403">
        <v>1382.6959228999999</v>
      </c>
      <c r="H403">
        <v>1370.2952881000001</v>
      </c>
      <c r="I403">
        <v>1252.6199951000001</v>
      </c>
      <c r="J403">
        <v>1213.0161132999999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109.416718</v>
      </c>
      <c r="B404" s="1">
        <f>DATE(2010,8,18) + TIME(10,0,4)</f>
        <v>40408.416712962964</v>
      </c>
      <c r="C404">
        <v>90</v>
      </c>
      <c r="D404">
        <v>89.901153563999998</v>
      </c>
      <c r="E404">
        <v>60</v>
      </c>
      <c r="F404">
        <v>14.99982357</v>
      </c>
      <c r="G404">
        <v>1382.6673584</v>
      </c>
      <c r="H404">
        <v>1370.2686768000001</v>
      </c>
      <c r="I404">
        <v>1252.6345214999999</v>
      </c>
      <c r="J404">
        <v>1213.0290527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109.82473299999999</v>
      </c>
      <c r="B405" s="1">
        <f>DATE(2010,8,18) + TIME(19,47,36)</f>
        <v>40408.82472222222</v>
      </c>
      <c r="C405">
        <v>90</v>
      </c>
      <c r="D405">
        <v>89.901206970000004</v>
      </c>
      <c r="E405">
        <v>60</v>
      </c>
      <c r="F405">
        <v>14.999901771999999</v>
      </c>
      <c r="G405">
        <v>1382.6389160000001</v>
      </c>
      <c r="H405">
        <v>1370.2421875</v>
      </c>
      <c r="I405">
        <v>1252.6491699000001</v>
      </c>
      <c r="J405">
        <v>1213.0419922000001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110.232748</v>
      </c>
      <c r="B406" s="1">
        <f>DATE(2010,8,19) + TIME(5,35,9)</f>
        <v>40409.232743055552</v>
      </c>
      <c r="C406">
        <v>90</v>
      </c>
      <c r="D406">
        <v>89.901252747000001</v>
      </c>
      <c r="E406">
        <v>60</v>
      </c>
      <c r="F406">
        <v>14.999984741</v>
      </c>
      <c r="G406">
        <v>1382.6104736</v>
      </c>
      <c r="H406">
        <v>1370.2156981999999</v>
      </c>
      <c r="I406">
        <v>1252.6639404</v>
      </c>
      <c r="J406">
        <v>1213.0551757999999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110.64076300000001</v>
      </c>
      <c r="B407" s="1">
        <f>DATE(2010,8,19) + TIME(15,22,41)</f>
        <v>40409.640752314815</v>
      </c>
      <c r="C407">
        <v>90</v>
      </c>
      <c r="D407">
        <v>89.901306152000004</v>
      </c>
      <c r="E407">
        <v>60</v>
      </c>
      <c r="F407">
        <v>15.000072479</v>
      </c>
      <c r="G407">
        <v>1382.5821533000001</v>
      </c>
      <c r="H407">
        <v>1370.1893310999999</v>
      </c>
      <c r="I407">
        <v>1252.6787108999999</v>
      </c>
      <c r="J407">
        <v>1213.0683594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111.048777</v>
      </c>
      <c r="B408" s="1">
        <f>DATE(2010,8,20) + TIME(1,10,14)</f>
        <v>40410.048773148148</v>
      </c>
      <c r="C408">
        <v>90</v>
      </c>
      <c r="D408">
        <v>89.901351929</v>
      </c>
      <c r="E408">
        <v>60</v>
      </c>
      <c r="F408">
        <v>15.000166892999999</v>
      </c>
      <c r="G408">
        <v>1382.5539550999999</v>
      </c>
      <c r="H408">
        <v>1370.1630858999999</v>
      </c>
      <c r="I408">
        <v>1252.6937256000001</v>
      </c>
      <c r="J408">
        <v>1213.081543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111.45679199999999</v>
      </c>
      <c r="B409" s="1">
        <f>DATE(2010,8,20) + TIME(10,57,46)</f>
        <v>40410.456782407404</v>
      </c>
      <c r="C409">
        <v>90</v>
      </c>
      <c r="D409">
        <v>89.901405334000003</v>
      </c>
      <c r="E409">
        <v>60</v>
      </c>
      <c r="F409">
        <v>15.000267029</v>
      </c>
      <c r="G409">
        <v>1382.5258789</v>
      </c>
      <c r="H409">
        <v>1370.1368408000001</v>
      </c>
      <c r="I409">
        <v>1252.7087402</v>
      </c>
      <c r="J409">
        <v>1213.0948486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111.864807</v>
      </c>
      <c r="B410" s="1">
        <f>DATE(2010,8,20) + TIME(20,45,19)</f>
        <v>40410.864803240744</v>
      </c>
      <c r="C410">
        <v>90</v>
      </c>
      <c r="D410">
        <v>89.901458739999995</v>
      </c>
      <c r="E410">
        <v>60</v>
      </c>
      <c r="F410">
        <v>15.00037384</v>
      </c>
      <c r="G410">
        <v>1382.4978027</v>
      </c>
      <c r="H410">
        <v>1370.1107178</v>
      </c>
      <c r="I410">
        <v>1252.7238769999999</v>
      </c>
      <c r="J410">
        <v>1213.1082764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112.27282099999999</v>
      </c>
      <c r="B411" s="1">
        <f>DATE(2010,8,21) + TIME(6,32,51)</f>
        <v>40411.272812499999</v>
      </c>
      <c r="C411">
        <v>90</v>
      </c>
      <c r="D411">
        <v>89.901504517000006</v>
      </c>
      <c r="E411">
        <v>60</v>
      </c>
      <c r="F411">
        <v>15.000487328</v>
      </c>
      <c r="G411">
        <v>1382.4697266000001</v>
      </c>
      <c r="H411">
        <v>1370.0845947</v>
      </c>
      <c r="I411">
        <v>1252.7391356999999</v>
      </c>
      <c r="J411">
        <v>1213.1218262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112.680836</v>
      </c>
      <c r="B412" s="1">
        <f>DATE(2010,8,21) + TIME(16,20,24)</f>
        <v>40411.680833333332</v>
      </c>
      <c r="C412">
        <v>90</v>
      </c>
      <c r="D412">
        <v>89.901557921999995</v>
      </c>
      <c r="E412">
        <v>60</v>
      </c>
      <c r="F412">
        <v>15.000608443999999</v>
      </c>
      <c r="G412">
        <v>1382.4418945</v>
      </c>
      <c r="H412">
        <v>1370.0585937999999</v>
      </c>
      <c r="I412">
        <v>1252.7543945</v>
      </c>
      <c r="J412">
        <v>1213.135376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113.496865</v>
      </c>
      <c r="B413" s="1">
        <f>DATE(2010,8,22) + TIME(11,55,29)</f>
        <v>40412.496863425928</v>
      </c>
      <c r="C413">
        <v>90</v>
      </c>
      <c r="D413">
        <v>89.901664733999993</v>
      </c>
      <c r="E413">
        <v>60</v>
      </c>
      <c r="F413">
        <v>15.000802994000001</v>
      </c>
      <c r="G413">
        <v>1382.4145507999999</v>
      </c>
      <c r="H413">
        <v>1370.0332031</v>
      </c>
      <c r="I413">
        <v>1252.7702637</v>
      </c>
      <c r="J413">
        <v>1213.1494141000001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114.312929</v>
      </c>
      <c r="B414" s="1">
        <f>DATE(2010,8,23) + TIME(7,30,37)</f>
        <v>40413.312928240739</v>
      </c>
      <c r="C414">
        <v>90</v>
      </c>
      <c r="D414">
        <v>89.901771545000003</v>
      </c>
      <c r="E414">
        <v>60</v>
      </c>
      <c r="F414">
        <v>15.001052855999999</v>
      </c>
      <c r="G414">
        <v>1382.3594971</v>
      </c>
      <c r="H414">
        <v>1369.9819336</v>
      </c>
      <c r="I414">
        <v>1252.8011475000001</v>
      </c>
      <c r="J414">
        <v>1213.1767577999999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115.139413</v>
      </c>
      <c r="B415" s="1">
        <f>DATE(2010,8,24) + TIME(3,20,45)</f>
        <v>40414.139409722222</v>
      </c>
      <c r="C415">
        <v>90</v>
      </c>
      <c r="D415">
        <v>89.901870728000006</v>
      </c>
      <c r="E415">
        <v>60</v>
      </c>
      <c r="F415">
        <v>15.001354217999999</v>
      </c>
      <c r="G415">
        <v>1382.3044434000001</v>
      </c>
      <c r="H415">
        <v>1369.9306641000001</v>
      </c>
      <c r="I415">
        <v>1252.8327637</v>
      </c>
      <c r="J415">
        <v>1213.2045897999999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115.557648</v>
      </c>
      <c r="B416" s="1">
        <f>DATE(2010,8,24) + TIME(13,23,0)</f>
        <v>40414.557638888888</v>
      </c>
      <c r="C416">
        <v>90</v>
      </c>
      <c r="D416">
        <v>89.901916503999999</v>
      </c>
      <c r="E416">
        <v>60</v>
      </c>
      <c r="F416">
        <v>15.001586914000001</v>
      </c>
      <c r="G416">
        <v>1382.2487793</v>
      </c>
      <c r="H416">
        <v>1369.8787841999999</v>
      </c>
      <c r="I416">
        <v>1252.864624</v>
      </c>
      <c r="J416">
        <v>1213.2325439000001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115.975883</v>
      </c>
      <c r="B417" s="1">
        <f>DATE(2010,8,24) + TIME(23,25,16)</f>
        <v>40414.97587962963</v>
      </c>
      <c r="C417">
        <v>90</v>
      </c>
      <c r="D417">
        <v>89.901962280000006</v>
      </c>
      <c r="E417">
        <v>60</v>
      </c>
      <c r="F417">
        <v>15.001818656999999</v>
      </c>
      <c r="G417">
        <v>1382.2202147999999</v>
      </c>
      <c r="H417">
        <v>1369.8520507999999</v>
      </c>
      <c r="I417">
        <v>1252.8814697</v>
      </c>
      <c r="J417">
        <v>1213.2474365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116.39411699999999</v>
      </c>
      <c r="B418" s="1">
        <f>DATE(2010,8,25) + TIME(9,27,31)</f>
        <v>40415.394108796296</v>
      </c>
      <c r="C418">
        <v>90</v>
      </c>
      <c r="D418">
        <v>89.902015685999999</v>
      </c>
      <c r="E418">
        <v>60</v>
      </c>
      <c r="F418">
        <v>15.002053261</v>
      </c>
      <c r="G418">
        <v>1382.1922606999999</v>
      </c>
      <c r="H418">
        <v>1369.8260498</v>
      </c>
      <c r="I418">
        <v>1252.8983154</v>
      </c>
      <c r="J418">
        <v>1213.262207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116.812352</v>
      </c>
      <c r="B419" s="1">
        <f>DATE(2010,8,25) + TIME(19,29,47)</f>
        <v>40415.812349537038</v>
      </c>
      <c r="C419">
        <v>90</v>
      </c>
      <c r="D419">
        <v>89.902061462000006</v>
      </c>
      <c r="E419">
        <v>60</v>
      </c>
      <c r="F419">
        <v>15.002296447999999</v>
      </c>
      <c r="G419">
        <v>1382.1644286999999</v>
      </c>
      <c r="H419">
        <v>1369.8000488</v>
      </c>
      <c r="I419">
        <v>1252.9151611</v>
      </c>
      <c r="J419">
        <v>1213.2770995999999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117.230587</v>
      </c>
      <c r="B420" s="1">
        <f>DATE(2010,8,26) + TIME(5,32,2)</f>
        <v>40416.230578703704</v>
      </c>
      <c r="C420">
        <v>90</v>
      </c>
      <c r="D420">
        <v>89.902114867999998</v>
      </c>
      <c r="E420">
        <v>60</v>
      </c>
      <c r="F420">
        <v>15.002551079</v>
      </c>
      <c r="G420">
        <v>1382.1367187999999</v>
      </c>
      <c r="H420">
        <v>1369.7741699000001</v>
      </c>
      <c r="I420">
        <v>1252.9321289</v>
      </c>
      <c r="J420">
        <v>1213.2921143000001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117.648822</v>
      </c>
      <c r="B421" s="1">
        <f>DATE(2010,8,26) + TIME(15,34,18)</f>
        <v>40416.648819444446</v>
      </c>
      <c r="C421">
        <v>90</v>
      </c>
      <c r="D421">
        <v>89.902168274000005</v>
      </c>
      <c r="E421">
        <v>60</v>
      </c>
      <c r="F421">
        <v>15.002818108</v>
      </c>
      <c r="G421">
        <v>1382.1090088000001</v>
      </c>
      <c r="H421">
        <v>1369.7482910000001</v>
      </c>
      <c r="I421">
        <v>1252.9493408000001</v>
      </c>
      <c r="J421">
        <v>1213.3071289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118.06705700000001</v>
      </c>
      <c r="B422" s="1">
        <f>DATE(2010,8,27) + TIME(1,36,33)</f>
        <v>40417.067048611112</v>
      </c>
      <c r="C422">
        <v>90</v>
      </c>
      <c r="D422">
        <v>89.902214049999998</v>
      </c>
      <c r="E422">
        <v>60</v>
      </c>
      <c r="F422">
        <v>15.003100395000001</v>
      </c>
      <c r="G422">
        <v>1382.0814209</v>
      </c>
      <c r="H422">
        <v>1369.7225341999999</v>
      </c>
      <c r="I422">
        <v>1252.9665527</v>
      </c>
      <c r="J422">
        <v>1213.3223877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118.485292</v>
      </c>
      <c r="B423" s="1">
        <f>DATE(2010,8,27) + TIME(11,38,49)</f>
        <v>40417.485289351855</v>
      </c>
      <c r="C423">
        <v>90</v>
      </c>
      <c r="D423">
        <v>89.902267456000004</v>
      </c>
      <c r="E423">
        <v>60</v>
      </c>
      <c r="F423">
        <v>15.003398895</v>
      </c>
      <c r="G423">
        <v>1382.0538329999999</v>
      </c>
      <c r="H423">
        <v>1369.6968993999999</v>
      </c>
      <c r="I423">
        <v>1252.9840088000001</v>
      </c>
      <c r="J423">
        <v>1213.3376464999999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118.903527</v>
      </c>
      <c r="B424" s="1">
        <f>DATE(2010,8,27) + TIME(21,41,4)</f>
        <v>40417.90351851852</v>
      </c>
      <c r="C424">
        <v>90</v>
      </c>
      <c r="D424">
        <v>89.902320861999996</v>
      </c>
      <c r="E424">
        <v>60</v>
      </c>
      <c r="F424">
        <v>15.003715515</v>
      </c>
      <c r="G424">
        <v>1382.0263672000001</v>
      </c>
      <c r="H424">
        <v>1369.6712646000001</v>
      </c>
      <c r="I424">
        <v>1253.0015868999999</v>
      </c>
      <c r="J424">
        <v>1213.3531493999999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119.32176200000001</v>
      </c>
      <c r="B425" s="1">
        <f>DATE(2010,8,28) + TIME(7,43,20)</f>
        <v>40418.321759259263</v>
      </c>
      <c r="C425">
        <v>90</v>
      </c>
      <c r="D425">
        <v>89.902366638000004</v>
      </c>
      <c r="E425">
        <v>60</v>
      </c>
      <c r="F425">
        <v>15.004052162000001</v>
      </c>
      <c r="G425">
        <v>1381.9990233999999</v>
      </c>
      <c r="H425">
        <v>1369.6456298999999</v>
      </c>
      <c r="I425">
        <v>1253.0192870999999</v>
      </c>
      <c r="J425">
        <v>1213.3686522999999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119.739997</v>
      </c>
      <c r="B426" s="1">
        <f>DATE(2010,8,28) + TIME(17,45,35)</f>
        <v>40418.739988425928</v>
      </c>
      <c r="C426">
        <v>90</v>
      </c>
      <c r="D426">
        <v>89.902420043999996</v>
      </c>
      <c r="E426">
        <v>60</v>
      </c>
      <c r="F426">
        <v>15.00440979</v>
      </c>
      <c r="G426">
        <v>1381.9716797000001</v>
      </c>
      <c r="H426">
        <v>1369.6202393000001</v>
      </c>
      <c r="I426">
        <v>1253.0371094</v>
      </c>
      <c r="J426">
        <v>1213.3842772999999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120.157561</v>
      </c>
      <c r="B427" s="1">
        <f>DATE(2010,8,29) + TIME(3,46,53)</f>
        <v>40419.157557870371</v>
      </c>
      <c r="C427">
        <v>90</v>
      </c>
      <c r="D427">
        <v>89.902473450000002</v>
      </c>
      <c r="E427">
        <v>60</v>
      </c>
      <c r="F427">
        <v>15.004789352</v>
      </c>
      <c r="G427">
        <v>1381.9443358999999</v>
      </c>
      <c r="H427">
        <v>1369.5947266000001</v>
      </c>
      <c r="I427">
        <v>1253.0550536999999</v>
      </c>
      <c r="J427">
        <v>1213.4000243999999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120.57390100000001</v>
      </c>
      <c r="B428" s="1">
        <f>DATE(2010,8,29) + TIME(13,46,25)</f>
        <v>40419.573900462965</v>
      </c>
      <c r="C428">
        <v>90</v>
      </c>
      <c r="D428">
        <v>89.902519225999995</v>
      </c>
      <c r="E428">
        <v>60</v>
      </c>
      <c r="F428">
        <v>15.005191803000001</v>
      </c>
      <c r="G428">
        <v>1381.9172363</v>
      </c>
      <c r="H428">
        <v>1369.5693358999999</v>
      </c>
      <c r="I428">
        <v>1253.0732422000001</v>
      </c>
      <c r="J428">
        <v>1213.4158935999999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120.98913899999999</v>
      </c>
      <c r="B429" s="1">
        <f>DATE(2010,8,29) + TIME(23,44,21)</f>
        <v>40419.989131944443</v>
      </c>
      <c r="C429">
        <v>90</v>
      </c>
      <c r="D429">
        <v>89.902572632000002</v>
      </c>
      <c r="E429">
        <v>60</v>
      </c>
      <c r="F429">
        <v>15.005618095000001</v>
      </c>
      <c r="G429">
        <v>1381.8902588000001</v>
      </c>
      <c r="H429">
        <v>1369.5441894999999</v>
      </c>
      <c r="I429">
        <v>1253.0914307</v>
      </c>
      <c r="J429">
        <v>1213.4318848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121.40332600000001</v>
      </c>
      <c r="B430" s="1">
        <f>DATE(2010,8,30) + TIME(9,40,47)</f>
        <v>40420.403321759259</v>
      </c>
      <c r="C430">
        <v>90</v>
      </c>
      <c r="D430">
        <v>89.902618407999995</v>
      </c>
      <c r="E430">
        <v>60</v>
      </c>
      <c r="F430">
        <v>15.006070137</v>
      </c>
      <c r="G430">
        <v>1381.8634033000001</v>
      </c>
      <c r="H430">
        <v>1369.519043</v>
      </c>
      <c r="I430">
        <v>1253.1097411999999</v>
      </c>
      <c r="J430">
        <v>1213.447876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121.81658</v>
      </c>
      <c r="B431" s="1">
        <f>DATE(2010,8,30) + TIME(19,35,52)</f>
        <v>40420.816574074073</v>
      </c>
      <c r="C431">
        <v>90</v>
      </c>
      <c r="D431">
        <v>89.902671814000001</v>
      </c>
      <c r="E431">
        <v>60</v>
      </c>
      <c r="F431">
        <v>15.006549835</v>
      </c>
      <c r="G431">
        <v>1381.8366699000001</v>
      </c>
      <c r="H431">
        <v>1369.4941406</v>
      </c>
      <c r="I431">
        <v>1253.1281738</v>
      </c>
      <c r="J431">
        <v>1213.4639893000001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122.641513</v>
      </c>
      <c r="B432" s="1">
        <f>DATE(2010,8,31) + TIME(15,23,46)</f>
        <v>40421.641504629632</v>
      </c>
      <c r="C432">
        <v>90</v>
      </c>
      <c r="D432">
        <v>89.902778624999996</v>
      </c>
      <c r="E432">
        <v>60</v>
      </c>
      <c r="F432">
        <v>15.007318497</v>
      </c>
      <c r="G432">
        <v>1381.8104248</v>
      </c>
      <c r="H432">
        <v>1369.4697266000001</v>
      </c>
      <c r="I432">
        <v>1253.1469727000001</v>
      </c>
      <c r="J432">
        <v>1213.4807129000001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123</v>
      </c>
      <c r="B433" s="1">
        <f>DATE(2010,9,1) + TIME(0,0,0)</f>
        <v>40422</v>
      </c>
      <c r="C433">
        <v>90</v>
      </c>
      <c r="D433">
        <v>89.902816771999994</v>
      </c>
      <c r="E433">
        <v>60</v>
      </c>
      <c r="F433">
        <v>15.007907867</v>
      </c>
      <c r="G433">
        <v>1381.7580565999999</v>
      </c>
      <c r="H433">
        <v>1369.4207764</v>
      </c>
      <c r="I433">
        <v>1253.1834716999999</v>
      </c>
      <c r="J433">
        <v>1213.5123291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123.82745199999999</v>
      </c>
      <c r="B434" s="1">
        <f>DATE(2010,9,1) + TIME(19,51,31)</f>
        <v>40422.82744212963</v>
      </c>
      <c r="C434">
        <v>90</v>
      </c>
      <c r="D434">
        <v>89.902923584000007</v>
      </c>
      <c r="E434">
        <v>60</v>
      </c>
      <c r="F434">
        <v>15.008890151999999</v>
      </c>
      <c r="G434">
        <v>1381.7346190999999</v>
      </c>
      <c r="H434">
        <v>1369.3989257999999</v>
      </c>
      <c r="I434">
        <v>1253.2006836</v>
      </c>
      <c r="J434">
        <v>1213.5277100000001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124.669526</v>
      </c>
      <c r="B435" s="1">
        <f>DATE(2010,9,2) + TIME(16,4,7)</f>
        <v>40423.669525462959</v>
      </c>
      <c r="C435">
        <v>90</v>
      </c>
      <c r="D435">
        <v>89.903030396000005</v>
      </c>
      <c r="E435">
        <v>60</v>
      </c>
      <c r="F435">
        <v>15.010100365</v>
      </c>
      <c r="G435">
        <v>1381.6823730000001</v>
      </c>
      <c r="H435">
        <v>1369.3500977000001</v>
      </c>
      <c r="I435">
        <v>1253.2388916</v>
      </c>
      <c r="J435">
        <v>1213.5610352000001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125.09072999999999</v>
      </c>
      <c r="B436" s="1">
        <f>DATE(2010,9,3) + TIME(2,10,39)</f>
        <v>40424.090729166666</v>
      </c>
      <c r="C436">
        <v>90</v>
      </c>
      <c r="D436">
        <v>89.903076171999999</v>
      </c>
      <c r="E436">
        <v>60</v>
      </c>
      <c r="F436">
        <v>15.011039734000001</v>
      </c>
      <c r="G436">
        <v>1381.6290283000001</v>
      </c>
      <c r="H436">
        <v>1369.3001709</v>
      </c>
      <c r="I436">
        <v>1253.2783202999999</v>
      </c>
      <c r="J436">
        <v>1213.5950928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125.51193499999999</v>
      </c>
      <c r="B437" s="1">
        <f>DATE(2010,9,3) + TIME(12,17,11)</f>
        <v>40424.511932870373</v>
      </c>
      <c r="C437">
        <v>90</v>
      </c>
      <c r="D437">
        <v>89.903121948000006</v>
      </c>
      <c r="E437">
        <v>60</v>
      </c>
      <c r="F437">
        <v>15.01197052</v>
      </c>
      <c r="G437">
        <v>1381.6016846</v>
      </c>
      <c r="H437">
        <v>1369.2746582</v>
      </c>
      <c r="I437">
        <v>1253.2988281</v>
      </c>
      <c r="J437">
        <v>1213.6130370999999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125.93313999999999</v>
      </c>
      <c r="B438" s="1">
        <f>DATE(2010,9,3) + TIME(22,23,43)</f>
        <v>40424.933136574073</v>
      </c>
      <c r="C438">
        <v>90</v>
      </c>
      <c r="D438">
        <v>89.903175353999998</v>
      </c>
      <c r="E438">
        <v>60</v>
      </c>
      <c r="F438">
        <v>15.012913704000001</v>
      </c>
      <c r="G438">
        <v>1381.5750731999999</v>
      </c>
      <c r="H438">
        <v>1369.2497559000001</v>
      </c>
      <c r="I438">
        <v>1253.3192139</v>
      </c>
      <c r="J438">
        <v>1213.6308594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126.354344</v>
      </c>
      <c r="B439" s="1">
        <f>DATE(2010,9,4) + TIME(8,30,15)</f>
        <v>40425.35434027778</v>
      </c>
      <c r="C439">
        <v>90</v>
      </c>
      <c r="D439">
        <v>89.903221130000006</v>
      </c>
      <c r="E439">
        <v>60</v>
      </c>
      <c r="F439">
        <v>15.013884544</v>
      </c>
      <c r="G439">
        <v>1381.5485839999999</v>
      </c>
      <c r="H439">
        <v>1369.2249756000001</v>
      </c>
      <c r="I439">
        <v>1253.3398437999999</v>
      </c>
      <c r="J439">
        <v>1213.6489257999999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126.775549</v>
      </c>
      <c r="B440" s="1">
        <f>DATE(2010,9,4) + TIME(18,36,47)</f>
        <v>40425.775543981479</v>
      </c>
      <c r="C440">
        <v>90</v>
      </c>
      <c r="D440">
        <v>89.903274535999998</v>
      </c>
      <c r="E440">
        <v>60</v>
      </c>
      <c r="F440">
        <v>15.014894484999999</v>
      </c>
      <c r="G440">
        <v>1381.5220947</v>
      </c>
      <c r="H440">
        <v>1369.2003173999999</v>
      </c>
      <c r="I440">
        <v>1253.3605957</v>
      </c>
      <c r="J440">
        <v>1213.6671143000001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127.196754</v>
      </c>
      <c r="B441" s="1">
        <f>DATE(2010,9,5) + TIME(4,43,19)</f>
        <v>40426.196747685186</v>
      </c>
      <c r="C441">
        <v>90</v>
      </c>
      <c r="D441">
        <v>89.903327942000004</v>
      </c>
      <c r="E441">
        <v>60</v>
      </c>
      <c r="F441">
        <v>15.015951157</v>
      </c>
      <c r="G441">
        <v>1381.4957274999999</v>
      </c>
      <c r="H441">
        <v>1369.1756591999999</v>
      </c>
      <c r="I441">
        <v>1253.3815918</v>
      </c>
      <c r="J441">
        <v>1213.6854248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127.617189</v>
      </c>
      <c r="B442" s="1">
        <f>DATE(2010,9,5) + TIME(14,48,45)</f>
        <v>40426.6171875</v>
      </c>
      <c r="C442">
        <v>90</v>
      </c>
      <c r="D442">
        <v>89.903373717999997</v>
      </c>
      <c r="E442">
        <v>60</v>
      </c>
      <c r="F442">
        <v>15.017061234</v>
      </c>
      <c r="G442">
        <v>1381.4693603999999</v>
      </c>
      <c r="H442">
        <v>1369.151001</v>
      </c>
      <c r="I442">
        <v>1253.402832</v>
      </c>
      <c r="J442">
        <v>1213.7039795000001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128.036305</v>
      </c>
      <c r="B443" s="1">
        <f>DATE(2010,9,6) + TIME(0,52,16)</f>
        <v>40427.036296296297</v>
      </c>
      <c r="C443">
        <v>90</v>
      </c>
      <c r="D443">
        <v>89.903427124000004</v>
      </c>
      <c r="E443">
        <v>60</v>
      </c>
      <c r="F443">
        <v>15.018228531</v>
      </c>
      <c r="G443">
        <v>1381.4432373</v>
      </c>
      <c r="H443">
        <v>1369.1264647999999</v>
      </c>
      <c r="I443">
        <v>1253.4241943</v>
      </c>
      <c r="J443">
        <v>1213.7226562000001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128.45419799999999</v>
      </c>
      <c r="B444" s="1">
        <f>DATE(2010,9,6) + TIME(10,54,2)</f>
        <v>40427.454189814816</v>
      </c>
      <c r="C444">
        <v>90</v>
      </c>
      <c r="D444">
        <v>89.903480529999996</v>
      </c>
      <c r="E444">
        <v>60</v>
      </c>
      <c r="F444">
        <v>15.019457816999999</v>
      </c>
      <c r="G444">
        <v>1381.4171143000001</v>
      </c>
      <c r="H444">
        <v>1369.1020507999999</v>
      </c>
      <c r="I444">
        <v>1253.4458007999999</v>
      </c>
      <c r="J444">
        <v>1213.7415771000001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128.87094200000001</v>
      </c>
      <c r="B445" s="1">
        <f>DATE(2010,9,6) + TIME(20,54,9)</f>
        <v>40427.870937500003</v>
      </c>
      <c r="C445">
        <v>90</v>
      </c>
      <c r="D445">
        <v>89.903526306000003</v>
      </c>
      <c r="E445">
        <v>60</v>
      </c>
      <c r="F445">
        <v>15.020752907</v>
      </c>
      <c r="G445">
        <v>1381.3911132999999</v>
      </c>
      <c r="H445">
        <v>1369.0777588000001</v>
      </c>
      <c r="I445">
        <v>1253.4674072</v>
      </c>
      <c r="J445">
        <v>1213.7604980000001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129.28661700000001</v>
      </c>
      <c r="B446" s="1">
        <f>DATE(2010,9,7) + TIME(6,52,43)</f>
        <v>40428.286608796298</v>
      </c>
      <c r="C446">
        <v>90</v>
      </c>
      <c r="D446">
        <v>89.903579711999996</v>
      </c>
      <c r="E446">
        <v>60</v>
      </c>
      <c r="F446">
        <v>15.022118568</v>
      </c>
      <c r="G446">
        <v>1381.3652344</v>
      </c>
      <c r="H446">
        <v>1369.0535889</v>
      </c>
      <c r="I446">
        <v>1253.4892577999999</v>
      </c>
      <c r="J446">
        <v>1213.7795410000001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129.70131000000001</v>
      </c>
      <c r="B447" s="1">
        <f>DATE(2010,9,7) + TIME(16,49,53)</f>
        <v>40428.701307870368</v>
      </c>
      <c r="C447">
        <v>90</v>
      </c>
      <c r="D447">
        <v>89.903625488000003</v>
      </c>
      <c r="E447">
        <v>60</v>
      </c>
      <c r="F447">
        <v>15.023558617000001</v>
      </c>
      <c r="G447">
        <v>1381.3395995999999</v>
      </c>
      <c r="H447">
        <v>1369.0294189000001</v>
      </c>
      <c r="I447">
        <v>1253.5113524999999</v>
      </c>
      <c r="J447">
        <v>1213.7988281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130.528862</v>
      </c>
      <c r="B448" s="1">
        <f>DATE(2010,9,8) + TIME(12,41,33)</f>
        <v>40429.528854166667</v>
      </c>
      <c r="C448">
        <v>90</v>
      </c>
      <c r="D448">
        <v>89.903732300000001</v>
      </c>
      <c r="E448">
        <v>60</v>
      </c>
      <c r="F448">
        <v>15.025857925</v>
      </c>
      <c r="G448">
        <v>1381.3143310999999</v>
      </c>
      <c r="H448">
        <v>1369.0058594</v>
      </c>
      <c r="I448">
        <v>1253.5334473</v>
      </c>
      <c r="J448">
        <v>1213.8188477000001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131.356908</v>
      </c>
      <c r="B449" s="1">
        <f>DATE(2010,9,9) + TIME(8,33,56)</f>
        <v>40430.356898148151</v>
      </c>
      <c r="C449">
        <v>90</v>
      </c>
      <c r="D449">
        <v>89.903839110999996</v>
      </c>
      <c r="E449">
        <v>60</v>
      </c>
      <c r="F449">
        <v>15.028774261000001</v>
      </c>
      <c r="G449">
        <v>1381.2637939000001</v>
      </c>
      <c r="H449">
        <v>1368.9586182</v>
      </c>
      <c r="I449">
        <v>1253.578125</v>
      </c>
      <c r="J449">
        <v>1213.8577881000001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132.19344000000001</v>
      </c>
      <c r="B450" s="1">
        <f>DATE(2010,9,10) + TIME(4,38,33)</f>
        <v>40431.193437499998</v>
      </c>
      <c r="C450">
        <v>90</v>
      </c>
      <c r="D450">
        <v>89.903938292999996</v>
      </c>
      <c r="E450">
        <v>60</v>
      </c>
      <c r="F450">
        <v>15.032222748000001</v>
      </c>
      <c r="G450">
        <v>1381.2130127</v>
      </c>
      <c r="H450">
        <v>1368.9111327999999</v>
      </c>
      <c r="I450">
        <v>1253.6237793</v>
      </c>
      <c r="J450">
        <v>1213.8977050999999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132.61695</v>
      </c>
      <c r="B451" s="1">
        <f>DATE(2010,9,10) + TIME(14,48,24)</f>
        <v>40431.616944444446</v>
      </c>
      <c r="C451">
        <v>90</v>
      </c>
      <c r="D451">
        <v>89.903984070000007</v>
      </c>
      <c r="E451">
        <v>60</v>
      </c>
      <c r="F451">
        <v>15.034855843000001</v>
      </c>
      <c r="G451">
        <v>1381.1619873</v>
      </c>
      <c r="H451">
        <v>1368.8632812000001</v>
      </c>
      <c r="I451">
        <v>1253.6710204999999</v>
      </c>
      <c r="J451">
        <v>1213.9379882999999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133.04046</v>
      </c>
      <c r="B452" s="1">
        <f>DATE(2010,9,11) + TIME(0,58,15)</f>
        <v>40432.040451388886</v>
      </c>
      <c r="C452">
        <v>90</v>
      </c>
      <c r="D452">
        <v>89.904029846</v>
      </c>
      <c r="E452">
        <v>60</v>
      </c>
      <c r="F452">
        <v>15.037450789999999</v>
      </c>
      <c r="G452">
        <v>1381.1354980000001</v>
      </c>
      <c r="H452">
        <v>1368.838501</v>
      </c>
      <c r="I452">
        <v>1253.6955565999999</v>
      </c>
      <c r="J452">
        <v>1213.9598389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133.46396999999999</v>
      </c>
      <c r="B453" s="1">
        <f>DATE(2010,9,11) + TIME(11,8,6)</f>
        <v>40432.463958333334</v>
      </c>
      <c r="C453">
        <v>90</v>
      </c>
      <c r="D453">
        <v>89.904083252000007</v>
      </c>
      <c r="E453">
        <v>60</v>
      </c>
      <c r="F453">
        <v>15.040065765</v>
      </c>
      <c r="G453">
        <v>1381.1097411999999</v>
      </c>
      <c r="H453">
        <v>1368.8143310999999</v>
      </c>
      <c r="I453">
        <v>1253.7200928</v>
      </c>
      <c r="J453">
        <v>1213.9815673999999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133.88748000000001</v>
      </c>
      <c r="B454" s="1">
        <f>DATE(2010,9,11) + TIME(21,17,58)</f>
        <v>40432.887476851851</v>
      </c>
      <c r="C454">
        <v>90</v>
      </c>
      <c r="D454">
        <v>89.904136657999999</v>
      </c>
      <c r="E454">
        <v>60</v>
      </c>
      <c r="F454">
        <v>15.042744637</v>
      </c>
      <c r="G454">
        <v>1381.0839844</v>
      </c>
      <c r="H454">
        <v>1368.7901611</v>
      </c>
      <c r="I454">
        <v>1253.7448730000001</v>
      </c>
      <c r="J454">
        <v>1214.0035399999999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134.31099</v>
      </c>
      <c r="B455" s="1">
        <f>DATE(2010,9,12) + TIME(7,27,49)</f>
        <v>40433.310983796298</v>
      </c>
      <c r="C455">
        <v>90</v>
      </c>
      <c r="D455">
        <v>89.904182434000006</v>
      </c>
      <c r="E455">
        <v>60</v>
      </c>
      <c r="F455">
        <v>15.045517921</v>
      </c>
      <c r="G455">
        <v>1381.0583495999999</v>
      </c>
      <c r="H455">
        <v>1368.7661132999999</v>
      </c>
      <c r="I455">
        <v>1253.7700195</v>
      </c>
      <c r="J455">
        <v>1214.0258789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134.7345</v>
      </c>
      <c r="B456" s="1">
        <f>DATE(2010,9,12) + TIME(17,37,40)</f>
        <v>40433.734490740739</v>
      </c>
      <c r="C456">
        <v>90</v>
      </c>
      <c r="D456">
        <v>89.904235839999998</v>
      </c>
      <c r="E456">
        <v>60</v>
      </c>
      <c r="F456">
        <v>15.048408508</v>
      </c>
      <c r="G456">
        <v>1381.0327147999999</v>
      </c>
      <c r="H456">
        <v>1368.7420654</v>
      </c>
      <c r="I456">
        <v>1253.7955322</v>
      </c>
      <c r="J456">
        <v>1214.0483397999999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135.15700799999999</v>
      </c>
      <c r="B457" s="1">
        <f>DATE(2010,9,13) + TIME(3,46,5)</f>
        <v>40434.157002314816</v>
      </c>
      <c r="C457">
        <v>90</v>
      </c>
      <c r="D457">
        <v>89.904281616000006</v>
      </c>
      <c r="E457">
        <v>60</v>
      </c>
      <c r="F457">
        <v>15.051429749</v>
      </c>
      <c r="G457">
        <v>1381.0072021000001</v>
      </c>
      <c r="H457">
        <v>1368.7181396000001</v>
      </c>
      <c r="I457">
        <v>1253.8212891000001</v>
      </c>
      <c r="J457">
        <v>1214.0711670000001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135.577966</v>
      </c>
      <c r="B458" s="1">
        <f>DATE(2010,9,13) + TIME(13,52,16)</f>
        <v>40434.577962962961</v>
      </c>
      <c r="C458">
        <v>90</v>
      </c>
      <c r="D458">
        <v>89.904335021999998</v>
      </c>
      <c r="E458">
        <v>60</v>
      </c>
      <c r="F458">
        <v>15.05459404</v>
      </c>
      <c r="G458">
        <v>1380.9816894999999</v>
      </c>
      <c r="H458">
        <v>1368.6942139</v>
      </c>
      <c r="I458">
        <v>1253.8472899999999</v>
      </c>
      <c r="J458">
        <v>1214.0942382999999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135.99749</v>
      </c>
      <c r="B459" s="1">
        <f>DATE(2010,9,13) + TIME(23,56,23)</f>
        <v>40434.997488425928</v>
      </c>
      <c r="C459">
        <v>90</v>
      </c>
      <c r="D459">
        <v>89.904388428000004</v>
      </c>
      <c r="E459">
        <v>60</v>
      </c>
      <c r="F459">
        <v>15.057912826999999</v>
      </c>
      <c r="G459">
        <v>1380.9564209</v>
      </c>
      <c r="H459">
        <v>1368.6704102000001</v>
      </c>
      <c r="I459">
        <v>1253.8735352000001</v>
      </c>
      <c r="J459">
        <v>1214.1174315999999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136.41566599999999</v>
      </c>
      <c r="B460" s="1">
        <f>DATE(2010,9,14) + TIME(9,58,33)</f>
        <v>40435.415659722225</v>
      </c>
      <c r="C460">
        <v>90</v>
      </c>
      <c r="D460">
        <v>89.904434203999998</v>
      </c>
      <c r="E460">
        <v>60</v>
      </c>
      <c r="F460">
        <v>15.061395644999999</v>
      </c>
      <c r="G460">
        <v>1380.9311522999999</v>
      </c>
      <c r="H460">
        <v>1368.6468506000001</v>
      </c>
      <c r="I460">
        <v>1253.9000243999999</v>
      </c>
      <c r="J460">
        <v>1214.1409911999999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136.832593</v>
      </c>
      <c r="B461" s="1">
        <f>DATE(2010,9,14) + TIME(19,58,56)</f>
        <v>40435.832592592589</v>
      </c>
      <c r="C461">
        <v>90</v>
      </c>
      <c r="D461">
        <v>89.904487610000004</v>
      </c>
      <c r="E461">
        <v>60</v>
      </c>
      <c r="F461">
        <v>15.06505394</v>
      </c>
      <c r="G461">
        <v>1380.9061279</v>
      </c>
      <c r="H461">
        <v>1368.6232910000001</v>
      </c>
      <c r="I461">
        <v>1253.9266356999999</v>
      </c>
      <c r="J461">
        <v>1214.1646728999999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137.24837099999999</v>
      </c>
      <c r="B462" s="1">
        <f>DATE(2010,9,15) + TIME(5,57,39)</f>
        <v>40436.248368055552</v>
      </c>
      <c r="C462">
        <v>90</v>
      </c>
      <c r="D462">
        <v>89.904533385999997</v>
      </c>
      <c r="E462">
        <v>60</v>
      </c>
      <c r="F462">
        <v>15.068895339999999</v>
      </c>
      <c r="G462">
        <v>1380.8811035000001</v>
      </c>
      <c r="H462">
        <v>1368.5998535000001</v>
      </c>
      <c r="I462">
        <v>1253.9536132999999</v>
      </c>
      <c r="J462">
        <v>1214.1887207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137.66310300000001</v>
      </c>
      <c r="B463" s="1">
        <f>DATE(2010,9,15) + TIME(15,54,52)</f>
        <v>40436.663101851853</v>
      </c>
      <c r="C463">
        <v>90</v>
      </c>
      <c r="D463">
        <v>89.904586792000003</v>
      </c>
      <c r="E463">
        <v>60</v>
      </c>
      <c r="F463">
        <v>15.072932243</v>
      </c>
      <c r="G463">
        <v>1380.8562012</v>
      </c>
      <c r="H463">
        <v>1368.5765381000001</v>
      </c>
      <c r="I463">
        <v>1253.9807129000001</v>
      </c>
      <c r="J463">
        <v>1214.2130127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138.076899</v>
      </c>
      <c r="B464" s="1">
        <f>DATE(2010,9,16) + TIME(1,50,44)</f>
        <v>40437.076898148145</v>
      </c>
      <c r="C464">
        <v>90</v>
      </c>
      <c r="D464">
        <v>89.904632567999997</v>
      </c>
      <c r="E464">
        <v>60</v>
      </c>
      <c r="F464">
        <v>15.077173233</v>
      </c>
      <c r="G464">
        <v>1380.8314209</v>
      </c>
      <c r="H464">
        <v>1368.5532227000001</v>
      </c>
      <c r="I464">
        <v>1254.0081786999999</v>
      </c>
      <c r="J464">
        <v>1214.2375488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138.90281300000001</v>
      </c>
      <c r="B465" s="1">
        <f>DATE(2010,9,16) + TIME(21,40,3)</f>
        <v>40437.902812499997</v>
      </c>
      <c r="C465">
        <v>90</v>
      </c>
      <c r="D465">
        <v>89.904739379999995</v>
      </c>
      <c r="E465">
        <v>60</v>
      </c>
      <c r="F465">
        <v>15.083920479</v>
      </c>
      <c r="G465">
        <v>1380.8071289</v>
      </c>
      <c r="H465">
        <v>1368.5303954999999</v>
      </c>
      <c r="I465">
        <v>1254.0351562000001</v>
      </c>
      <c r="J465">
        <v>1214.2634277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139.73214100000001</v>
      </c>
      <c r="B466" s="1">
        <f>DATE(2010,9,17) + TIME(17,34,16)</f>
        <v>40438.732129629629</v>
      </c>
      <c r="C466">
        <v>90</v>
      </c>
      <c r="D466">
        <v>89.904838561999995</v>
      </c>
      <c r="E466">
        <v>60</v>
      </c>
      <c r="F466">
        <v>15.092437744</v>
      </c>
      <c r="G466">
        <v>1380.7584228999999</v>
      </c>
      <c r="H466">
        <v>1368.4846190999999</v>
      </c>
      <c r="I466">
        <v>1254.0911865</v>
      </c>
      <c r="J466">
        <v>1214.3132324000001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140.57164800000001</v>
      </c>
      <c r="B467" s="1">
        <f>DATE(2010,9,18) + TIME(13,43,10)</f>
        <v>40439.571643518517</v>
      </c>
      <c r="C467">
        <v>90</v>
      </c>
      <c r="D467">
        <v>89.904945373999993</v>
      </c>
      <c r="E467">
        <v>60</v>
      </c>
      <c r="F467">
        <v>15.102463722</v>
      </c>
      <c r="G467">
        <v>1380.7092285000001</v>
      </c>
      <c r="H467">
        <v>1368.4385986</v>
      </c>
      <c r="I467">
        <v>1254.1488036999999</v>
      </c>
      <c r="J467">
        <v>1214.3649902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140.99687599999999</v>
      </c>
      <c r="B468" s="1">
        <f>DATE(2010,9,18) + TIME(23,55,30)</f>
        <v>40439.996874999997</v>
      </c>
      <c r="C468">
        <v>90</v>
      </c>
      <c r="D468">
        <v>89.904983521000005</v>
      </c>
      <c r="E468">
        <v>60</v>
      </c>
      <c r="F468">
        <v>15.110087395000001</v>
      </c>
      <c r="G468">
        <v>1380.659668</v>
      </c>
      <c r="H468">
        <v>1368.3919678</v>
      </c>
      <c r="I468">
        <v>1254.2097168</v>
      </c>
      <c r="J468">
        <v>1214.4174805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141.41779299999999</v>
      </c>
      <c r="B469" s="1">
        <f>DATE(2010,9,19) + TIME(10,1,37)</f>
        <v>40440.41778935185</v>
      </c>
      <c r="C469">
        <v>90</v>
      </c>
      <c r="D469">
        <v>89.905036925999994</v>
      </c>
      <c r="E469">
        <v>60</v>
      </c>
      <c r="F469">
        <v>15.117515564</v>
      </c>
      <c r="G469">
        <v>1380.6339111</v>
      </c>
      <c r="H469">
        <v>1368.3676757999999</v>
      </c>
      <c r="I469">
        <v>1254.2406006000001</v>
      </c>
      <c r="J469">
        <v>1214.4462891000001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141.838201</v>
      </c>
      <c r="B470" s="1">
        <f>DATE(2010,9,19) + TIME(20,7,0)</f>
        <v>40440.838194444441</v>
      </c>
      <c r="C470">
        <v>90</v>
      </c>
      <c r="D470">
        <v>89.905082703000005</v>
      </c>
      <c r="E470">
        <v>60</v>
      </c>
      <c r="F470">
        <v>15.124957085</v>
      </c>
      <c r="G470">
        <v>1380.6090088000001</v>
      </c>
      <c r="H470">
        <v>1368.3443603999999</v>
      </c>
      <c r="I470">
        <v>1254.2714844</v>
      </c>
      <c r="J470">
        <v>1214.4750977000001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142.257868</v>
      </c>
      <c r="B471" s="1">
        <f>DATE(2010,9,20) + TIME(6,11,19)</f>
        <v>40441.2578587963</v>
      </c>
      <c r="C471">
        <v>90</v>
      </c>
      <c r="D471">
        <v>89.905136107999994</v>
      </c>
      <c r="E471">
        <v>60</v>
      </c>
      <c r="F471">
        <v>15.132530212000001</v>
      </c>
      <c r="G471">
        <v>1380.5842285000001</v>
      </c>
      <c r="H471">
        <v>1368.3210449000001</v>
      </c>
      <c r="I471">
        <v>1254.3027344</v>
      </c>
      <c r="J471">
        <v>1214.5041504000001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142.676807</v>
      </c>
      <c r="B472" s="1">
        <f>DATE(2010,9,20) + TIME(16,14,36)</f>
        <v>40441.676805555559</v>
      </c>
      <c r="C472">
        <v>90</v>
      </c>
      <c r="D472">
        <v>89.905181885000005</v>
      </c>
      <c r="E472">
        <v>60</v>
      </c>
      <c r="F472">
        <v>15.140317917000001</v>
      </c>
      <c r="G472">
        <v>1380.5595702999999</v>
      </c>
      <c r="H472">
        <v>1368.2978516000001</v>
      </c>
      <c r="I472">
        <v>1254.3344727000001</v>
      </c>
      <c r="J472">
        <v>1214.5336914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143.09503599999999</v>
      </c>
      <c r="B473" s="1">
        <f>DATE(2010,9,21) + TIME(2,16,51)</f>
        <v>40442.095034722224</v>
      </c>
      <c r="C473">
        <v>90</v>
      </c>
      <c r="D473">
        <v>89.905235290999997</v>
      </c>
      <c r="E473">
        <v>60</v>
      </c>
      <c r="F473">
        <v>15.148383141</v>
      </c>
      <c r="G473">
        <v>1380.5349120999999</v>
      </c>
      <c r="H473">
        <v>1368.2746582</v>
      </c>
      <c r="I473">
        <v>1254.3665771000001</v>
      </c>
      <c r="J473">
        <v>1214.5635986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143.51258300000001</v>
      </c>
      <c r="B474" s="1">
        <f>DATE(2010,9,21) + TIME(12,18,7)</f>
        <v>40442.51258101852</v>
      </c>
      <c r="C474">
        <v>90</v>
      </c>
      <c r="D474">
        <v>89.905281067000004</v>
      </c>
      <c r="E474">
        <v>60</v>
      </c>
      <c r="F474">
        <v>15.156774520999999</v>
      </c>
      <c r="G474">
        <v>1380.510376</v>
      </c>
      <c r="H474">
        <v>1368.2514647999999</v>
      </c>
      <c r="I474">
        <v>1254.3990478999999</v>
      </c>
      <c r="J474">
        <v>1214.5938721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143.929486</v>
      </c>
      <c r="B475" s="1">
        <f>DATE(2010,9,21) + TIME(22,18,27)</f>
        <v>40442.929479166669</v>
      </c>
      <c r="C475">
        <v>90</v>
      </c>
      <c r="D475">
        <v>89.905326842999997</v>
      </c>
      <c r="E475">
        <v>60</v>
      </c>
      <c r="F475">
        <v>15.165531158</v>
      </c>
      <c r="G475">
        <v>1380.4858397999999</v>
      </c>
      <c r="H475">
        <v>1368.2285156</v>
      </c>
      <c r="I475">
        <v>1254.4318848</v>
      </c>
      <c r="J475">
        <v>1214.6246338000001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144.34579199999999</v>
      </c>
      <c r="B476" s="1">
        <f>DATE(2010,9,22) + TIME(8,17,56)</f>
        <v>40443.34578703704</v>
      </c>
      <c r="C476">
        <v>90</v>
      </c>
      <c r="D476">
        <v>89.905380249000004</v>
      </c>
      <c r="E476">
        <v>60</v>
      </c>
      <c r="F476">
        <v>15.174684525</v>
      </c>
      <c r="G476">
        <v>1380.4614257999999</v>
      </c>
      <c r="H476">
        <v>1368.2054443</v>
      </c>
      <c r="I476">
        <v>1254.4652100000001</v>
      </c>
      <c r="J476">
        <v>1214.6560059000001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144.76156</v>
      </c>
      <c r="B477" s="1">
        <f>DATE(2010,9,22) + TIME(18,16,38)</f>
        <v>40443.761550925927</v>
      </c>
      <c r="C477">
        <v>90</v>
      </c>
      <c r="D477">
        <v>89.905426024999997</v>
      </c>
      <c r="E477">
        <v>60</v>
      </c>
      <c r="F477">
        <v>15.184265137000001</v>
      </c>
      <c r="G477">
        <v>1380.4371338000001</v>
      </c>
      <c r="H477">
        <v>1368.1824951000001</v>
      </c>
      <c r="I477">
        <v>1254.4987793</v>
      </c>
      <c r="J477">
        <v>1214.6877440999999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145.17685900000001</v>
      </c>
      <c r="B478" s="1">
        <f>DATE(2010,9,23) + TIME(4,14,40)</f>
        <v>40444.176851851851</v>
      </c>
      <c r="C478">
        <v>90</v>
      </c>
      <c r="D478">
        <v>89.905479431000003</v>
      </c>
      <c r="E478">
        <v>60</v>
      </c>
      <c r="F478">
        <v>15.194298743999999</v>
      </c>
      <c r="G478">
        <v>1380.4128418</v>
      </c>
      <c r="H478">
        <v>1368.159668</v>
      </c>
      <c r="I478">
        <v>1254.5328368999999</v>
      </c>
      <c r="J478">
        <v>1214.7200928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145.59176400000001</v>
      </c>
      <c r="B479" s="1">
        <f>DATE(2010,9,23) + TIME(14,12,8)</f>
        <v>40444.59175925926</v>
      </c>
      <c r="C479">
        <v>90</v>
      </c>
      <c r="D479">
        <v>89.905525208</v>
      </c>
      <c r="E479">
        <v>60</v>
      </c>
      <c r="F479">
        <v>15.204812049999999</v>
      </c>
      <c r="G479">
        <v>1380.3885498</v>
      </c>
      <c r="H479">
        <v>1368.1368408000001</v>
      </c>
      <c r="I479">
        <v>1254.5673827999999</v>
      </c>
      <c r="J479">
        <v>1214.7529297000001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146.42094700000001</v>
      </c>
      <c r="B480" s="1">
        <f>DATE(2010,9,24) + TIME(10,6,9)</f>
        <v>40445.420937499999</v>
      </c>
      <c r="C480">
        <v>90</v>
      </c>
      <c r="D480">
        <v>89.905632018999995</v>
      </c>
      <c r="E480">
        <v>60</v>
      </c>
      <c r="F480">
        <v>15.221471786</v>
      </c>
      <c r="G480">
        <v>1380.364624</v>
      </c>
      <c r="H480">
        <v>1368.1142577999999</v>
      </c>
      <c r="I480">
        <v>1254.6002197</v>
      </c>
      <c r="J480">
        <v>1214.7884521000001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147.25093899999999</v>
      </c>
      <c r="B481" s="1">
        <f>DATE(2010,9,25) + TIME(6,1,21)</f>
        <v>40446.250937500001</v>
      </c>
      <c r="C481">
        <v>90</v>
      </c>
      <c r="D481">
        <v>89.905731200999995</v>
      </c>
      <c r="E481">
        <v>60</v>
      </c>
      <c r="F481">
        <v>15.242390632999999</v>
      </c>
      <c r="G481">
        <v>1380.3166504000001</v>
      </c>
      <c r="H481">
        <v>1368.0692139</v>
      </c>
      <c r="I481">
        <v>1254.6716309000001</v>
      </c>
      <c r="J481">
        <v>1214.8555908000001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148.09015400000001</v>
      </c>
      <c r="B482" s="1">
        <f>DATE(2010,9,26) + TIME(2,9,49)</f>
        <v>40447.090150462966</v>
      </c>
      <c r="C482">
        <v>90</v>
      </c>
      <c r="D482">
        <v>89.905830382999994</v>
      </c>
      <c r="E482">
        <v>60</v>
      </c>
      <c r="F482">
        <v>15.266844749000001</v>
      </c>
      <c r="G482">
        <v>1380.2684326000001</v>
      </c>
      <c r="H482">
        <v>1368.0236815999999</v>
      </c>
      <c r="I482">
        <v>1254.7446289</v>
      </c>
      <c r="J482">
        <v>1214.9257812000001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148.515016</v>
      </c>
      <c r="B483" s="1">
        <f>DATE(2010,9,26) + TIME(12,21,37)</f>
        <v>40447.515011574076</v>
      </c>
      <c r="C483">
        <v>90</v>
      </c>
      <c r="D483">
        <v>89.905876160000005</v>
      </c>
      <c r="E483">
        <v>60</v>
      </c>
      <c r="F483">
        <v>15.285323142999999</v>
      </c>
      <c r="G483">
        <v>1380.2198486</v>
      </c>
      <c r="H483">
        <v>1367.9779053</v>
      </c>
      <c r="I483">
        <v>1254.8237305</v>
      </c>
      <c r="J483">
        <v>1214.9963379000001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149.346822</v>
      </c>
      <c r="B484" s="1">
        <f>DATE(2010,9,27) + TIME(8,19,25)</f>
        <v>40448.346817129626</v>
      </c>
      <c r="C484">
        <v>90</v>
      </c>
      <c r="D484">
        <v>89.905982971</v>
      </c>
      <c r="E484">
        <v>60</v>
      </c>
      <c r="F484">
        <v>15.312192917000001</v>
      </c>
      <c r="G484">
        <v>1380.1948242000001</v>
      </c>
      <c r="H484">
        <v>1367.9542236</v>
      </c>
      <c r="I484">
        <v>1254.8587646000001</v>
      </c>
      <c r="J484">
        <v>1215.0397949000001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149.76891599999999</v>
      </c>
      <c r="B485" s="1">
        <f>DATE(2010,9,27) + TIME(18,27,14)</f>
        <v>40448.768912037034</v>
      </c>
      <c r="C485">
        <v>90</v>
      </c>
      <c r="D485">
        <v>89.906021117999998</v>
      </c>
      <c r="E485">
        <v>60</v>
      </c>
      <c r="F485">
        <v>15.332921982</v>
      </c>
      <c r="G485">
        <v>1380.1470947</v>
      </c>
      <c r="H485">
        <v>1367.9091797000001</v>
      </c>
      <c r="I485">
        <v>1254.940918</v>
      </c>
      <c r="J485">
        <v>1215.1134033000001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150.58929699999999</v>
      </c>
      <c r="B486" s="1">
        <f>DATE(2010,9,28) + TIME(14,8,35)</f>
        <v>40449.58929398148</v>
      </c>
      <c r="C486">
        <v>90</v>
      </c>
      <c r="D486">
        <v>89.906127929999997</v>
      </c>
      <c r="E486">
        <v>60</v>
      </c>
      <c r="F486">
        <v>15.363139153000001</v>
      </c>
      <c r="G486">
        <v>1380.1221923999999</v>
      </c>
      <c r="H486">
        <v>1367.8857422000001</v>
      </c>
      <c r="I486">
        <v>1254.9769286999999</v>
      </c>
      <c r="J486">
        <v>1215.1593018000001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151.42709099999999</v>
      </c>
      <c r="B487" s="1">
        <f>DATE(2010,9,29) + TIME(10,15,0)</f>
        <v>40450.427083333336</v>
      </c>
      <c r="C487">
        <v>90</v>
      </c>
      <c r="D487">
        <v>89.906227111999996</v>
      </c>
      <c r="E487">
        <v>60</v>
      </c>
      <c r="F487">
        <v>15.398456573000001</v>
      </c>
      <c r="G487">
        <v>1380.0750731999999</v>
      </c>
      <c r="H487">
        <v>1367.8413086</v>
      </c>
      <c r="I487">
        <v>1255.0571289</v>
      </c>
      <c r="J487">
        <v>1215.2406006000001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152.265287</v>
      </c>
      <c r="B488" s="1">
        <f>DATE(2010,9,30) + TIME(6,22,0)</f>
        <v>40451.265277777777</v>
      </c>
      <c r="C488">
        <v>90</v>
      </c>
      <c r="D488">
        <v>89.906326293999996</v>
      </c>
      <c r="E488">
        <v>60</v>
      </c>
      <c r="F488">
        <v>15.438322067</v>
      </c>
      <c r="G488">
        <v>1380.0267334</v>
      </c>
      <c r="H488">
        <v>1367.7956543</v>
      </c>
      <c r="I488">
        <v>1255.1412353999999</v>
      </c>
      <c r="J488">
        <v>1215.3273925999999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153</v>
      </c>
      <c r="B489" s="1">
        <f>DATE(2010,10,1) + TIME(0,0,0)</f>
        <v>40452</v>
      </c>
      <c r="C489">
        <v>90</v>
      </c>
      <c r="D489">
        <v>89.906410217000001</v>
      </c>
      <c r="E489">
        <v>60</v>
      </c>
      <c r="F489">
        <v>15.479599952999999</v>
      </c>
      <c r="G489">
        <v>1379.9783935999999</v>
      </c>
      <c r="H489">
        <v>1367.75</v>
      </c>
      <c r="I489">
        <v>1255.2285156</v>
      </c>
      <c r="J489">
        <v>1215.4169922000001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153.420209</v>
      </c>
      <c r="B490" s="1">
        <f>DATE(2010,10,1) + TIME(10,5,6)</f>
        <v>40452.420208333337</v>
      </c>
      <c r="C490">
        <v>90</v>
      </c>
      <c r="D490">
        <v>89.906448363999999</v>
      </c>
      <c r="E490">
        <v>60</v>
      </c>
      <c r="F490">
        <v>15.510760307</v>
      </c>
      <c r="G490">
        <v>1379.9360352000001</v>
      </c>
      <c r="H490">
        <v>1367.7098389</v>
      </c>
      <c r="I490">
        <v>1255.3107910000001</v>
      </c>
      <c r="J490">
        <v>1215.4960937999999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153.840419</v>
      </c>
      <c r="B491" s="1">
        <f>DATE(2010,10,1) + TIME(20,10,12)</f>
        <v>40452.840416666666</v>
      </c>
      <c r="C491">
        <v>90</v>
      </c>
      <c r="D491">
        <v>89.906501770000006</v>
      </c>
      <c r="E491">
        <v>60</v>
      </c>
      <c r="F491">
        <v>15.541141509999999</v>
      </c>
      <c r="G491">
        <v>1379.9112548999999</v>
      </c>
      <c r="H491">
        <v>1367.6864014</v>
      </c>
      <c r="I491">
        <v>1255.3548584</v>
      </c>
      <c r="J491">
        <v>1215.5472411999999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154.260628</v>
      </c>
      <c r="B492" s="1">
        <f>DATE(2010,10,2) + TIME(6,15,18)</f>
        <v>40453.260625000003</v>
      </c>
      <c r="C492">
        <v>90</v>
      </c>
      <c r="D492">
        <v>89.906547545999999</v>
      </c>
      <c r="E492">
        <v>60</v>
      </c>
      <c r="F492">
        <v>15.571423531000001</v>
      </c>
      <c r="G492">
        <v>1379.8869629000001</v>
      </c>
      <c r="H492">
        <v>1367.6634521000001</v>
      </c>
      <c r="I492">
        <v>1255.3997803</v>
      </c>
      <c r="J492">
        <v>1215.5988769999999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154.68083799999999</v>
      </c>
      <c r="B493" s="1">
        <f>DATE(2010,10,2) + TIME(16,20,24)</f>
        <v>40453.680833333332</v>
      </c>
      <c r="C493">
        <v>90</v>
      </c>
      <c r="D493">
        <v>89.906593322999996</v>
      </c>
      <c r="E493">
        <v>60</v>
      </c>
      <c r="F493">
        <v>15.602075577000001</v>
      </c>
      <c r="G493">
        <v>1379.862793</v>
      </c>
      <c r="H493">
        <v>1367.6405029</v>
      </c>
      <c r="I493">
        <v>1255.4456786999999</v>
      </c>
      <c r="J493">
        <v>1215.6512451000001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155.10104699999999</v>
      </c>
      <c r="B494" s="1">
        <f>DATE(2010,10,3) + TIME(2,25,30)</f>
        <v>40454.101041666669</v>
      </c>
      <c r="C494">
        <v>90</v>
      </c>
      <c r="D494">
        <v>89.906646729000002</v>
      </c>
      <c r="E494">
        <v>60</v>
      </c>
      <c r="F494">
        <v>15.633430481</v>
      </c>
      <c r="G494">
        <v>1379.838501</v>
      </c>
      <c r="H494">
        <v>1367.6175536999999</v>
      </c>
      <c r="I494">
        <v>1255.4923096</v>
      </c>
      <c r="J494">
        <v>1215.7045897999999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155.52125599999999</v>
      </c>
      <c r="B495" s="1">
        <f>DATE(2010,10,3) + TIME(12,30,36)</f>
        <v>40454.521249999998</v>
      </c>
      <c r="C495">
        <v>90</v>
      </c>
      <c r="D495">
        <v>89.906692504999995</v>
      </c>
      <c r="E495">
        <v>60</v>
      </c>
      <c r="F495">
        <v>15.665725708</v>
      </c>
      <c r="G495">
        <v>1379.8143310999999</v>
      </c>
      <c r="H495">
        <v>1367.5946045000001</v>
      </c>
      <c r="I495">
        <v>1255.5397949000001</v>
      </c>
      <c r="J495">
        <v>1215.7590332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155.94146599999999</v>
      </c>
      <c r="B496" s="1">
        <f>DATE(2010,10,3) + TIME(22,35,42)</f>
        <v>40454.941458333335</v>
      </c>
      <c r="C496">
        <v>90</v>
      </c>
      <c r="D496">
        <v>89.906745911000002</v>
      </c>
      <c r="E496">
        <v>60</v>
      </c>
      <c r="F496">
        <v>15.699139595</v>
      </c>
      <c r="G496">
        <v>1379.7900391000001</v>
      </c>
      <c r="H496">
        <v>1367.5716553</v>
      </c>
      <c r="I496">
        <v>1255.5878906</v>
      </c>
      <c r="J496">
        <v>1215.8146973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156.36167499999999</v>
      </c>
      <c r="B497" s="1">
        <f>DATE(2010,10,4) + TIME(8,40,48)</f>
        <v>40455.361666666664</v>
      </c>
      <c r="C497">
        <v>90</v>
      </c>
      <c r="D497">
        <v>89.906791686999995</v>
      </c>
      <c r="E497">
        <v>60</v>
      </c>
      <c r="F497">
        <v>15.733804703000001</v>
      </c>
      <c r="G497">
        <v>1379.7658690999999</v>
      </c>
      <c r="H497">
        <v>1367.5487060999999</v>
      </c>
      <c r="I497">
        <v>1255.6367187999999</v>
      </c>
      <c r="J497">
        <v>1215.8714600000001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156.78188399999999</v>
      </c>
      <c r="B498" s="1">
        <f>DATE(2010,10,4) + TIME(18,45,54)</f>
        <v>40455.781875000001</v>
      </c>
      <c r="C498">
        <v>90</v>
      </c>
      <c r="D498">
        <v>89.906837463000002</v>
      </c>
      <c r="E498">
        <v>60</v>
      </c>
      <c r="F498">
        <v>15.76982975</v>
      </c>
      <c r="G498">
        <v>1379.7416992000001</v>
      </c>
      <c r="H498">
        <v>1367.5258789</v>
      </c>
      <c r="I498">
        <v>1255.6862793</v>
      </c>
      <c r="J498">
        <v>1215.9295654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157.20209399999999</v>
      </c>
      <c r="B499" s="1">
        <f>DATE(2010,10,5) + TIME(4,51,0)</f>
        <v>40456.20208333333</v>
      </c>
      <c r="C499">
        <v>90</v>
      </c>
      <c r="D499">
        <v>89.906890868999994</v>
      </c>
      <c r="E499">
        <v>60</v>
      </c>
      <c r="F499">
        <v>15.807301520999999</v>
      </c>
      <c r="G499">
        <v>1379.7174072</v>
      </c>
      <c r="H499">
        <v>1367.5029297000001</v>
      </c>
      <c r="I499">
        <v>1255.7363281</v>
      </c>
      <c r="J499">
        <v>1215.9890137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157.621883</v>
      </c>
      <c r="B500" s="1">
        <f>DATE(2010,10,5) + TIME(14,55,30)</f>
        <v>40456.621874999997</v>
      </c>
      <c r="C500">
        <v>90</v>
      </c>
      <c r="D500">
        <v>89.906936646000005</v>
      </c>
      <c r="E500">
        <v>60</v>
      </c>
      <c r="F500">
        <v>15.846270561000001</v>
      </c>
      <c r="G500">
        <v>1379.6932373</v>
      </c>
      <c r="H500">
        <v>1367.4799805</v>
      </c>
      <c r="I500">
        <v>1255.7871094</v>
      </c>
      <c r="J500">
        <v>1216.0498047000001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158.04098400000001</v>
      </c>
      <c r="B501" s="1">
        <f>DATE(2010,10,6) + TIME(0,59,1)</f>
        <v>40457.040983796294</v>
      </c>
      <c r="C501">
        <v>90</v>
      </c>
      <c r="D501">
        <v>89.906990050999994</v>
      </c>
      <c r="E501">
        <v>60</v>
      </c>
      <c r="F501">
        <v>15.886777878</v>
      </c>
      <c r="G501">
        <v>1379.6690673999999</v>
      </c>
      <c r="H501">
        <v>1367.4570312000001</v>
      </c>
      <c r="I501">
        <v>1255.8383789</v>
      </c>
      <c r="J501">
        <v>1216.1119385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158.459495</v>
      </c>
      <c r="B502" s="1">
        <f>DATE(2010,10,6) + TIME(11,1,40)</f>
        <v>40457.459490740737</v>
      </c>
      <c r="C502">
        <v>90</v>
      </c>
      <c r="D502">
        <v>89.907035828000005</v>
      </c>
      <c r="E502">
        <v>60</v>
      </c>
      <c r="F502">
        <v>15.928880692</v>
      </c>
      <c r="G502">
        <v>1379.6448975000001</v>
      </c>
      <c r="H502">
        <v>1367.434082</v>
      </c>
      <c r="I502">
        <v>1255.8901367000001</v>
      </c>
      <c r="J502">
        <v>1216.1754149999999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158.877498</v>
      </c>
      <c r="B503" s="1">
        <f>DATE(2010,10,6) + TIME(21,3,35)</f>
        <v>40457.877488425926</v>
      </c>
      <c r="C503">
        <v>90</v>
      </c>
      <c r="D503">
        <v>89.907081603999998</v>
      </c>
      <c r="E503">
        <v>60</v>
      </c>
      <c r="F503">
        <v>15.972631454</v>
      </c>
      <c r="G503">
        <v>1379.6208495999999</v>
      </c>
      <c r="H503">
        <v>1367.4112548999999</v>
      </c>
      <c r="I503">
        <v>1255.9425048999999</v>
      </c>
      <c r="J503">
        <v>1216.2402344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159.29508899999999</v>
      </c>
      <c r="B504" s="1">
        <f>DATE(2010,10,7) + TIME(7,4,55)</f>
        <v>40458.295081018521</v>
      </c>
      <c r="C504">
        <v>90</v>
      </c>
      <c r="D504">
        <v>89.907135010000005</v>
      </c>
      <c r="E504">
        <v>60</v>
      </c>
      <c r="F504">
        <v>16.018083571999998</v>
      </c>
      <c r="G504">
        <v>1379.5968018000001</v>
      </c>
      <c r="H504">
        <v>1367.3884277</v>
      </c>
      <c r="I504">
        <v>1255.9952393000001</v>
      </c>
      <c r="J504">
        <v>1216.3065185999999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159.71237199999999</v>
      </c>
      <c r="B505" s="1">
        <f>DATE(2010,10,7) + TIME(17,5,48)</f>
        <v>40458.712361111109</v>
      </c>
      <c r="C505">
        <v>90</v>
      </c>
      <c r="D505">
        <v>89.907180785999998</v>
      </c>
      <c r="E505">
        <v>60</v>
      </c>
      <c r="F505">
        <v>16.065290450999999</v>
      </c>
      <c r="G505">
        <v>1379.5726318</v>
      </c>
      <c r="H505">
        <v>1367.3654785000001</v>
      </c>
      <c r="I505">
        <v>1256.0485839999999</v>
      </c>
      <c r="J505">
        <v>1216.3742675999999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160.12945999999999</v>
      </c>
      <c r="B506" s="1">
        <f>DATE(2010,10,8) + TIME(3,6,25)</f>
        <v>40459.12945601852</v>
      </c>
      <c r="C506">
        <v>90</v>
      </c>
      <c r="D506">
        <v>89.907234192000004</v>
      </c>
      <c r="E506">
        <v>60</v>
      </c>
      <c r="F506">
        <v>16.114309311</v>
      </c>
      <c r="G506">
        <v>1379.5487060999999</v>
      </c>
      <c r="H506">
        <v>1367.3427733999999</v>
      </c>
      <c r="I506">
        <v>1256.1025391000001</v>
      </c>
      <c r="J506">
        <v>1216.4436035000001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160.54647399999999</v>
      </c>
      <c r="B507" s="1">
        <f>DATE(2010,10,8) + TIME(13,6,55)</f>
        <v>40459.546469907407</v>
      </c>
      <c r="C507">
        <v>90</v>
      </c>
      <c r="D507">
        <v>89.907279967999997</v>
      </c>
      <c r="E507">
        <v>60</v>
      </c>
      <c r="F507">
        <v>16.165201187000001</v>
      </c>
      <c r="G507">
        <v>1379.5246582</v>
      </c>
      <c r="H507">
        <v>1367.3199463000001</v>
      </c>
      <c r="I507">
        <v>1256.1569824000001</v>
      </c>
      <c r="J507">
        <v>1216.5144043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160.96348599999999</v>
      </c>
      <c r="B508" s="1">
        <f>DATE(2010,10,8) + TIME(23,7,25)</f>
        <v>40459.963483796295</v>
      </c>
      <c r="C508">
        <v>90</v>
      </c>
      <c r="D508">
        <v>89.907325744999994</v>
      </c>
      <c r="E508">
        <v>60</v>
      </c>
      <c r="F508">
        <v>16.218019484999999</v>
      </c>
      <c r="G508">
        <v>1379.5006103999999</v>
      </c>
      <c r="H508">
        <v>1367.2971190999999</v>
      </c>
      <c r="I508">
        <v>1256.2119141000001</v>
      </c>
      <c r="J508">
        <v>1216.5869141000001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161.38049799999999</v>
      </c>
      <c r="B509" s="1">
        <f>DATE(2010,10,9) + TIME(9,7,55)</f>
        <v>40460.380497685182</v>
      </c>
      <c r="C509">
        <v>90</v>
      </c>
      <c r="D509">
        <v>89.907379149999997</v>
      </c>
      <c r="E509">
        <v>60</v>
      </c>
      <c r="F509">
        <v>16.272817612000001</v>
      </c>
      <c r="G509">
        <v>1379.4765625</v>
      </c>
      <c r="H509">
        <v>1367.2742920000001</v>
      </c>
      <c r="I509">
        <v>1256.2674560999999</v>
      </c>
      <c r="J509">
        <v>1216.6610106999999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161.79751099999999</v>
      </c>
      <c r="B510" s="1">
        <f>DATE(2010,10,9) + TIME(19,8,24)</f>
        <v>40460.797500000001</v>
      </c>
      <c r="C510">
        <v>90</v>
      </c>
      <c r="D510">
        <v>89.907424926999994</v>
      </c>
      <c r="E510">
        <v>60</v>
      </c>
      <c r="F510">
        <v>16.329639435000001</v>
      </c>
      <c r="G510">
        <v>1379.4525146000001</v>
      </c>
      <c r="H510">
        <v>1367.2514647999999</v>
      </c>
      <c r="I510">
        <v>1256.3234863</v>
      </c>
      <c r="J510">
        <v>1216.7369385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162.21452300000001</v>
      </c>
      <c r="B511" s="1">
        <f>DATE(2010,10,10) + TIME(5,8,54)</f>
        <v>40461.214513888888</v>
      </c>
      <c r="C511">
        <v>90</v>
      </c>
      <c r="D511">
        <v>89.907470703000001</v>
      </c>
      <c r="E511">
        <v>60</v>
      </c>
      <c r="F511">
        <v>16.388532639000001</v>
      </c>
      <c r="G511">
        <v>1379.4285889</v>
      </c>
      <c r="H511">
        <v>1367.2285156</v>
      </c>
      <c r="I511">
        <v>1256.3801269999999</v>
      </c>
      <c r="J511">
        <v>1216.8144531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162.63153500000001</v>
      </c>
      <c r="B512" s="1">
        <f>DATE(2010,10,10) + TIME(15,9,24)</f>
        <v>40461.631527777776</v>
      </c>
      <c r="C512">
        <v>90</v>
      </c>
      <c r="D512">
        <v>89.907524108999993</v>
      </c>
      <c r="E512">
        <v>60</v>
      </c>
      <c r="F512">
        <v>16.449541092</v>
      </c>
      <c r="G512">
        <v>1379.4045410000001</v>
      </c>
      <c r="H512">
        <v>1367.2056885</v>
      </c>
      <c r="I512">
        <v>1256.4372559000001</v>
      </c>
      <c r="J512">
        <v>1216.8937988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163.46556000000001</v>
      </c>
      <c r="B513" s="1">
        <f>DATE(2010,10,11) + TIME(11,10,24)</f>
        <v>40462.465555555558</v>
      </c>
      <c r="C513">
        <v>90</v>
      </c>
      <c r="D513">
        <v>89.907623290999993</v>
      </c>
      <c r="E513">
        <v>60</v>
      </c>
      <c r="F513">
        <v>16.544481276999999</v>
      </c>
      <c r="G513">
        <v>1379.3806152</v>
      </c>
      <c r="H513">
        <v>1367.1829834</v>
      </c>
      <c r="I513">
        <v>1256.4825439000001</v>
      </c>
      <c r="J513">
        <v>1216.9864502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164.30224899999999</v>
      </c>
      <c r="B514" s="1">
        <f>DATE(2010,10,12) + TIME(7,15,14)</f>
        <v>40463.302245370367</v>
      </c>
      <c r="C514">
        <v>90</v>
      </c>
      <c r="D514">
        <v>89.907722473000007</v>
      </c>
      <c r="E514">
        <v>60</v>
      </c>
      <c r="F514">
        <v>16.661920547000001</v>
      </c>
      <c r="G514">
        <v>1379.3331298999999</v>
      </c>
      <c r="H514">
        <v>1367.1378173999999</v>
      </c>
      <c r="I514">
        <v>1256.6035156</v>
      </c>
      <c r="J514">
        <v>1217.1468506000001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165.15797900000001</v>
      </c>
      <c r="B515" s="1">
        <f>DATE(2010,10,13) + TIME(3,47,29)</f>
        <v>40464.15797453704</v>
      </c>
      <c r="C515">
        <v>90</v>
      </c>
      <c r="D515">
        <v>89.907821655000006</v>
      </c>
      <c r="E515">
        <v>60</v>
      </c>
      <c r="F515">
        <v>16.796915053999999</v>
      </c>
      <c r="G515">
        <v>1379.2849120999999</v>
      </c>
      <c r="H515">
        <v>1367.0920410000001</v>
      </c>
      <c r="I515">
        <v>1256.723999</v>
      </c>
      <c r="J515">
        <v>1217.3183594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165.589822</v>
      </c>
      <c r="B516" s="1">
        <f>DATE(2010,10,13) + TIME(14,9,20)</f>
        <v>40464.589814814812</v>
      </c>
      <c r="C516">
        <v>90</v>
      </c>
      <c r="D516">
        <v>89.907867432000003</v>
      </c>
      <c r="E516">
        <v>60</v>
      </c>
      <c r="F516">
        <v>16.897230147999998</v>
      </c>
      <c r="G516">
        <v>1379.2359618999999</v>
      </c>
      <c r="H516">
        <v>1367.0454102000001</v>
      </c>
      <c r="I516">
        <v>1256.8679199000001</v>
      </c>
      <c r="J516">
        <v>1217.4844971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166.445143</v>
      </c>
      <c r="B517" s="1">
        <f>DATE(2010,10,14) + TIME(10,41,0)</f>
        <v>40465.445138888892</v>
      </c>
      <c r="C517">
        <v>90</v>
      </c>
      <c r="D517">
        <v>89.907966614000003</v>
      </c>
      <c r="E517">
        <v>60</v>
      </c>
      <c r="F517">
        <v>17.039564132999999</v>
      </c>
      <c r="G517">
        <v>1379.2104492000001</v>
      </c>
      <c r="H517">
        <v>1367.0209961</v>
      </c>
      <c r="I517">
        <v>1256.9079589999999</v>
      </c>
      <c r="J517">
        <v>1217.6044922000001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167.301072</v>
      </c>
      <c r="B518" s="1">
        <f>DATE(2010,10,15) + TIME(7,13,32)</f>
        <v>40466.301064814812</v>
      </c>
      <c r="C518">
        <v>90</v>
      </c>
      <c r="D518">
        <v>89.908065796000002</v>
      </c>
      <c r="E518">
        <v>60</v>
      </c>
      <c r="F518">
        <v>17.200103760000001</v>
      </c>
      <c r="G518">
        <v>1379.1616211</v>
      </c>
      <c r="H518">
        <v>1366.9746094</v>
      </c>
      <c r="I518">
        <v>1257.036499</v>
      </c>
      <c r="J518">
        <v>1217.7988281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168.157239</v>
      </c>
      <c r="B519" s="1">
        <f>DATE(2010,10,16) + TIME(3,46,25)</f>
        <v>40467.157233796293</v>
      </c>
      <c r="C519">
        <v>90</v>
      </c>
      <c r="D519">
        <v>89.908164978000002</v>
      </c>
      <c r="E519">
        <v>60</v>
      </c>
      <c r="F519">
        <v>17.374988556000002</v>
      </c>
      <c r="G519">
        <v>1379.1124268000001</v>
      </c>
      <c r="H519">
        <v>1366.9276123</v>
      </c>
      <c r="I519">
        <v>1257.1656493999999</v>
      </c>
      <c r="J519">
        <v>1218.0032959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169.014059</v>
      </c>
      <c r="B520" s="1">
        <f>DATE(2010,10,17) + TIME(0,20,14)</f>
        <v>40468.014050925929</v>
      </c>
      <c r="C520">
        <v>90</v>
      </c>
      <c r="D520">
        <v>89.908264160000002</v>
      </c>
      <c r="E520">
        <v>60</v>
      </c>
      <c r="F520">
        <v>17.562343597000002</v>
      </c>
      <c r="G520">
        <v>1379.0632324000001</v>
      </c>
      <c r="H520">
        <v>1366.8807373</v>
      </c>
      <c r="I520">
        <v>1257.2956543</v>
      </c>
      <c r="J520">
        <v>1218.2170410000001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169.87265500000001</v>
      </c>
      <c r="B521" s="1">
        <f>DATE(2010,10,17) + TIME(20,56,37)</f>
        <v>40468.872650462959</v>
      </c>
      <c r="C521">
        <v>90</v>
      </c>
      <c r="D521">
        <v>89.908363342000001</v>
      </c>
      <c r="E521">
        <v>60</v>
      </c>
      <c r="F521">
        <v>17.761369705</v>
      </c>
      <c r="G521">
        <v>1379.0140381000001</v>
      </c>
      <c r="H521">
        <v>1366.8337402</v>
      </c>
      <c r="I521">
        <v>1257.4270019999999</v>
      </c>
      <c r="J521">
        <v>1218.4395752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170.73446000000001</v>
      </c>
      <c r="B522" s="1">
        <f>DATE(2010,10,18) + TIME(17,37,37)</f>
        <v>40469.734456018516</v>
      </c>
      <c r="C522">
        <v>90</v>
      </c>
      <c r="D522">
        <v>89.908462524000001</v>
      </c>
      <c r="E522">
        <v>60</v>
      </c>
      <c r="F522">
        <v>17.971817016999999</v>
      </c>
      <c r="G522">
        <v>1378.9647216999999</v>
      </c>
      <c r="H522">
        <v>1366.7867432</v>
      </c>
      <c r="I522">
        <v>1257.5598144999999</v>
      </c>
      <c r="J522">
        <v>1218.6710204999999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171.60144399999999</v>
      </c>
      <c r="B523" s="1">
        <f>DATE(2010,10,19) + TIME(14,26,4)</f>
        <v>40470.601435185185</v>
      </c>
      <c r="C523">
        <v>90</v>
      </c>
      <c r="D523">
        <v>89.908561707000004</v>
      </c>
      <c r="E523">
        <v>60</v>
      </c>
      <c r="F523">
        <v>18.193773270000001</v>
      </c>
      <c r="G523">
        <v>1378.9152832</v>
      </c>
      <c r="H523">
        <v>1366.7395019999999</v>
      </c>
      <c r="I523">
        <v>1257.6944579999999</v>
      </c>
      <c r="J523">
        <v>1218.9117432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172.475717</v>
      </c>
      <c r="B524" s="1">
        <f>DATE(2010,10,20) + TIME(11,25,1)</f>
        <v>40471.475706018522</v>
      </c>
      <c r="C524">
        <v>90</v>
      </c>
      <c r="D524">
        <v>89.908660889000004</v>
      </c>
      <c r="E524">
        <v>60</v>
      </c>
      <c r="F524">
        <v>18.427509308000001</v>
      </c>
      <c r="G524">
        <v>1378.8657227000001</v>
      </c>
      <c r="H524">
        <v>1366.6921387</v>
      </c>
      <c r="I524">
        <v>1257.8312988</v>
      </c>
      <c r="J524">
        <v>1219.1622314000001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173.359397</v>
      </c>
      <c r="B525" s="1">
        <f>DATE(2010,10,21) + TIME(8,37,31)</f>
        <v>40472.359386574077</v>
      </c>
      <c r="C525">
        <v>90</v>
      </c>
      <c r="D525">
        <v>89.908760071000003</v>
      </c>
      <c r="E525">
        <v>60</v>
      </c>
      <c r="F525">
        <v>18.673395157000002</v>
      </c>
      <c r="G525">
        <v>1378.8156738</v>
      </c>
      <c r="H525">
        <v>1366.6442870999999</v>
      </c>
      <c r="I525">
        <v>1257.9705810999999</v>
      </c>
      <c r="J525">
        <v>1219.4229736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174.25542999999999</v>
      </c>
      <c r="B526" s="1">
        <f>DATE(2010,10,22) + TIME(6,7,49)</f>
        <v>40473.255428240744</v>
      </c>
      <c r="C526">
        <v>90</v>
      </c>
      <c r="D526">
        <v>89.908866881999998</v>
      </c>
      <c r="E526">
        <v>60</v>
      </c>
      <c r="F526">
        <v>18.931951522999999</v>
      </c>
      <c r="G526">
        <v>1378.7652588000001</v>
      </c>
      <c r="H526">
        <v>1366.5960693</v>
      </c>
      <c r="I526">
        <v>1258.1125488</v>
      </c>
      <c r="J526">
        <v>1219.6948242000001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175.15632400000001</v>
      </c>
      <c r="B527" s="1">
        <f>DATE(2010,10,23) + TIME(3,45,6)</f>
        <v>40474.156319444446</v>
      </c>
      <c r="C527">
        <v>90</v>
      </c>
      <c r="D527">
        <v>89.908966063999998</v>
      </c>
      <c r="E527">
        <v>60</v>
      </c>
      <c r="F527">
        <v>19.202249526999999</v>
      </c>
      <c r="G527">
        <v>1378.7142334</v>
      </c>
      <c r="H527">
        <v>1366.5472411999999</v>
      </c>
      <c r="I527">
        <v>1258.2585449000001</v>
      </c>
      <c r="J527">
        <v>1219.9779053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176.065279</v>
      </c>
      <c r="B528" s="1">
        <f>DATE(2010,10,24) + TIME(1,34,0)</f>
        <v>40475.06527777778</v>
      </c>
      <c r="C528">
        <v>90</v>
      </c>
      <c r="D528">
        <v>89.909065247000001</v>
      </c>
      <c r="E528">
        <v>60</v>
      </c>
      <c r="F528">
        <v>19.484018326000001</v>
      </c>
      <c r="G528">
        <v>1378.6629639</v>
      </c>
      <c r="H528">
        <v>1366.4982910000001</v>
      </c>
      <c r="I528">
        <v>1258.4063721</v>
      </c>
      <c r="J528">
        <v>1220.2707519999999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176.98624799999999</v>
      </c>
      <c r="B529" s="1">
        <f>DATE(2010,10,24) + TIME(23,40,11)</f>
        <v>40475.986238425925</v>
      </c>
      <c r="C529">
        <v>90</v>
      </c>
      <c r="D529">
        <v>89.909172057999996</v>
      </c>
      <c r="E529">
        <v>60</v>
      </c>
      <c r="F529">
        <v>19.777513504000002</v>
      </c>
      <c r="G529">
        <v>1378.6114502</v>
      </c>
      <c r="H529">
        <v>1366.4489745999999</v>
      </c>
      <c r="I529">
        <v>1258.5567627</v>
      </c>
      <c r="J529">
        <v>1220.5742187999999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177.921414</v>
      </c>
      <c r="B530" s="1">
        <f>DATE(2010,10,25) + TIME(22,6,50)</f>
        <v>40476.921412037038</v>
      </c>
      <c r="C530">
        <v>90</v>
      </c>
      <c r="D530">
        <v>89.909278869999994</v>
      </c>
      <c r="E530">
        <v>60</v>
      </c>
      <c r="F530">
        <v>20.083150864</v>
      </c>
      <c r="G530">
        <v>1378.5594481999999</v>
      </c>
      <c r="H530">
        <v>1366.3991699000001</v>
      </c>
      <c r="I530">
        <v>1258.7104492000001</v>
      </c>
      <c r="J530">
        <v>1220.8892822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178.87286</v>
      </c>
      <c r="B531" s="1">
        <f>DATE(2010,10,26) + TIME(20,56,55)</f>
        <v>40477.872858796298</v>
      </c>
      <c r="C531">
        <v>90</v>
      </c>
      <c r="D531">
        <v>89.909385681000003</v>
      </c>
      <c r="E531">
        <v>60</v>
      </c>
      <c r="F531">
        <v>20.401432036999999</v>
      </c>
      <c r="G531">
        <v>1378.5068358999999</v>
      </c>
      <c r="H531">
        <v>1366.3488769999999</v>
      </c>
      <c r="I531">
        <v>1258.8680420000001</v>
      </c>
      <c r="J531">
        <v>1221.2163086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179.84011699999999</v>
      </c>
      <c r="B532" s="1">
        <f>DATE(2010,10,27) + TIME(20,9,46)</f>
        <v>40478.840115740742</v>
      </c>
      <c r="C532">
        <v>90</v>
      </c>
      <c r="D532">
        <v>89.909492493000002</v>
      </c>
      <c r="E532">
        <v>60</v>
      </c>
      <c r="F532">
        <v>20.731912612999999</v>
      </c>
      <c r="G532">
        <v>1378.4534911999999</v>
      </c>
      <c r="H532">
        <v>1366.2977295000001</v>
      </c>
      <c r="I532">
        <v>1259.0301514</v>
      </c>
      <c r="J532">
        <v>1221.5559082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180.82197500000001</v>
      </c>
      <c r="B533" s="1">
        <f>DATE(2010,10,28) + TIME(19,43,38)</f>
        <v>40479.821967592594</v>
      </c>
      <c r="C533">
        <v>90</v>
      </c>
      <c r="D533">
        <v>89.909606933999996</v>
      </c>
      <c r="E533">
        <v>60</v>
      </c>
      <c r="F533">
        <v>21.073944092000001</v>
      </c>
      <c r="G533">
        <v>1378.3995361</v>
      </c>
      <c r="H533">
        <v>1366.2460937999999</v>
      </c>
      <c r="I533">
        <v>1259.1967772999999</v>
      </c>
      <c r="J533">
        <v>1221.9077147999999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181.82057800000001</v>
      </c>
      <c r="B534" s="1">
        <f>DATE(2010,10,29) + TIME(19,41,37)</f>
        <v>40480.820567129631</v>
      </c>
      <c r="C534">
        <v>90</v>
      </c>
      <c r="D534">
        <v>89.909721375000004</v>
      </c>
      <c r="E534">
        <v>60</v>
      </c>
      <c r="F534">
        <v>21.427125930999999</v>
      </c>
      <c r="G534">
        <v>1378.3449707</v>
      </c>
      <c r="H534">
        <v>1366.1938477000001</v>
      </c>
      <c r="I534">
        <v>1259.3676757999999</v>
      </c>
      <c r="J534">
        <v>1222.2712402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182.83388199999999</v>
      </c>
      <c r="B535" s="1">
        <f>DATE(2010,10,30) + TIME(20,0,47)</f>
        <v>40481.833877314813</v>
      </c>
      <c r="C535">
        <v>90</v>
      </c>
      <c r="D535">
        <v>89.909828185999999</v>
      </c>
      <c r="E535">
        <v>60</v>
      </c>
      <c r="F535">
        <v>21.790634154999999</v>
      </c>
      <c r="G535">
        <v>1378.2897949000001</v>
      </c>
      <c r="H535">
        <v>1366.1411132999999</v>
      </c>
      <c r="I535">
        <v>1259.5435791</v>
      </c>
      <c r="J535">
        <v>1222.6466064000001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183.86039400000001</v>
      </c>
      <c r="B536" s="1">
        <f>DATE(2010,10,31) + TIME(20,38,58)</f>
        <v>40482.860393518517</v>
      </c>
      <c r="C536">
        <v>90</v>
      </c>
      <c r="D536">
        <v>89.909942627000007</v>
      </c>
      <c r="E536">
        <v>60</v>
      </c>
      <c r="F536">
        <v>22.163370132000001</v>
      </c>
      <c r="G536">
        <v>1378.2342529</v>
      </c>
      <c r="H536">
        <v>1366.0878906</v>
      </c>
      <c r="I536">
        <v>1259.7241211</v>
      </c>
      <c r="J536">
        <v>1223.0329589999999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184</v>
      </c>
      <c r="B537" s="1">
        <f>DATE(2010,11,1) + TIME(0,0,0)</f>
        <v>40483</v>
      </c>
      <c r="C537">
        <v>90</v>
      </c>
      <c r="D537">
        <v>89.909950256000002</v>
      </c>
      <c r="E537">
        <v>60</v>
      </c>
      <c r="F537">
        <v>22.264627457</v>
      </c>
      <c r="G537">
        <v>1378.1828613</v>
      </c>
      <c r="H537">
        <v>1366.0388184000001</v>
      </c>
      <c r="I537">
        <v>1259.9818115</v>
      </c>
      <c r="J537">
        <v>1223.3062743999999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184.000001</v>
      </c>
      <c r="B538" s="1">
        <f>DATE(2010,11,1) + TIME(0,0,0)</f>
        <v>40483</v>
      </c>
      <c r="C538">
        <v>90</v>
      </c>
      <c r="D538">
        <v>89.909828185999999</v>
      </c>
      <c r="E538">
        <v>60</v>
      </c>
      <c r="F538">
        <v>22.264781952</v>
      </c>
      <c r="G538">
        <v>1365.1683350000001</v>
      </c>
      <c r="H538">
        <v>1354.6992187999999</v>
      </c>
      <c r="I538">
        <v>1297.4821777</v>
      </c>
      <c r="J538">
        <v>1260.9582519999999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184.00000399999999</v>
      </c>
      <c r="B539" s="1">
        <f>DATE(2010,11,1) + TIME(0,0,0)</f>
        <v>40483</v>
      </c>
      <c r="C539">
        <v>90</v>
      </c>
      <c r="D539">
        <v>89.909507751000007</v>
      </c>
      <c r="E539">
        <v>60</v>
      </c>
      <c r="F539">
        <v>22.265222549000001</v>
      </c>
      <c r="G539">
        <v>1363.0085449000001</v>
      </c>
      <c r="H539">
        <v>1352.5384521000001</v>
      </c>
      <c r="I539">
        <v>1299.9621582</v>
      </c>
      <c r="J539">
        <v>1263.6821289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184.000013</v>
      </c>
      <c r="B540" s="1">
        <f>DATE(2010,11,1) + TIME(0,0,1)</f>
        <v>40483.000011574077</v>
      </c>
      <c r="C540">
        <v>90</v>
      </c>
      <c r="D540">
        <v>89.908889771000005</v>
      </c>
      <c r="E540">
        <v>60</v>
      </c>
      <c r="F540">
        <v>22.266380309999999</v>
      </c>
      <c r="G540">
        <v>1358.7879639</v>
      </c>
      <c r="H540">
        <v>1348.3171387</v>
      </c>
      <c r="I540">
        <v>1306.2322998</v>
      </c>
      <c r="J540">
        <v>1270.4349365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184.00004000000001</v>
      </c>
      <c r="B541" s="1">
        <f>DATE(2010,11,1) + TIME(0,0,3)</f>
        <v>40483.000034722223</v>
      </c>
      <c r="C541">
        <v>90</v>
      </c>
      <c r="D541">
        <v>89.908004761000001</v>
      </c>
      <c r="E541">
        <v>60</v>
      </c>
      <c r="F541">
        <v>22.269075394000001</v>
      </c>
      <c r="G541">
        <v>1352.8413086</v>
      </c>
      <c r="H541">
        <v>1342.3728027</v>
      </c>
      <c r="I541">
        <v>1318.932251</v>
      </c>
      <c r="J541">
        <v>1283.6853027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184.00012100000001</v>
      </c>
      <c r="B542" s="1">
        <f>DATE(2010,11,1) + TIME(0,0,10)</f>
        <v>40483.000115740739</v>
      </c>
      <c r="C542">
        <v>90</v>
      </c>
      <c r="D542">
        <v>89.907020568999997</v>
      </c>
      <c r="E542">
        <v>60</v>
      </c>
      <c r="F542">
        <v>22.274839401000001</v>
      </c>
      <c r="G542">
        <v>1346.3497314000001</v>
      </c>
      <c r="H542">
        <v>1335.8923339999999</v>
      </c>
      <c r="I542">
        <v>1337.5324707</v>
      </c>
      <c r="J542">
        <v>1302.4049072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184.00036399999999</v>
      </c>
      <c r="B543" s="1">
        <f>DATE(2010,11,1) + TIME(0,0,31)</f>
        <v>40483.000358796293</v>
      </c>
      <c r="C543">
        <v>90</v>
      </c>
      <c r="D543">
        <v>89.905967712000006</v>
      </c>
      <c r="E543">
        <v>60</v>
      </c>
      <c r="F543">
        <v>22.288324356</v>
      </c>
      <c r="G543">
        <v>1339.8386230000001</v>
      </c>
      <c r="H543">
        <v>1329.3922118999999</v>
      </c>
      <c r="I543">
        <v>1358.3536377</v>
      </c>
      <c r="J543">
        <v>1323.1503906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184.001093</v>
      </c>
      <c r="B544" s="1">
        <f>DATE(2010,11,1) + TIME(0,1,34)</f>
        <v>40483.001087962963</v>
      </c>
      <c r="C544">
        <v>90</v>
      </c>
      <c r="D544">
        <v>89.904685974000003</v>
      </c>
      <c r="E544">
        <v>60</v>
      </c>
      <c r="F544">
        <v>22.324333191000001</v>
      </c>
      <c r="G544">
        <v>1333.2028809000001</v>
      </c>
      <c r="H544">
        <v>1322.7301024999999</v>
      </c>
      <c r="I544">
        <v>1379.2904053</v>
      </c>
      <c r="J544">
        <v>1344.0626221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184.00327999999999</v>
      </c>
      <c r="B545" s="1">
        <f>DATE(2010,11,1) + TIME(0,4,43)</f>
        <v>40483.003275462965</v>
      </c>
      <c r="C545">
        <v>90</v>
      </c>
      <c r="D545">
        <v>89.902687072999996</v>
      </c>
      <c r="E545">
        <v>60</v>
      </c>
      <c r="F545">
        <v>22.427846908999999</v>
      </c>
      <c r="G545">
        <v>1325.8626709</v>
      </c>
      <c r="H545">
        <v>1315.2728271000001</v>
      </c>
      <c r="I545">
        <v>1399.6430664</v>
      </c>
      <c r="J545">
        <v>1364.3793945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184.00984099999999</v>
      </c>
      <c r="B546" s="1">
        <f>DATE(2010,11,1) + TIME(0,14,10)</f>
        <v>40483.009837962964</v>
      </c>
      <c r="C546">
        <v>90</v>
      </c>
      <c r="D546">
        <v>89.898666382000002</v>
      </c>
      <c r="E546">
        <v>60</v>
      </c>
      <c r="F546">
        <v>22.733470916999998</v>
      </c>
      <c r="G546">
        <v>1317.5217285000001</v>
      </c>
      <c r="H546">
        <v>1306.7985839999999</v>
      </c>
      <c r="I546">
        <v>1417.4664307</v>
      </c>
      <c r="J546">
        <v>1382.2071533000001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184.02952400000001</v>
      </c>
      <c r="B547" s="1">
        <f>DATE(2010,11,1) + TIME(0,42,30)</f>
        <v>40483.029513888891</v>
      </c>
      <c r="C547">
        <v>90</v>
      </c>
      <c r="D547">
        <v>89.889282226999995</v>
      </c>
      <c r="E547">
        <v>60</v>
      </c>
      <c r="F547">
        <v>23.630474091</v>
      </c>
      <c r="G547">
        <v>1309.9064940999999</v>
      </c>
      <c r="H547">
        <v>1299.1166992000001</v>
      </c>
      <c r="I547">
        <v>1428.9019774999999</v>
      </c>
      <c r="J547">
        <v>1394.1479492000001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184.05102199999999</v>
      </c>
      <c r="B548" s="1">
        <f>DATE(2010,11,1) + TIME(1,13,28)</f>
        <v>40483.051018518519</v>
      </c>
      <c r="C548">
        <v>90</v>
      </c>
      <c r="D548">
        <v>89.879859924000002</v>
      </c>
      <c r="E548">
        <v>60</v>
      </c>
      <c r="F548">
        <v>24.586914062000002</v>
      </c>
      <c r="G548">
        <v>1306.8087158000001</v>
      </c>
      <c r="H548">
        <v>1296.0021973</v>
      </c>
      <c r="I548">
        <v>1431.8028564000001</v>
      </c>
      <c r="J548">
        <v>1397.7320557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184.07301000000001</v>
      </c>
      <c r="B549" s="1">
        <f>DATE(2010,11,1) + TIME(1,45,8)</f>
        <v>40483.073009259257</v>
      </c>
      <c r="C549">
        <v>90</v>
      </c>
      <c r="D549">
        <v>89.870559692</v>
      </c>
      <c r="E549">
        <v>60</v>
      </c>
      <c r="F549">
        <v>25.540784836</v>
      </c>
      <c r="G549">
        <v>1305.4787598</v>
      </c>
      <c r="H549">
        <v>1294.6663818</v>
      </c>
      <c r="I549">
        <v>1432.0520019999999</v>
      </c>
      <c r="J549">
        <v>1398.6937256000001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184.095484</v>
      </c>
      <c r="B550" s="1">
        <f>DATE(2010,11,1) + TIME(2,17,29)</f>
        <v>40483.09547453704</v>
      </c>
      <c r="C550">
        <v>90</v>
      </c>
      <c r="D550">
        <v>89.861236571999996</v>
      </c>
      <c r="E550">
        <v>60</v>
      </c>
      <c r="F550">
        <v>26.490438461</v>
      </c>
      <c r="G550">
        <v>1304.8692627</v>
      </c>
      <c r="H550">
        <v>1294.0541992000001</v>
      </c>
      <c r="I550">
        <v>1431.4195557</v>
      </c>
      <c r="J550">
        <v>1398.7652588000001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184.11845299999999</v>
      </c>
      <c r="B551" s="1">
        <f>DATE(2010,11,1) + TIME(2,50,34)</f>
        <v>40483.118449074071</v>
      </c>
      <c r="C551">
        <v>90</v>
      </c>
      <c r="D551">
        <v>89.851829529</v>
      </c>
      <c r="E551">
        <v>60</v>
      </c>
      <c r="F551">
        <v>27.434692383000002</v>
      </c>
      <c r="G551">
        <v>1304.5769043</v>
      </c>
      <c r="H551">
        <v>1293.7604980000001</v>
      </c>
      <c r="I551">
        <v>1430.4931641000001</v>
      </c>
      <c r="J551">
        <v>1398.5213623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184.14193800000001</v>
      </c>
      <c r="B552" s="1">
        <f>DATE(2010,11,1) + TIME(3,24,23)</f>
        <v>40483.141932870371</v>
      </c>
      <c r="C552">
        <v>90</v>
      </c>
      <c r="D552">
        <v>89.842323303000001</v>
      </c>
      <c r="E552">
        <v>60</v>
      </c>
      <c r="F552">
        <v>28.373323441</v>
      </c>
      <c r="G552">
        <v>1304.4309082</v>
      </c>
      <c r="H552">
        <v>1293.6137695</v>
      </c>
      <c r="I552">
        <v>1429.4873047000001</v>
      </c>
      <c r="J552">
        <v>1398.1732178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184.165976</v>
      </c>
      <c r="B553" s="1">
        <f>DATE(2010,11,1) + TIME(3,59,0)</f>
        <v>40483.165972222225</v>
      </c>
      <c r="C553">
        <v>90</v>
      </c>
      <c r="D553">
        <v>89.832679748999993</v>
      </c>
      <c r="E553">
        <v>60</v>
      </c>
      <c r="F553">
        <v>29.306619644000001</v>
      </c>
      <c r="G553">
        <v>1304.3552245999999</v>
      </c>
      <c r="H553">
        <v>1293.5374756000001</v>
      </c>
      <c r="I553">
        <v>1428.4815673999999</v>
      </c>
      <c r="J553">
        <v>1397.7994385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184.19059100000001</v>
      </c>
      <c r="B554" s="1">
        <f>DATE(2010,11,1) + TIME(4,34,27)</f>
        <v>40483.19059027778</v>
      </c>
      <c r="C554">
        <v>90</v>
      </c>
      <c r="D554">
        <v>89.822898864999999</v>
      </c>
      <c r="E554">
        <v>60</v>
      </c>
      <c r="F554">
        <v>30.234420776</v>
      </c>
      <c r="G554">
        <v>1304.3146973</v>
      </c>
      <c r="H554">
        <v>1293.4964600000001</v>
      </c>
      <c r="I554">
        <v>1427.5037841999999</v>
      </c>
      <c r="J554">
        <v>1397.4287108999999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184.21581699999999</v>
      </c>
      <c r="B555" s="1">
        <f>DATE(2010,11,1) + TIME(5,10,46)</f>
        <v>40483.215810185182</v>
      </c>
      <c r="C555">
        <v>90</v>
      </c>
      <c r="D555">
        <v>89.812973021999994</v>
      </c>
      <c r="E555">
        <v>60</v>
      </c>
      <c r="F555">
        <v>31.156818390000002</v>
      </c>
      <c r="G555">
        <v>1304.2923584</v>
      </c>
      <c r="H555">
        <v>1293.4736327999999</v>
      </c>
      <c r="I555">
        <v>1426.5621338000001</v>
      </c>
      <c r="J555">
        <v>1397.0699463000001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184.24168700000001</v>
      </c>
      <c r="B556" s="1">
        <f>DATE(2010,11,1) + TIME(5,48,1)</f>
        <v>40483.241678240738</v>
      </c>
      <c r="C556">
        <v>90</v>
      </c>
      <c r="D556">
        <v>89.802871703999998</v>
      </c>
      <c r="E556">
        <v>60</v>
      </c>
      <c r="F556">
        <v>32.073638916</v>
      </c>
      <c r="G556">
        <v>1304.2799072</v>
      </c>
      <c r="H556">
        <v>1293.4606934000001</v>
      </c>
      <c r="I556">
        <v>1425.6571045000001</v>
      </c>
      <c r="J556">
        <v>1396.7249756000001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184.268224</v>
      </c>
      <c r="B557" s="1">
        <f>DATE(2010,11,1) + TIME(6,26,14)</f>
        <v>40483.268217592595</v>
      </c>
      <c r="C557">
        <v>90</v>
      </c>
      <c r="D557">
        <v>89.792610167999996</v>
      </c>
      <c r="E557">
        <v>60</v>
      </c>
      <c r="F557">
        <v>32.984325409</v>
      </c>
      <c r="G557">
        <v>1304.2728271000001</v>
      </c>
      <c r="H557">
        <v>1293.453125</v>
      </c>
      <c r="I557">
        <v>1424.7875977000001</v>
      </c>
      <c r="J557">
        <v>1396.3931885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184.295481</v>
      </c>
      <c r="B558" s="1">
        <f>DATE(2010,11,1) + TIME(7,5,29)</f>
        <v>40483.295474537037</v>
      </c>
      <c r="C558">
        <v>90</v>
      </c>
      <c r="D558">
        <v>89.782165527000004</v>
      </c>
      <c r="E558">
        <v>60</v>
      </c>
      <c r="F558">
        <v>33.889308929000002</v>
      </c>
      <c r="G558">
        <v>1304.2686768000001</v>
      </c>
      <c r="H558">
        <v>1293.4486084</v>
      </c>
      <c r="I558">
        <v>1423.9509277</v>
      </c>
      <c r="J558">
        <v>1396.0733643000001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184.32350600000001</v>
      </c>
      <c r="B559" s="1">
        <f>DATE(2010,11,1) + TIME(7,45,50)</f>
        <v>40483.323495370372</v>
      </c>
      <c r="C559">
        <v>90</v>
      </c>
      <c r="D559">
        <v>89.771522521999998</v>
      </c>
      <c r="E559">
        <v>60</v>
      </c>
      <c r="F559">
        <v>34.788616179999998</v>
      </c>
      <c r="G559">
        <v>1304.2662353999999</v>
      </c>
      <c r="H559">
        <v>1293.4456786999999</v>
      </c>
      <c r="I559">
        <v>1423.1448975000001</v>
      </c>
      <c r="J559">
        <v>1395.7644043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184.35234800000001</v>
      </c>
      <c r="B560" s="1">
        <f>DATE(2010,11,1) + TIME(8,27,22)</f>
        <v>40483.352337962962</v>
      </c>
      <c r="C560">
        <v>90</v>
      </c>
      <c r="D560">
        <v>89.760673522999994</v>
      </c>
      <c r="E560">
        <v>60</v>
      </c>
      <c r="F560">
        <v>35.682201384999999</v>
      </c>
      <c r="G560">
        <v>1304.2647704999999</v>
      </c>
      <c r="H560">
        <v>1293.4438477000001</v>
      </c>
      <c r="I560">
        <v>1422.3673096</v>
      </c>
      <c r="J560">
        <v>1395.4649658000001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184.38205600000001</v>
      </c>
      <c r="B561" s="1">
        <f>DATE(2010,11,1) + TIME(9,10,9)</f>
        <v>40483.382048611114</v>
      </c>
      <c r="C561">
        <v>90</v>
      </c>
      <c r="D561">
        <v>89.749595642000003</v>
      </c>
      <c r="E561">
        <v>60</v>
      </c>
      <c r="F561">
        <v>36.569923400999997</v>
      </c>
      <c r="G561">
        <v>1304.2637939000001</v>
      </c>
      <c r="H561">
        <v>1293.4423827999999</v>
      </c>
      <c r="I561">
        <v>1421.6165771000001</v>
      </c>
      <c r="J561">
        <v>1395.1743164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184.41268500000001</v>
      </c>
      <c r="B562" s="1">
        <f>DATE(2010,11,1) + TIME(9,54,15)</f>
        <v>40483.412673611114</v>
      </c>
      <c r="C562">
        <v>90</v>
      </c>
      <c r="D562">
        <v>89.73828125</v>
      </c>
      <c r="E562">
        <v>60</v>
      </c>
      <c r="F562">
        <v>37.451587676999999</v>
      </c>
      <c r="G562">
        <v>1304.2630615</v>
      </c>
      <c r="H562">
        <v>1293.4411620999999</v>
      </c>
      <c r="I562">
        <v>1420.8911132999999</v>
      </c>
      <c r="J562">
        <v>1394.8917236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184.44429600000001</v>
      </c>
      <c r="B563" s="1">
        <f>DATE(2010,11,1) + TIME(10,39,47)</f>
        <v>40483.444293981483</v>
      </c>
      <c r="C563">
        <v>90</v>
      </c>
      <c r="D563">
        <v>89.726715088000006</v>
      </c>
      <c r="E563">
        <v>60</v>
      </c>
      <c r="F563">
        <v>38.327064514</v>
      </c>
      <c r="G563">
        <v>1304.2623291</v>
      </c>
      <c r="H563">
        <v>1293.4399414</v>
      </c>
      <c r="I563">
        <v>1420.1895752</v>
      </c>
      <c r="J563">
        <v>1394.6165771000001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184.47696400000001</v>
      </c>
      <c r="B564" s="1">
        <f>DATE(2010,11,1) + TIME(11,26,49)</f>
        <v>40483.476956018516</v>
      </c>
      <c r="C564">
        <v>90</v>
      </c>
      <c r="D564">
        <v>89.714881896999998</v>
      </c>
      <c r="E564">
        <v>60</v>
      </c>
      <c r="F564">
        <v>39.196369171000001</v>
      </c>
      <c r="G564">
        <v>1304.2615966999999</v>
      </c>
      <c r="H564">
        <v>1293.4387207</v>
      </c>
      <c r="I564">
        <v>1419.510376</v>
      </c>
      <c r="J564">
        <v>1394.3481445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184.51076599999999</v>
      </c>
      <c r="B565" s="1">
        <f>DATE(2010,11,1) + TIME(12,15,30)</f>
        <v>40483.510763888888</v>
      </c>
      <c r="C565">
        <v>90</v>
      </c>
      <c r="D565">
        <v>89.702751160000005</v>
      </c>
      <c r="E565">
        <v>60</v>
      </c>
      <c r="F565">
        <v>40.059391022</v>
      </c>
      <c r="G565">
        <v>1304.2608643000001</v>
      </c>
      <c r="H565">
        <v>1293.4373779</v>
      </c>
      <c r="I565">
        <v>1418.8525391000001</v>
      </c>
      <c r="J565">
        <v>1394.0860596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184.54578799999999</v>
      </c>
      <c r="B566" s="1">
        <f>DATE(2010,11,1) + TIME(13,5,56)</f>
        <v>40483.545787037037</v>
      </c>
      <c r="C566">
        <v>90</v>
      </c>
      <c r="D566">
        <v>89.690315247000001</v>
      </c>
      <c r="E566">
        <v>60</v>
      </c>
      <c r="F566">
        <v>40.916164397999999</v>
      </c>
      <c r="G566">
        <v>1304.2598877</v>
      </c>
      <c r="H566">
        <v>1293.4360352000001</v>
      </c>
      <c r="I566">
        <v>1418.2145995999999</v>
      </c>
      <c r="J566">
        <v>1393.8295897999999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184.58212499999999</v>
      </c>
      <c r="B567" s="1">
        <f>DATE(2010,11,1) + TIME(13,58,15)</f>
        <v>40483.582118055558</v>
      </c>
      <c r="C567">
        <v>90</v>
      </c>
      <c r="D567">
        <v>89.677528381000002</v>
      </c>
      <c r="E567">
        <v>60</v>
      </c>
      <c r="F567">
        <v>41.766342162999997</v>
      </c>
      <c r="G567">
        <v>1304.2589111</v>
      </c>
      <c r="H567">
        <v>1293.4344481999999</v>
      </c>
      <c r="I567">
        <v>1417.5955810999999</v>
      </c>
      <c r="J567">
        <v>1393.5782471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184.61988400000001</v>
      </c>
      <c r="B568" s="1">
        <f>DATE(2010,11,1) + TIME(14,52,37)</f>
        <v>40483.619872685187</v>
      </c>
      <c r="C568">
        <v>90</v>
      </c>
      <c r="D568">
        <v>89.664382935000006</v>
      </c>
      <c r="E568">
        <v>60</v>
      </c>
      <c r="F568">
        <v>42.609745025999999</v>
      </c>
      <c r="G568">
        <v>1304.2578125</v>
      </c>
      <c r="H568">
        <v>1293.4328613</v>
      </c>
      <c r="I568">
        <v>1416.9945068</v>
      </c>
      <c r="J568">
        <v>1393.3316649999999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184.65918500000001</v>
      </c>
      <c r="B569" s="1">
        <f>DATE(2010,11,1) + TIME(15,49,13)</f>
        <v>40483.659178240741</v>
      </c>
      <c r="C569">
        <v>90</v>
      </c>
      <c r="D569">
        <v>89.650840759000005</v>
      </c>
      <c r="E569">
        <v>60</v>
      </c>
      <c r="F569">
        <v>43.446159363</v>
      </c>
      <c r="G569">
        <v>1304.2565918</v>
      </c>
      <c r="H569">
        <v>1293.4310303</v>
      </c>
      <c r="I569">
        <v>1416.4101562000001</v>
      </c>
      <c r="J569">
        <v>1393.0892334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184.700163</v>
      </c>
      <c r="B570" s="1">
        <f>DATE(2010,11,1) + TIME(16,48,14)</f>
        <v>40483.700162037036</v>
      </c>
      <c r="C570">
        <v>90</v>
      </c>
      <c r="D570">
        <v>89.636871338000006</v>
      </c>
      <c r="E570">
        <v>60</v>
      </c>
      <c r="F570">
        <v>44.275337219000001</v>
      </c>
      <c r="G570">
        <v>1304.2551269999999</v>
      </c>
      <c r="H570">
        <v>1293.4290771000001</v>
      </c>
      <c r="I570">
        <v>1415.8415527</v>
      </c>
      <c r="J570">
        <v>1392.8505858999999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184.74297000000001</v>
      </c>
      <c r="B571" s="1">
        <f>DATE(2010,11,1) + TIME(17,49,52)</f>
        <v>40483.742962962962</v>
      </c>
      <c r="C571">
        <v>90</v>
      </c>
      <c r="D571">
        <v>89.622428893999995</v>
      </c>
      <c r="E571">
        <v>60</v>
      </c>
      <c r="F571">
        <v>45.097003936999997</v>
      </c>
      <c r="G571">
        <v>1304.2536620999999</v>
      </c>
      <c r="H571">
        <v>1293.4270019999999</v>
      </c>
      <c r="I571">
        <v>1415.2878418</v>
      </c>
      <c r="J571">
        <v>1392.6151123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184.787781</v>
      </c>
      <c r="B572" s="1">
        <f>DATE(2010,11,1) + TIME(18,54,24)</f>
        <v>40483.787777777776</v>
      </c>
      <c r="C572">
        <v>90</v>
      </c>
      <c r="D572">
        <v>89.607475281000006</v>
      </c>
      <c r="E572">
        <v>60</v>
      </c>
      <c r="F572">
        <v>45.910850525000001</v>
      </c>
      <c r="G572">
        <v>1304.2519531</v>
      </c>
      <c r="H572">
        <v>1293.4246826000001</v>
      </c>
      <c r="I572">
        <v>1414.7480469</v>
      </c>
      <c r="J572">
        <v>1392.3822021000001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184.83477999999999</v>
      </c>
      <c r="B573" s="1">
        <f>DATE(2010,11,1) + TIME(20,2,4)</f>
        <v>40483.834768518522</v>
      </c>
      <c r="C573">
        <v>90</v>
      </c>
      <c r="D573">
        <v>89.591964722</v>
      </c>
      <c r="E573">
        <v>60</v>
      </c>
      <c r="F573">
        <v>46.716297150000003</v>
      </c>
      <c r="G573">
        <v>1304.2502440999999</v>
      </c>
      <c r="H573">
        <v>1293.4223632999999</v>
      </c>
      <c r="I573">
        <v>1414.2214355000001</v>
      </c>
      <c r="J573">
        <v>1392.1517334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184.88419400000001</v>
      </c>
      <c r="B574" s="1">
        <f>DATE(2010,11,1) + TIME(21,13,14)</f>
        <v>40483.884189814817</v>
      </c>
      <c r="C574">
        <v>90</v>
      </c>
      <c r="D574">
        <v>89.575843810999999</v>
      </c>
      <c r="E574">
        <v>60</v>
      </c>
      <c r="F574">
        <v>47.512950897000003</v>
      </c>
      <c r="G574">
        <v>1304.2482910000001</v>
      </c>
      <c r="H574">
        <v>1293.4197998</v>
      </c>
      <c r="I574">
        <v>1413.7070312000001</v>
      </c>
      <c r="J574">
        <v>1391.9228516000001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184.93628699999999</v>
      </c>
      <c r="B575" s="1">
        <f>DATE(2010,11,1) + TIME(22,28,15)</f>
        <v>40483.936284722222</v>
      </c>
      <c r="C575">
        <v>90</v>
      </c>
      <c r="D575">
        <v>89.559051514000004</v>
      </c>
      <c r="E575">
        <v>60</v>
      </c>
      <c r="F575">
        <v>48.300376892000003</v>
      </c>
      <c r="G575">
        <v>1304.2462158000001</v>
      </c>
      <c r="H575">
        <v>1293.4169922000001</v>
      </c>
      <c r="I575">
        <v>1413.2039795000001</v>
      </c>
      <c r="J575">
        <v>1391.6951904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184.99136300000001</v>
      </c>
      <c r="B576" s="1">
        <f>DATE(2010,11,1) + TIME(23,47,33)</f>
        <v>40483.991354166668</v>
      </c>
      <c r="C576">
        <v>90</v>
      </c>
      <c r="D576">
        <v>89.541496276999993</v>
      </c>
      <c r="E576">
        <v>60</v>
      </c>
      <c r="F576">
        <v>49.078041077000002</v>
      </c>
      <c r="G576">
        <v>1304.2440185999999</v>
      </c>
      <c r="H576">
        <v>1293.4140625</v>
      </c>
      <c r="I576">
        <v>1412.7113036999999</v>
      </c>
      <c r="J576">
        <v>1391.4680175999999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185.049781</v>
      </c>
      <c r="B577" s="1">
        <f>DATE(2010,11,2) + TIME(1,11,41)</f>
        <v>40484.049780092595</v>
      </c>
      <c r="C577">
        <v>90</v>
      </c>
      <c r="D577">
        <v>89.523117064999994</v>
      </c>
      <c r="E577">
        <v>60</v>
      </c>
      <c r="F577">
        <v>49.845333099000001</v>
      </c>
      <c r="G577">
        <v>1304.2415771000001</v>
      </c>
      <c r="H577">
        <v>1293.4110106999999</v>
      </c>
      <c r="I577">
        <v>1412.2281493999999</v>
      </c>
      <c r="J577">
        <v>1391.2408447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185.111965</v>
      </c>
      <c r="B578" s="1">
        <f>DATE(2010,11,2) + TIME(2,41,13)</f>
        <v>40484.111956018518</v>
      </c>
      <c r="C578">
        <v>90</v>
      </c>
      <c r="D578">
        <v>89.503791809000006</v>
      </c>
      <c r="E578">
        <v>60</v>
      </c>
      <c r="F578">
        <v>50.601272582999997</v>
      </c>
      <c r="G578">
        <v>1304.2390137</v>
      </c>
      <c r="H578">
        <v>1293.4077147999999</v>
      </c>
      <c r="I578">
        <v>1411.7536620999999</v>
      </c>
      <c r="J578">
        <v>1391.0129394999999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185.17842200000001</v>
      </c>
      <c r="B579" s="1">
        <f>DATE(2010,11,2) + TIME(4,16,55)</f>
        <v>40484.178414351853</v>
      </c>
      <c r="C579">
        <v>90</v>
      </c>
      <c r="D579">
        <v>89.483413696</v>
      </c>
      <c r="E579">
        <v>60</v>
      </c>
      <c r="F579">
        <v>51.345264434999997</v>
      </c>
      <c r="G579">
        <v>1304.2362060999999</v>
      </c>
      <c r="H579">
        <v>1293.4041748</v>
      </c>
      <c r="I579">
        <v>1411.2868652</v>
      </c>
      <c r="J579">
        <v>1390.7835693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185.24976799999999</v>
      </c>
      <c r="B580" s="1">
        <f>DATE(2010,11,2) + TIME(5,59,39)</f>
        <v>40484.249756944446</v>
      </c>
      <c r="C580">
        <v>90</v>
      </c>
      <c r="D580">
        <v>89.461837768999999</v>
      </c>
      <c r="E580">
        <v>60</v>
      </c>
      <c r="F580">
        <v>52.076480865000001</v>
      </c>
      <c r="G580">
        <v>1304.2332764</v>
      </c>
      <c r="H580">
        <v>1293.4003906</v>
      </c>
      <c r="I580">
        <v>1410.8266602000001</v>
      </c>
      <c r="J580">
        <v>1390.5520019999999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185.32675399999999</v>
      </c>
      <c r="B581" s="1">
        <f>DATE(2010,11,2) + TIME(7,50,31)</f>
        <v>40484.326747685183</v>
      </c>
      <c r="C581">
        <v>90</v>
      </c>
      <c r="D581">
        <v>89.438880920000003</v>
      </c>
      <c r="E581">
        <v>60</v>
      </c>
      <c r="F581">
        <v>52.793884276999997</v>
      </c>
      <c r="G581">
        <v>1304.2301024999999</v>
      </c>
      <c r="H581">
        <v>1293.3962402</v>
      </c>
      <c r="I581">
        <v>1410.3719481999999</v>
      </c>
      <c r="J581">
        <v>1390.3172606999999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185.410314</v>
      </c>
      <c r="B582" s="1">
        <f>DATE(2010,11,2) + TIME(9,50,51)</f>
        <v>40484.410312499997</v>
      </c>
      <c r="C582">
        <v>90</v>
      </c>
      <c r="D582">
        <v>89.414337157999995</v>
      </c>
      <c r="E582">
        <v>60</v>
      </c>
      <c r="F582">
        <v>53.496265411000003</v>
      </c>
      <c r="G582">
        <v>1304.2265625</v>
      </c>
      <c r="H582">
        <v>1293.3918457</v>
      </c>
      <c r="I582">
        <v>1409.921875</v>
      </c>
      <c r="J582">
        <v>1390.0783690999999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185.49845099999999</v>
      </c>
      <c r="B583" s="1">
        <f>DATE(2010,11,2) + TIME(11,57,46)</f>
        <v>40484.498449074075</v>
      </c>
      <c r="C583">
        <v>90</v>
      </c>
      <c r="D583">
        <v>89.388771057</v>
      </c>
      <c r="E583">
        <v>60</v>
      </c>
      <c r="F583">
        <v>54.16085434</v>
      </c>
      <c r="G583">
        <v>1304.2227783000001</v>
      </c>
      <c r="H583">
        <v>1293.3870850000001</v>
      </c>
      <c r="I583">
        <v>1409.4865723</v>
      </c>
      <c r="J583">
        <v>1389.8386230000001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185.58736200000001</v>
      </c>
      <c r="B584" s="1">
        <f>DATE(2010,11,2) + TIME(14,5,48)</f>
        <v>40484.587361111109</v>
      </c>
      <c r="C584">
        <v>90</v>
      </c>
      <c r="D584">
        <v>89.363189696999996</v>
      </c>
      <c r="E584">
        <v>60</v>
      </c>
      <c r="F584">
        <v>54.761627197000003</v>
      </c>
      <c r="G584">
        <v>1304.21875</v>
      </c>
      <c r="H584">
        <v>1293.3822021000001</v>
      </c>
      <c r="I584">
        <v>1409.0805664</v>
      </c>
      <c r="J584">
        <v>1389.605957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185.677469</v>
      </c>
      <c r="B585" s="1">
        <f>DATE(2010,11,2) + TIME(16,15,33)</f>
        <v>40484.677465277775</v>
      </c>
      <c r="C585">
        <v>90</v>
      </c>
      <c r="D585">
        <v>89.337471007999994</v>
      </c>
      <c r="E585">
        <v>60</v>
      </c>
      <c r="F585">
        <v>55.306358336999999</v>
      </c>
      <c r="G585">
        <v>1304.2144774999999</v>
      </c>
      <c r="H585">
        <v>1293.3770752</v>
      </c>
      <c r="I585">
        <v>1408.7025146000001</v>
      </c>
      <c r="J585">
        <v>1389.3829346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185.76903799999999</v>
      </c>
      <c r="B586" s="1">
        <f>DATE(2010,11,2) + TIME(18,27,24)</f>
        <v>40484.76902777778</v>
      </c>
      <c r="C586">
        <v>90</v>
      </c>
      <c r="D586">
        <v>89.311546325999998</v>
      </c>
      <c r="E586">
        <v>60</v>
      </c>
      <c r="F586">
        <v>55.800682068</v>
      </c>
      <c r="G586">
        <v>1304.2103271000001</v>
      </c>
      <c r="H586">
        <v>1293.3719481999999</v>
      </c>
      <c r="I586">
        <v>1408.3482666</v>
      </c>
      <c r="J586">
        <v>1389.1679687999999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185.86233300000001</v>
      </c>
      <c r="B587" s="1">
        <f>DATE(2010,11,2) + TIME(20,41,45)</f>
        <v>40484.862326388888</v>
      </c>
      <c r="C587">
        <v>90</v>
      </c>
      <c r="D587">
        <v>89.285354613999999</v>
      </c>
      <c r="E587">
        <v>60</v>
      </c>
      <c r="F587">
        <v>56.249446869000003</v>
      </c>
      <c r="G587">
        <v>1304.2059326000001</v>
      </c>
      <c r="H587">
        <v>1293.3668213000001</v>
      </c>
      <c r="I587">
        <v>1408.0148925999999</v>
      </c>
      <c r="J587">
        <v>1388.9600829999999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185.95734200000001</v>
      </c>
      <c r="B588" s="1">
        <f>DATE(2010,11,2) + TIME(22,58,34)</f>
        <v>40484.957337962966</v>
      </c>
      <c r="C588">
        <v>90</v>
      </c>
      <c r="D588">
        <v>89.258880614999995</v>
      </c>
      <c r="E588">
        <v>60</v>
      </c>
      <c r="F588">
        <v>56.655788422000001</v>
      </c>
      <c r="G588">
        <v>1304.2015381000001</v>
      </c>
      <c r="H588">
        <v>1293.3614502</v>
      </c>
      <c r="I588">
        <v>1407.7000731999999</v>
      </c>
      <c r="J588">
        <v>1388.7581786999999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186.05407600000001</v>
      </c>
      <c r="B589" s="1">
        <f>DATE(2010,11,3) + TIME(1,17,52)</f>
        <v>40485.054074074076</v>
      </c>
      <c r="C589">
        <v>90</v>
      </c>
      <c r="D589">
        <v>89.232131957999997</v>
      </c>
      <c r="E589">
        <v>60</v>
      </c>
      <c r="F589">
        <v>57.022861481</v>
      </c>
      <c r="G589">
        <v>1304.1970214999999</v>
      </c>
      <c r="H589">
        <v>1293.3560791</v>
      </c>
      <c r="I589">
        <v>1407.4024658000001</v>
      </c>
      <c r="J589">
        <v>1388.5621338000001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186.15281400000001</v>
      </c>
      <c r="B590" s="1">
        <f>DATE(2010,11,3) + TIME(3,40,3)</f>
        <v>40485.152812499997</v>
      </c>
      <c r="C590">
        <v>90</v>
      </c>
      <c r="D590">
        <v>89.205032349000007</v>
      </c>
      <c r="E590">
        <v>60</v>
      </c>
      <c r="F590">
        <v>57.354480743000003</v>
      </c>
      <c r="G590">
        <v>1304.1923827999999</v>
      </c>
      <c r="H590">
        <v>1293.3504639</v>
      </c>
      <c r="I590">
        <v>1407.1198730000001</v>
      </c>
      <c r="J590">
        <v>1388.3710937999999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186.25383400000001</v>
      </c>
      <c r="B591" s="1">
        <f>DATE(2010,11,3) + TIME(6,5,31)</f>
        <v>40485.253831018519</v>
      </c>
      <c r="C591">
        <v>90</v>
      </c>
      <c r="D591">
        <v>89.177520752000007</v>
      </c>
      <c r="E591">
        <v>60</v>
      </c>
      <c r="F591">
        <v>57.653961182000003</v>
      </c>
      <c r="G591">
        <v>1304.1876221</v>
      </c>
      <c r="H591">
        <v>1293.3448486</v>
      </c>
      <c r="I591">
        <v>1406.8505858999999</v>
      </c>
      <c r="J591">
        <v>1388.1844481999999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186.35742099999999</v>
      </c>
      <c r="B592" s="1">
        <f>DATE(2010,11,3) + TIME(8,34,41)</f>
        <v>40485.357418981483</v>
      </c>
      <c r="C592">
        <v>90</v>
      </c>
      <c r="D592">
        <v>89.149520874000004</v>
      </c>
      <c r="E592">
        <v>60</v>
      </c>
      <c r="F592">
        <v>57.924201965000002</v>
      </c>
      <c r="G592">
        <v>1304.1827393000001</v>
      </c>
      <c r="H592">
        <v>1293.3389893000001</v>
      </c>
      <c r="I592">
        <v>1406.5927733999999</v>
      </c>
      <c r="J592">
        <v>1388.0015868999999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186.46374299999999</v>
      </c>
      <c r="B593" s="1">
        <f>DATE(2010,11,3) + TIME(11,7,47)</f>
        <v>40485.463738425926</v>
      </c>
      <c r="C593">
        <v>90</v>
      </c>
      <c r="D593">
        <v>89.121002196999996</v>
      </c>
      <c r="E593">
        <v>60</v>
      </c>
      <c r="F593">
        <v>58.167526244999998</v>
      </c>
      <c r="G593">
        <v>1304.1777344</v>
      </c>
      <c r="H593">
        <v>1293.3330077999999</v>
      </c>
      <c r="I593">
        <v>1406.3452147999999</v>
      </c>
      <c r="J593">
        <v>1387.8217772999999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186.573137</v>
      </c>
      <c r="B594" s="1">
        <f>DATE(2010,11,3) + TIME(13,45,19)</f>
        <v>40485.573136574072</v>
      </c>
      <c r="C594">
        <v>90</v>
      </c>
      <c r="D594">
        <v>89.091873168999996</v>
      </c>
      <c r="E594">
        <v>60</v>
      </c>
      <c r="F594">
        <v>58.386356354</v>
      </c>
      <c r="G594">
        <v>1304.1726074000001</v>
      </c>
      <c r="H594">
        <v>1293.3269043</v>
      </c>
      <c r="I594">
        <v>1406.1068115</v>
      </c>
      <c r="J594">
        <v>1387.6447754000001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186.68596199999999</v>
      </c>
      <c r="B595" s="1">
        <f>DATE(2010,11,3) + TIME(16,27,47)</f>
        <v>40485.685960648145</v>
      </c>
      <c r="C595">
        <v>90</v>
      </c>
      <c r="D595">
        <v>89.062065125000004</v>
      </c>
      <c r="E595">
        <v>60</v>
      </c>
      <c r="F595">
        <v>58.582870483000001</v>
      </c>
      <c r="G595">
        <v>1304.1672363</v>
      </c>
      <c r="H595">
        <v>1293.3205565999999</v>
      </c>
      <c r="I595">
        <v>1405.8763428</v>
      </c>
      <c r="J595">
        <v>1387.4698486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186.80260200000001</v>
      </c>
      <c r="B596" s="1">
        <f>DATE(2010,11,3) + TIME(19,15,44)</f>
        <v>40485.80259259259</v>
      </c>
      <c r="C596">
        <v>90</v>
      </c>
      <c r="D596">
        <v>89.031494140999996</v>
      </c>
      <c r="E596">
        <v>60</v>
      </c>
      <c r="F596">
        <v>58.758998871000003</v>
      </c>
      <c r="G596">
        <v>1304.1616211</v>
      </c>
      <c r="H596">
        <v>1293.3139647999999</v>
      </c>
      <c r="I596">
        <v>1405.6525879000001</v>
      </c>
      <c r="J596">
        <v>1387.2967529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186.92336700000001</v>
      </c>
      <c r="B597" s="1">
        <f>DATE(2010,11,3) + TIME(22,9,38)</f>
        <v>40485.923356481479</v>
      </c>
      <c r="C597">
        <v>90</v>
      </c>
      <c r="D597">
        <v>89.000076293999996</v>
      </c>
      <c r="E597">
        <v>60</v>
      </c>
      <c r="F597">
        <v>58.916362761999999</v>
      </c>
      <c r="G597">
        <v>1304.1558838000001</v>
      </c>
      <c r="H597">
        <v>1293.307251</v>
      </c>
      <c r="I597">
        <v>1405.4348144999999</v>
      </c>
      <c r="J597">
        <v>1387.1247559000001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187.04872</v>
      </c>
      <c r="B598" s="1">
        <f>DATE(2010,11,4) + TIME(1,10,9)</f>
        <v>40486.048715277779</v>
      </c>
      <c r="C598">
        <v>90</v>
      </c>
      <c r="D598">
        <v>88.967727660999998</v>
      </c>
      <c r="E598">
        <v>60</v>
      </c>
      <c r="F598">
        <v>59.056610106999997</v>
      </c>
      <c r="G598">
        <v>1304.1499022999999</v>
      </c>
      <c r="H598">
        <v>1293.3001709</v>
      </c>
      <c r="I598">
        <v>1405.2220459</v>
      </c>
      <c r="J598">
        <v>1386.9536132999999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187.17918900000001</v>
      </c>
      <c r="B599" s="1">
        <f>DATE(2010,11,4) + TIME(4,18,1)</f>
        <v>40486.179178240738</v>
      </c>
      <c r="C599">
        <v>90</v>
      </c>
      <c r="D599">
        <v>88.934326171999999</v>
      </c>
      <c r="E599">
        <v>60</v>
      </c>
      <c r="F599">
        <v>59.181240082000002</v>
      </c>
      <c r="G599">
        <v>1304.1436768000001</v>
      </c>
      <c r="H599">
        <v>1293.2928466999999</v>
      </c>
      <c r="I599">
        <v>1405.0135498</v>
      </c>
      <c r="J599">
        <v>1386.7830810999999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187.315246</v>
      </c>
      <c r="B600" s="1">
        <f>DATE(2010,11,4) + TIME(7,33,57)</f>
        <v>40486.315243055556</v>
      </c>
      <c r="C600">
        <v>90</v>
      </c>
      <c r="D600">
        <v>88.899772643999995</v>
      </c>
      <c r="E600">
        <v>60</v>
      </c>
      <c r="F600">
        <v>59.291542053000001</v>
      </c>
      <c r="G600">
        <v>1304.1370850000001</v>
      </c>
      <c r="H600">
        <v>1293.2851562000001</v>
      </c>
      <c r="I600">
        <v>1404.8084716999999</v>
      </c>
      <c r="J600">
        <v>1386.6124268000001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187.45756800000001</v>
      </c>
      <c r="B601" s="1">
        <f>DATE(2010,11,4) + TIME(10,58,53)</f>
        <v>40486.457557870373</v>
      </c>
      <c r="C601">
        <v>90</v>
      </c>
      <c r="D601">
        <v>88.863937378000003</v>
      </c>
      <c r="E601">
        <v>60</v>
      </c>
      <c r="F601">
        <v>59.388809203999998</v>
      </c>
      <c r="G601">
        <v>1304.1303711</v>
      </c>
      <c r="H601">
        <v>1293.2772216999999</v>
      </c>
      <c r="I601">
        <v>1404.6060791</v>
      </c>
      <c r="J601">
        <v>1386.4415283000001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187.606776</v>
      </c>
      <c r="B602" s="1">
        <f>DATE(2010,11,4) + TIME(14,33,45)</f>
        <v>40486.606770833336</v>
      </c>
      <c r="C602">
        <v>90</v>
      </c>
      <c r="D602">
        <v>88.826683044000006</v>
      </c>
      <c r="E602">
        <v>60</v>
      </c>
      <c r="F602">
        <v>59.474159241000002</v>
      </c>
      <c r="G602">
        <v>1304.1231689000001</v>
      </c>
      <c r="H602">
        <v>1293.2687988</v>
      </c>
      <c r="I602">
        <v>1404.4057617000001</v>
      </c>
      <c r="J602">
        <v>1386.2696533000001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187.76370800000001</v>
      </c>
      <c r="B603" s="1">
        <f>DATE(2010,11,4) + TIME(18,19,44)</f>
        <v>40486.763703703706</v>
      </c>
      <c r="C603">
        <v>90</v>
      </c>
      <c r="D603">
        <v>88.787849425999994</v>
      </c>
      <c r="E603">
        <v>60</v>
      </c>
      <c r="F603">
        <v>59.548690796000002</v>
      </c>
      <c r="G603">
        <v>1304.1156006000001</v>
      </c>
      <c r="H603">
        <v>1293.2600098</v>
      </c>
      <c r="I603">
        <v>1404.2066649999999</v>
      </c>
      <c r="J603">
        <v>1386.0968018000001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187.928698</v>
      </c>
      <c r="B604" s="1">
        <f>DATE(2010,11,4) + TIME(22,17,19)</f>
        <v>40486.92869212963</v>
      </c>
      <c r="C604">
        <v>90</v>
      </c>
      <c r="D604">
        <v>88.747360228999995</v>
      </c>
      <c r="E604">
        <v>60</v>
      </c>
      <c r="F604">
        <v>59.613224029999998</v>
      </c>
      <c r="G604">
        <v>1304.1076660000001</v>
      </c>
      <c r="H604">
        <v>1293.2507324000001</v>
      </c>
      <c r="I604">
        <v>1404.0080565999999</v>
      </c>
      <c r="J604">
        <v>1385.9222411999999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188.10211799999999</v>
      </c>
      <c r="B605" s="1">
        <f>DATE(2010,11,5) + TIME(2,27,2)</f>
        <v>40487.102106481485</v>
      </c>
      <c r="C605">
        <v>90</v>
      </c>
      <c r="D605">
        <v>88.705162048000005</v>
      </c>
      <c r="E605">
        <v>60</v>
      </c>
      <c r="F605">
        <v>59.668624878000003</v>
      </c>
      <c r="G605">
        <v>1304.0992432</v>
      </c>
      <c r="H605">
        <v>1293.2409668</v>
      </c>
      <c r="I605">
        <v>1403.8101807</v>
      </c>
      <c r="J605">
        <v>1385.7462158000001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188.284809</v>
      </c>
      <c r="B606" s="1">
        <f>DATE(2010,11,5) + TIME(6,50,7)</f>
        <v>40487.284803240742</v>
      </c>
      <c r="C606">
        <v>90</v>
      </c>
      <c r="D606">
        <v>88.661079407000003</v>
      </c>
      <c r="E606">
        <v>60</v>
      </c>
      <c r="F606">
        <v>59.715862274000003</v>
      </c>
      <c r="G606">
        <v>1304.0904541</v>
      </c>
      <c r="H606">
        <v>1293.2307129000001</v>
      </c>
      <c r="I606">
        <v>1403.6124268000001</v>
      </c>
      <c r="J606">
        <v>1385.5687256000001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188.47529499999999</v>
      </c>
      <c r="B607" s="1">
        <f>DATE(2010,11,5) + TIME(11,24,25)</f>
        <v>40487.475289351853</v>
      </c>
      <c r="C607">
        <v>90</v>
      </c>
      <c r="D607">
        <v>88.615417480000005</v>
      </c>
      <c r="E607">
        <v>60</v>
      </c>
      <c r="F607">
        <v>59.755451202000003</v>
      </c>
      <c r="G607">
        <v>1304.0810547000001</v>
      </c>
      <c r="H607">
        <v>1293.2198486</v>
      </c>
      <c r="I607">
        <v>1403.4147949000001</v>
      </c>
      <c r="J607">
        <v>1385.3894043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188.66684000000001</v>
      </c>
      <c r="B608" s="1">
        <f>DATE(2010,11,5) + TIME(16,0,14)</f>
        <v>40487.666828703703</v>
      </c>
      <c r="C608">
        <v>90</v>
      </c>
      <c r="D608">
        <v>88.569488524999997</v>
      </c>
      <c r="E608">
        <v>60</v>
      </c>
      <c r="F608">
        <v>59.787441254000001</v>
      </c>
      <c r="G608">
        <v>1304.0712891000001</v>
      </c>
      <c r="H608">
        <v>1293.2086182</v>
      </c>
      <c r="I608">
        <v>1403.2191161999999</v>
      </c>
      <c r="J608">
        <v>1385.2105713000001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188.86010999999999</v>
      </c>
      <c r="B609" s="1">
        <f>DATE(2010,11,5) + TIME(20,38,33)</f>
        <v>40487.86010416667</v>
      </c>
      <c r="C609">
        <v>90</v>
      </c>
      <c r="D609">
        <v>88.523216247999997</v>
      </c>
      <c r="E609">
        <v>60</v>
      </c>
      <c r="F609">
        <v>59.813369751000003</v>
      </c>
      <c r="G609">
        <v>1304.0612793</v>
      </c>
      <c r="H609">
        <v>1293.1971435999999</v>
      </c>
      <c r="I609">
        <v>1403.0313721</v>
      </c>
      <c r="J609">
        <v>1385.0378418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189.05518699999999</v>
      </c>
      <c r="B610" s="1">
        <f>DATE(2010,11,6) + TIME(1,19,28)</f>
        <v>40488.055185185185</v>
      </c>
      <c r="C610">
        <v>90</v>
      </c>
      <c r="D610">
        <v>88.476615906000006</v>
      </c>
      <c r="E610">
        <v>60</v>
      </c>
      <c r="F610">
        <v>59.834384917999998</v>
      </c>
      <c r="G610">
        <v>1304.0512695</v>
      </c>
      <c r="H610">
        <v>1293.1856689000001</v>
      </c>
      <c r="I610">
        <v>1402.8502197</v>
      </c>
      <c r="J610">
        <v>1384.8704834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189.252657</v>
      </c>
      <c r="B611" s="1">
        <f>DATE(2010,11,6) + TIME(6,3,49)</f>
        <v>40488.252650462964</v>
      </c>
      <c r="C611">
        <v>90</v>
      </c>
      <c r="D611">
        <v>88.429618834999999</v>
      </c>
      <c r="E611">
        <v>60</v>
      </c>
      <c r="F611">
        <v>59.851448058999999</v>
      </c>
      <c r="G611">
        <v>1304.0411377</v>
      </c>
      <c r="H611">
        <v>1293.1740723</v>
      </c>
      <c r="I611">
        <v>1402.6750488</v>
      </c>
      <c r="J611">
        <v>1384.7078856999999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189.45311599999999</v>
      </c>
      <c r="B612" s="1">
        <f>DATE(2010,11,6) + TIME(10,52,29)</f>
        <v>40488.453113425923</v>
      </c>
      <c r="C612">
        <v>90</v>
      </c>
      <c r="D612">
        <v>88.382118224999999</v>
      </c>
      <c r="E612">
        <v>60</v>
      </c>
      <c r="F612">
        <v>59.865333557</v>
      </c>
      <c r="G612">
        <v>1304.0308838000001</v>
      </c>
      <c r="H612">
        <v>1293.1622314000001</v>
      </c>
      <c r="I612">
        <v>1402.5050048999999</v>
      </c>
      <c r="J612">
        <v>1384.5495605000001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189.657059</v>
      </c>
      <c r="B613" s="1">
        <f>DATE(2010,11,6) + TIME(15,46,9)</f>
        <v>40488.657048611109</v>
      </c>
      <c r="C613">
        <v>90</v>
      </c>
      <c r="D613">
        <v>88.334037781000006</v>
      </c>
      <c r="E613">
        <v>60</v>
      </c>
      <c r="F613">
        <v>59.87664032</v>
      </c>
      <c r="G613">
        <v>1304.0203856999999</v>
      </c>
      <c r="H613">
        <v>1293.1501464999999</v>
      </c>
      <c r="I613">
        <v>1402.3389893000001</v>
      </c>
      <c r="J613">
        <v>1384.3947754000001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189.86475200000001</v>
      </c>
      <c r="B614" s="1">
        <f>DATE(2010,11,6) + TIME(20,45,14)</f>
        <v>40488.864745370367</v>
      </c>
      <c r="C614">
        <v>90</v>
      </c>
      <c r="D614">
        <v>88.285339355000005</v>
      </c>
      <c r="E614">
        <v>60</v>
      </c>
      <c r="F614">
        <v>59.885845183999997</v>
      </c>
      <c r="G614">
        <v>1304.0097656</v>
      </c>
      <c r="H614">
        <v>1293.1379394999999</v>
      </c>
      <c r="I614">
        <v>1402.1766356999999</v>
      </c>
      <c r="J614">
        <v>1384.2427978999999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190.07682600000001</v>
      </c>
      <c r="B615" s="1">
        <f>DATE(2010,11,7) + TIME(1,50,37)</f>
        <v>40489.076817129629</v>
      </c>
      <c r="C615">
        <v>90</v>
      </c>
      <c r="D615">
        <v>88.235923767000003</v>
      </c>
      <c r="E615">
        <v>60</v>
      </c>
      <c r="F615">
        <v>59.893352509000003</v>
      </c>
      <c r="G615">
        <v>1303.9990233999999</v>
      </c>
      <c r="H615">
        <v>1293.1254882999999</v>
      </c>
      <c r="I615">
        <v>1402.0173339999999</v>
      </c>
      <c r="J615">
        <v>1384.0936279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190.293826</v>
      </c>
      <c r="B616" s="1">
        <f>DATE(2010,11,7) + TIME(7,3,6)</f>
        <v>40489.293819444443</v>
      </c>
      <c r="C616">
        <v>90</v>
      </c>
      <c r="D616">
        <v>88.185676575000002</v>
      </c>
      <c r="E616">
        <v>60</v>
      </c>
      <c r="F616">
        <v>59.899475098000003</v>
      </c>
      <c r="G616">
        <v>1303.9879149999999</v>
      </c>
      <c r="H616">
        <v>1293.112793</v>
      </c>
      <c r="I616">
        <v>1401.8605957</v>
      </c>
      <c r="J616">
        <v>1383.9466553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190.51612900000001</v>
      </c>
      <c r="B617" s="1">
        <f>DATE(2010,11,7) + TIME(12,23,13)</f>
        <v>40489.516122685185</v>
      </c>
      <c r="C617">
        <v>90</v>
      </c>
      <c r="D617">
        <v>88.134552002000007</v>
      </c>
      <c r="E617">
        <v>60</v>
      </c>
      <c r="F617">
        <v>59.904472351000003</v>
      </c>
      <c r="G617">
        <v>1303.9765625</v>
      </c>
      <c r="H617">
        <v>1293.0997314000001</v>
      </c>
      <c r="I617">
        <v>1401.7059326000001</v>
      </c>
      <c r="J617">
        <v>1383.8013916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190.74448000000001</v>
      </c>
      <c r="B618" s="1">
        <f>DATE(2010,11,7) + TIME(17,52,3)</f>
        <v>40489.744479166664</v>
      </c>
      <c r="C618">
        <v>90</v>
      </c>
      <c r="D618">
        <v>88.082405089999995</v>
      </c>
      <c r="E618">
        <v>60</v>
      </c>
      <c r="F618">
        <v>59.908557891999997</v>
      </c>
      <c r="G618">
        <v>1303.9649658000001</v>
      </c>
      <c r="H618">
        <v>1293.0863036999999</v>
      </c>
      <c r="I618">
        <v>1401.5531006000001</v>
      </c>
      <c r="J618">
        <v>1383.6578368999999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190.97927100000001</v>
      </c>
      <c r="B619" s="1">
        <f>DATE(2010,11,7) + TIME(23,30,8)</f>
        <v>40489.979259259257</v>
      </c>
      <c r="C619">
        <v>90</v>
      </c>
      <c r="D619">
        <v>88.029174804999997</v>
      </c>
      <c r="E619">
        <v>60</v>
      </c>
      <c r="F619">
        <v>59.911899566999999</v>
      </c>
      <c r="G619">
        <v>1303.9530029</v>
      </c>
      <c r="H619">
        <v>1293.0725098</v>
      </c>
      <c r="I619">
        <v>1401.4014893000001</v>
      </c>
      <c r="J619">
        <v>1383.5152588000001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191.22125600000001</v>
      </c>
      <c r="B620" s="1">
        <f>DATE(2010,11,8) + TIME(5,18,36)</f>
        <v>40490.221250000002</v>
      </c>
      <c r="C620">
        <v>90</v>
      </c>
      <c r="D620">
        <v>87.974723815999994</v>
      </c>
      <c r="E620">
        <v>60</v>
      </c>
      <c r="F620">
        <v>59.914638519</v>
      </c>
      <c r="G620">
        <v>1303.9406738</v>
      </c>
      <c r="H620">
        <v>1293.0583495999999</v>
      </c>
      <c r="I620">
        <v>1401.2508545000001</v>
      </c>
      <c r="J620">
        <v>1383.3736572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191.47104899999999</v>
      </c>
      <c r="B621" s="1">
        <f>DATE(2010,11,8) + TIME(11,18,18)</f>
        <v>40490.471041666664</v>
      </c>
      <c r="C621">
        <v>90</v>
      </c>
      <c r="D621">
        <v>87.918937682999996</v>
      </c>
      <c r="E621">
        <v>60</v>
      </c>
      <c r="F621">
        <v>59.916885376000003</v>
      </c>
      <c r="G621">
        <v>1303.9279785000001</v>
      </c>
      <c r="H621">
        <v>1293.0437012</v>
      </c>
      <c r="I621">
        <v>1401.1010742000001</v>
      </c>
      <c r="J621">
        <v>1383.2327881000001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191.72953100000001</v>
      </c>
      <c r="B622" s="1">
        <f>DATE(2010,11,8) + TIME(17,30,31)</f>
        <v>40490.729525462964</v>
      </c>
      <c r="C622">
        <v>90</v>
      </c>
      <c r="D622">
        <v>87.861679077000005</v>
      </c>
      <c r="E622">
        <v>60</v>
      </c>
      <c r="F622">
        <v>59.918735503999997</v>
      </c>
      <c r="G622">
        <v>1303.9147949000001</v>
      </c>
      <c r="H622">
        <v>1293.0285644999999</v>
      </c>
      <c r="I622">
        <v>1400.9515381000001</v>
      </c>
      <c r="J622">
        <v>1383.0921631000001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191.997828</v>
      </c>
      <c r="B623" s="1">
        <f>DATE(2010,11,8) + TIME(23,56,52)</f>
        <v>40490.997824074075</v>
      </c>
      <c r="C623">
        <v>90</v>
      </c>
      <c r="D623">
        <v>87.802749633999994</v>
      </c>
      <c r="E623">
        <v>60</v>
      </c>
      <c r="F623">
        <v>59.920265198000003</v>
      </c>
      <c r="G623">
        <v>1303.9011230000001</v>
      </c>
      <c r="H623">
        <v>1293.0129394999999</v>
      </c>
      <c r="I623">
        <v>1400.802124</v>
      </c>
      <c r="J623">
        <v>1382.9516602000001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192.27722399999999</v>
      </c>
      <c r="B624" s="1">
        <f>DATE(2010,11,9) + TIME(6,39,12)</f>
        <v>40491.277222222219</v>
      </c>
      <c r="C624">
        <v>90</v>
      </c>
      <c r="D624">
        <v>87.741920471</v>
      </c>
      <c r="E624">
        <v>60</v>
      </c>
      <c r="F624">
        <v>59.921539307000003</v>
      </c>
      <c r="G624">
        <v>1303.8869629000001</v>
      </c>
      <c r="H624">
        <v>1292.996582</v>
      </c>
      <c r="I624">
        <v>1400.6522216999999</v>
      </c>
      <c r="J624">
        <v>1382.8107910000001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192.56920600000001</v>
      </c>
      <c r="B625" s="1">
        <f>DATE(2010,11,9) + TIME(13,39,39)</f>
        <v>40491.569201388891</v>
      </c>
      <c r="C625">
        <v>90</v>
      </c>
      <c r="D625">
        <v>87.678955078000001</v>
      </c>
      <c r="E625">
        <v>60</v>
      </c>
      <c r="F625">
        <v>59.922599792</v>
      </c>
      <c r="G625">
        <v>1303.8721923999999</v>
      </c>
      <c r="H625">
        <v>1292.9796143000001</v>
      </c>
      <c r="I625">
        <v>1400.5014647999999</v>
      </c>
      <c r="J625">
        <v>1382.6691894999999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192.873761</v>
      </c>
      <c r="B626" s="1">
        <f>DATE(2010,11,9) + TIME(20,58,12)</f>
        <v>40491.873749999999</v>
      </c>
      <c r="C626">
        <v>90</v>
      </c>
      <c r="D626">
        <v>87.613830566000004</v>
      </c>
      <c r="E626">
        <v>60</v>
      </c>
      <c r="F626">
        <v>59.923484801999997</v>
      </c>
      <c r="G626">
        <v>1303.8566894999999</v>
      </c>
      <c r="H626">
        <v>1292.9617920000001</v>
      </c>
      <c r="I626">
        <v>1400.3493652</v>
      </c>
      <c r="J626">
        <v>1382.5263672000001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193.180397</v>
      </c>
      <c r="B627" s="1">
        <f>DATE(2010,11,10) + TIME(4,19,46)</f>
        <v>40492.180393518516</v>
      </c>
      <c r="C627">
        <v>90</v>
      </c>
      <c r="D627">
        <v>87.548179626000007</v>
      </c>
      <c r="E627">
        <v>60</v>
      </c>
      <c r="F627">
        <v>59.924205780000001</v>
      </c>
      <c r="G627">
        <v>1303.8404541</v>
      </c>
      <c r="H627">
        <v>1292.9432373</v>
      </c>
      <c r="I627">
        <v>1400.1961670000001</v>
      </c>
      <c r="J627">
        <v>1382.3824463000001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193.489788</v>
      </c>
      <c r="B628" s="1">
        <f>DATE(2010,11,10) + TIME(11,45,17)</f>
        <v>40492.48978009259</v>
      </c>
      <c r="C628">
        <v>90</v>
      </c>
      <c r="D628">
        <v>87.482040405000006</v>
      </c>
      <c r="E628">
        <v>60</v>
      </c>
      <c r="F628">
        <v>59.924797058000003</v>
      </c>
      <c r="G628">
        <v>1303.8239745999999</v>
      </c>
      <c r="H628">
        <v>1292.9244385</v>
      </c>
      <c r="I628">
        <v>1400.0471190999999</v>
      </c>
      <c r="J628">
        <v>1382.2426757999999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193.80218500000001</v>
      </c>
      <c r="B629" s="1">
        <f>DATE(2010,11,10) + TIME(19,15,8)</f>
        <v>40492.802175925928</v>
      </c>
      <c r="C629">
        <v>90</v>
      </c>
      <c r="D629">
        <v>87.415458678999997</v>
      </c>
      <c r="E629">
        <v>60</v>
      </c>
      <c r="F629">
        <v>59.925289153999998</v>
      </c>
      <c r="G629">
        <v>1303.8073730000001</v>
      </c>
      <c r="H629">
        <v>1292.9053954999999</v>
      </c>
      <c r="I629">
        <v>1399.9019774999999</v>
      </c>
      <c r="J629">
        <v>1382.1065673999999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194.118548</v>
      </c>
      <c r="B630" s="1">
        <f>DATE(2010,11,11) + TIME(2,50,42)</f>
        <v>40493.118541666663</v>
      </c>
      <c r="C630">
        <v>90</v>
      </c>
      <c r="D630">
        <v>87.348358153999996</v>
      </c>
      <c r="E630">
        <v>60</v>
      </c>
      <c r="F630">
        <v>59.925704955999997</v>
      </c>
      <c r="G630">
        <v>1303.7905272999999</v>
      </c>
      <c r="H630">
        <v>1292.8862305</v>
      </c>
      <c r="I630">
        <v>1399.7601318</v>
      </c>
      <c r="J630">
        <v>1381.9736327999999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194.43878799999999</v>
      </c>
      <c r="B631" s="1">
        <f>DATE(2010,11,11) + TIME(10,31,51)</f>
        <v>40493.438784722224</v>
      </c>
      <c r="C631">
        <v>90</v>
      </c>
      <c r="D631">
        <v>87.280784607000001</v>
      </c>
      <c r="E631">
        <v>60</v>
      </c>
      <c r="F631">
        <v>59.926052093999999</v>
      </c>
      <c r="G631">
        <v>1303.7735596</v>
      </c>
      <c r="H631">
        <v>1292.8665771000001</v>
      </c>
      <c r="I631">
        <v>1399.6212158000001</v>
      </c>
      <c r="J631">
        <v>1381.8436279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194.763803</v>
      </c>
      <c r="B632" s="1">
        <f>DATE(2010,11,11) + TIME(18,19,52)</f>
        <v>40493.763796296298</v>
      </c>
      <c r="C632">
        <v>90</v>
      </c>
      <c r="D632">
        <v>87.212638854999994</v>
      </c>
      <c r="E632">
        <v>60</v>
      </c>
      <c r="F632">
        <v>59.926353454999997</v>
      </c>
      <c r="G632">
        <v>1303.7562256000001</v>
      </c>
      <c r="H632">
        <v>1292.8468018000001</v>
      </c>
      <c r="I632">
        <v>1399.4851074000001</v>
      </c>
      <c r="J632">
        <v>1381.7161865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195.09431599999999</v>
      </c>
      <c r="B633" s="1">
        <f>DATE(2010,11,12) + TIME(2,15,48)</f>
        <v>40494.094305555554</v>
      </c>
      <c r="C633">
        <v>90</v>
      </c>
      <c r="D633">
        <v>87.143829346000004</v>
      </c>
      <c r="E633">
        <v>60</v>
      </c>
      <c r="F633">
        <v>59.926609038999999</v>
      </c>
      <c r="G633">
        <v>1303.7386475000001</v>
      </c>
      <c r="H633">
        <v>1292.8265381000001</v>
      </c>
      <c r="I633">
        <v>1399.3513184000001</v>
      </c>
      <c r="J633">
        <v>1381.5909423999999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195.43082000000001</v>
      </c>
      <c r="B634" s="1">
        <f>DATE(2010,11,12) + TIME(10,20,22)</f>
        <v>40494.430810185186</v>
      </c>
      <c r="C634">
        <v>90</v>
      </c>
      <c r="D634">
        <v>87.074279785000002</v>
      </c>
      <c r="E634">
        <v>60</v>
      </c>
      <c r="F634">
        <v>59.926830291999998</v>
      </c>
      <c r="G634">
        <v>1303.7207031</v>
      </c>
      <c r="H634">
        <v>1292.8060303</v>
      </c>
      <c r="I634">
        <v>1399.2194824000001</v>
      </c>
      <c r="J634">
        <v>1381.4676514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195.77439200000001</v>
      </c>
      <c r="B635" s="1">
        <f>DATE(2010,11,12) + TIME(18,35,7)</f>
        <v>40494.774386574078</v>
      </c>
      <c r="C635">
        <v>90</v>
      </c>
      <c r="D635">
        <v>87.003837584999999</v>
      </c>
      <c r="E635">
        <v>60</v>
      </c>
      <c r="F635">
        <v>59.927024840999998</v>
      </c>
      <c r="G635">
        <v>1303.7023925999999</v>
      </c>
      <c r="H635">
        <v>1292.7849120999999</v>
      </c>
      <c r="I635">
        <v>1399.0893555</v>
      </c>
      <c r="J635">
        <v>1381.3460693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196.125653</v>
      </c>
      <c r="B636" s="1">
        <f>DATE(2010,11,13) + TIME(3,0,56)</f>
        <v>40495.125648148147</v>
      </c>
      <c r="C636">
        <v>90</v>
      </c>
      <c r="D636">
        <v>86.932403563999998</v>
      </c>
      <c r="E636">
        <v>60</v>
      </c>
      <c r="F636">
        <v>59.927192687999998</v>
      </c>
      <c r="G636">
        <v>1303.6837158000001</v>
      </c>
      <c r="H636">
        <v>1292.7634277</v>
      </c>
      <c r="I636">
        <v>1398.9605713000001</v>
      </c>
      <c r="J636">
        <v>1381.2258300999999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196.48544200000001</v>
      </c>
      <c r="B637" s="1">
        <f>DATE(2010,11,13) + TIME(11,39,2)</f>
        <v>40495.485439814816</v>
      </c>
      <c r="C637">
        <v>90</v>
      </c>
      <c r="D637">
        <v>86.859848021999994</v>
      </c>
      <c r="E637">
        <v>60</v>
      </c>
      <c r="F637">
        <v>59.927345275999997</v>
      </c>
      <c r="G637">
        <v>1303.6644286999999</v>
      </c>
      <c r="H637">
        <v>1292.7413329999999</v>
      </c>
      <c r="I637">
        <v>1398.8328856999999</v>
      </c>
      <c r="J637">
        <v>1381.1065673999999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196.85496699999999</v>
      </c>
      <c r="B638" s="1">
        <f>DATE(2010,11,13) + TIME(20,31,9)</f>
        <v>40495.85496527778</v>
      </c>
      <c r="C638">
        <v>90</v>
      </c>
      <c r="D638">
        <v>86.785995482999994</v>
      </c>
      <c r="E638">
        <v>60</v>
      </c>
      <c r="F638">
        <v>59.927478790000002</v>
      </c>
      <c r="G638">
        <v>1303.6447754000001</v>
      </c>
      <c r="H638">
        <v>1292.7186279</v>
      </c>
      <c r="I638">
        <v>1398.7060547000001</v>
      </c>
      <c r="J638">
        <v>1380.9881591999999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197.235682</v>
      </c>
      <c r="B639" s="1">
        <f>DATE(2010,11,14) + TIME(5,39,22)</f>
        <v>40496.235671296294</v>
      </c>
      <c r="C639">
        <v>90</v>
      </c>
      <c r="D639">
        <v>86.710617064999994</v>
      </c>
      <c r="E639">
        <v>60</v>
      </c>
      <c r="F639">
        <v>59.927597046000002</v>
      </c>
      <c r="G639">
        <v>1303.6243896000001</v>
      </c>
      <c r="H639">
        <v>1292.6951904</v>
      </c>
      <c r="I639">
        <v>1398.5795897999999</v>
      </c>
      <c r="J639">
        <v>1380.8703613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197.62916899999999</v>
      </c>
      <c r="B640" s="1">
        <f>DATE(2010,11,14) + TIME(15,6,0)</f>
        <v>40496.629166666666</v>
      </c>
      <c r="C640">
        <v>90</v>
      </c>
      <c r="D640">
        <v>86.633476256999998</v>
      </c>
      <c r="E640">
        <v>60</v>
      </c>
      <c r="F640">
        <v>59.927703856999997</v>
      </c>
      <c r="G640">
        <v>1303.6033935999999</v>
      </c>
      <c r="H640">
        <v>1292.6710204999999</v>
      </c>
      <c r="I640">
        <v>1398.4533690999999</v>
      </c>
      <c r="J640">
        <v>1380.7526855000001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198.03720799999999</v>
      </c>
      <c r="B641" s="1">
        <f>DATE(2010,11,15) + TIME(0,53,34)</f>
        <v>40497.037199074075</v>
      </c>
      <c r="C641">
        <v>90</v>
      </c>
      <c r="D641">
        <v>86.554306030000006</v>
      </c>
      <c r="E641">
        <v>60</v>
      </c>
      <c r="F641">
        <v>59.927799225000001</v>
      </c>
      <c r="G641">
        <v>1303.5816649999999</v>
      </c>
      <c r="H641">
        <v>1292.6459961</v>
      </c>
      <c r="I641">
        <v>1398.3267822</v>
      </c>
      <c r="J641">
        <v>1380.6347656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198.45686000000001</v>
      </c>
      <c r="B642" s="1">
        <f>DATE(2010,11,15) + TIME(10,57,52)</f>
        <v>40497.45685185185</v>
      </c>
      <c r="C642">
        <v>90</v>
      </c>
      <c r="D642">
        <v>86.473449707</v>
      </c>
      <c r="E642">
        <v>60</v>
      </c>
      <c r="F642">
        <v>59.927886962999999</v>
      </c>
      <c r="G642">
        <v>1303.5589600000001</v>
      </c>
      <c r="H642">
        <v>1292.6198730000001</v>
      </c>
      <c r="I642">
        <v>1398.1994629000001</v>
      </c>
      <c r="J642">
        <v>1380.5162353999999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198.87911299999999</v>
      </c>
      <c r="B643" s="1">
        <f>DATE(2010,11,15) + TIME(21,5,55)</f>
        <v>40497.879108796296</v>
      </c>
      <c r="C643">
        <v>90</v>
      </c>
      <c r="D643">
        <v>86.392097473000007</v>
      </c>
      <c r="E643">
        <v>60</v>
      </c>
      <c r="F643">
        <v>59.927963257000002</v>
      </c>
      <c r="G643">
        <v>1303.5355225000001</v>
      </c>
      <c r="H643">
        <v>1292.5928954999999</v>
      </c>
      <c r="I643">
        <v>1398.0723877</v>
      </c>
      <c r="J643">
        <v>1380.3980713000001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199.304607</v>
      </c>
      <c r="B644" s="1">
        <f>DATE(2010,11,16) + TIME(7,18,38)</f>
        <v>40498.304606481484</v>
      </c>
      <c r="C644">
        <v>90</v>
      </c>
      <c r="D644">
        <v>86.310363769999995</v>
      </c>
      <c r="E644">
        <v>60</v>
      </c>
      <c r="F644">
        <v>59.928031920999999</v>
      </c>
      <c r="G644">
        <v>1303.5117187999999</v>
      </c>
      <c r="H644">
        <v>1292.5656738</v>
      </c>
      <c r="I644">
        <v>1397.9484863</v>
      </c>
      <c r="J644">
        <v>1380.2828368999999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199.73410799999999</v>
      </c>
      <c r="B645" s="1">
        <f>DATE(2010,11,16) + TIME(17,37,6)</f>
        <v>40498.734097222223</v>
      </c>
      <c r="C645">
        <v>90</v>
      </c>
      <c r="D645">
        <v>86.228286742999998</v>
      </c>
      <c r="E645">
        <v>60</v>
      </c>
      <c r="F645">
        <v>59.928096771</v>
      </c>
      <c r="G645">
        <v>1303.487793</v>
      </c>
      <c r="H645">
        <v>1292.5379639</v>
      </c>
      <c r="I645">
        <v>1397.8272704999999</v>
      </c>
      <c r="J645">
        <v>1380.1701660000001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200.168958</v>
      </c>
      <c r="B646" s="1">
        <f>DATE(2010,11,17) + TIME(4,3,17)</f>
        <v>40499.168946759259</v>
      </c>
      <c r="C646">
        <v>90</v>
      </c>
      <c r="D646">
        <v>86.145759583</v>
      </c>
      <c r="E646">
        <v>60</v>
      </c>
      <c r="F646">
        <v>59.928153991999999</v>
      </c>
      <c r="G646">
        <v>1303.4633789</v>
      </c>
      <c r="H646">
        <v>1292.5098877</v>
      </c>
      <c r="I646">
        <v>1397.7086182</v>
      </c>
      <c r="J646">
        <v>1380.0598144999999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200.609701</v>
      </c>
      <c r="B647" s="1">
        <f>DATE(2010,11,17) + TIME(14,37,58)</f>
        <v>40499.609699074077</v>
      </c>
      <c r="C647">
        <v>90</v>
      </c>
      <c r="D647">
        <v>86.062751770000006</v>
      </c>
      <c r="E647">
        <v>60</v>
      </c>
      <c r="F647">
        <v>59.928207397000001</v>
      </c>
      <c r="G647">
        <v>1303.4387207</v>
      </c>
      <c r="H647">
        <v>1292.4813231999999</v>
      </c>
      <c r="I647">
        <v>1397.5917969</v>
      </c>
      <c r="J647">
        <v>1379.9514160000001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201.057376</v>
      </c>
      <c r="B648" s="1">
        <f>DATE(2010,11,18) + TIME(1,22,37)</f>
        <v>40500.057372685187</v>
      </c>
      <c r="C648">
        <v>90</v>
      </c>
      <c r="D648">
        <v>85.979148864999999</v>
      </c>
      <c r="E648">
        <v>60</v>
      </c>
      <c r="F648">
        <v>59.928256988999998</v>
      </c>
      <c r="G648">
        <v>1303.4134521000001</v>
      </c>
      <c r="H648">
        <v>1292.4522704999999</v>
      </c>
      <c r="I648">
        <v>1397.4768065999999</v>
      </c>
      <c r="J648">
        <v>1379.8447266000001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201.51283699999999</v>
      </c>
      <c r="B649" s="1">
        <f>DATE(2010,11,18) + TIME(12,18,29)</f>
        <v>40500.512835648151</v>
      </c>
      <c r="C649">
        <v>90</v>
      </c>
      <c r="D649">
        <v>85.894828795999999</v>
      </c>
      <c r="E649">
        <v>60</v>
      </c>
      <c r="F649">
        <v>59.928302764999998</v>
      </c>
      <c r="G649">
        <v>1303.3878173999999</v>
      </c>
      <c r="H649">
        <v>1292.4224853999999</v>
      </c>
      <c r="I649">
        <v>1397.3631591999999</v>
      </c>
      <c r="J649">
        <v>1379.7393798999999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201.976992</v>
      </c>
      <c r="B650" s="1">
        <f>DATE(2010,11,18) + TIME(23,26,52)</f>
        <v>40500.976990740739</v>
      </c>
      <c r="C650">
        <v>90</v>
      </c>
      <c r="D650">
        <v>85.809677124000004</v>
      </c>
      <c r="E650">
        <v>60</v>
      </c>
      <c r="F650">
        <v>59.928348540999998</v>
      </c>
      <c r="G650">
        <v>1303.3615723</v>
      </c>
      <c r="H650">
        <v>1292.3920897999999</v>
      </c>
      <c r="I650">
        <v>1397.2508545000001</v>
      </c>
      <c r="J650">
        <v>1379.6352539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202.45061699999999</v>
      </c>
      <c r="B651" s="1">
        <f>DATE(2010,11,19) + TIME(10,48,53)</f>
        <v>40501.450613425928</v>
      </c>
      <c r="C651">
        <v>90</v>
      </c>
      <c r="D651">
        <v>85.723594665999997</v>
      </c>
      <c r="E651">
        <v>60</v>
      </c>
      <c r="F651">
        <v>59.928394318000002</v>
      </c>
      <c r="G651">
        <v>1303.3345947</v>
      </c>
      <c r="H651">
        <v>1292.3608397999999</v>
      </c>
      <c r="I651">
        <v>1397.1395264</v>
      </c>
      <c r="J651">
        <v>1379.5319824000001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202.934899</v>
      </c>
      <c r="B652" s="1">
        <f>DATE(2010,11,19) + TIME(22,26,15)</f>
        <v>40501.934895833336</v>
      </c>
      <c r="C652">
        <v>90</v>
      </c>
      <c r="D652">
        <v>85.636405945000007</v>
      </c>
      <c r="E652">
        <v>60</v>
      </c>
      <c r="F652">
        <v>59.928436279000003</v>
      </c>
      <c r="G652">
        <v>1303.3070068</v>
      </c>
      <c r="H652">
        <v>1292.3288574000001</v>
      </c>
      <c r="I652">
        <v>1397.0290527</v>
      </c>
      <c r="J652">
        <v>1379.4296875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203.431387</v>
      </c>
      <c r="B653" s="1">
        <f>DATE(2010,11,20) + TIME(10,21,11)</f>
        <v>40502.431377314817</v>
      </c>
      <c r="C653">
        <v>90</v>
      </c>
      <c r="D653">
        <v>85.547920227000006</v>
      </c>
      <c r="E653">
        <v>60</v>
      </c>
      <c r="F653">
        <v>59.928482056</v>
      </c>
      <c r="G653">
        <v>1303.2786865</v>
      </c>
      <c r="H653">
        <v>1292.2958983999999</v>
      </c>
      <c r="I653">
        <v>1396.9191894999999</v>
      </c>
      <c r="J653">
        <v>1379.3280029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203.94075100000001</v>
      </c>
      <c r="B654" s="1">
        <f>DATE(2010,11,20) + TIME(22,34,40)</f>
        <v>40502.940740740742</v>
      </c>
      <c r="C654">
        <v>90</v>
      </c>
      <c r="D654">
        <v>85.458030700999998</v>
      </c>
      <c r="E654">
        <v>60</v>
      </c>
      <c r="F654">
        <v>59.928524017000001</v>
      </c>
      <c r="G654">
        <v>1303.2495117000001</v>
      </c>
      <c r="H654">
        <v>1292.2618408000001</v>
      </c>
      <c r="I654">
        <v>1396.8095702999999</v>
      </c>
      <c r="J654">
        <v>1379.2265625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204.46505400000001</v>
      </c>
      <c r="B655" s="1">
        <f>DATE(2010,11,21) + TIME(11,9,40)</f>
        <v>40503.465046296296</v>
      </c>
      <c r="C655">
        <v>90</v>
      </c>
      <c r="D655">
        <v>85.366470336999996</v>
      </c>
      <c r="E655">
        <v>60</v>
      </c>
      <c r="F655">
        <v>59.928565978999998</v>
      </c>
      <c r="G655">
        <v>1303.2192382999999</v>
      </c>
      <c r="H655">
        <v>1292.2268065999999</v>
      </c>
      <c r="I655">
        <v>1396.7001952999999</v>
      </c>
      <c r="J655">
        <v>1379.1253661999999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205.00649200000001</v>
      </c>
      <c r="B656" s="1">
        <f>DATE(2010,11,22) + TIME(0,9,20)</f>
        <v>40504.006481481483</v>
      </c>
      <c r="C656">
        <v>90</v>
      </c>
      <c r="D656">
        <v>85.272979735999996</v>
      </c>
      <c r="E656">
        <v>60</v>
      </c>
      <c r="F656">
        <v>59.928611754999999</v>
      </c>
      <c r="G656">
        <v>1303.1879882999999</v>
      </c>
      <c r="H656">
        <v>1292.1903076000001</v>
      </c>
      <c r="I656">
        <v>1396.5908202999999</v>
      </c>
      <c r="J656">
        <v>1379.0241699000001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205.55715599999999</v>
      </c>
      <c r="B657" s="1">
        <f>DATE(2010,11,22) + TIME(13,22,18)</f>
        <v>40504.557152777779</v>
      </c>
      <c r="C657">
        <v>90</v>
      </c>
      <c r="D657">
        <v>85.178329468000001</v>
      </c>
      <c r="E657">
        <v>60</v>
      </c>
      <c r="F657">
        <v>59.928653717000003</v>
      </c>
      <c r="G657">
        <v>1303.1555175999999</v>
      </c>
      <c r="H657">
        <v>1292.1524658000001</v>
      </c>
      <c r="I657">
        <v>1396.4808350000001</v>
      </c>
      <c r="J657">
        <v>1378.9226074000001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206.11154400000001</v>
      </c>
      <c r="B658" s="1">
        <f>DATE(2010,11,23) + TIME(2,40,37)</f>
        <v>40505.111539351848</v>
      </c>
      <c r="C658">
        <v>90</v>
      </c>
      <c r="D658">
        <v>85.083259583</v>
      </c>
      <c r="E658">
        <v>60</v>
      </c>
      <c r="F658">
        <v>59.928699493000003</v>
      </c>
      <c r="G658">
        <v>1303.1221923999999</v>
      </c>
      <c r="H658">
        <v>1292.1137695</v>
      </c>
      <c r="I658">
        <v>1396.3720702999999</v>
      </c>
      <c r="J658">
        <v>1378.8221435999999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206.67003500000001</v>
      </c>
      <c r="B659" s="1">
        <f>DATE(2010,11,23) + TIME(16,4,51)</f>
        <v>40505.670034722221</v>
      </c>
      <c r="C659">
        <v>90</v>
      </c>
      <c r="D659">
        <v>84.987976074000002</v>
      </c>
      <c r="E659">
        <v>60</v>
      </c>
      <c r="F659">
        <v>59.92874527</v>
      </c>
      <c r="G659">
        <v>1303.0883789</v>
      </c>
      <c r="H659">
        <v>1292.0743408000001</v>
      </c>
      <c r="I659">
        <v>1396.2655029</v>
      </c>
      <c r="J659">
        <v>1378.7237548999999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207.234207</v>
      </c>
      <c r="B660" s="1">
        <f>DATE(2010,11,24) + TIME(5,37,15)</f>
        <v>40506.234201388892</v>
      </c>
      <c r="C660">
        <v>90</v>
      </c>
      <c r="D660">
        <v>84.892395019999995</v>
      </c>
      <c r="E660">
        <v>60</v>
      </c>
      <c r="F660">
        <v>59.928787231000001</v>
      </c>
      <c r="G660">
        <v>1303.0541992000001</v>
      </c>
      <c r="H660">
        <v>1292.0341797000001</v>
      </c>
      <c r="I660">
        <v>1396.1611327999999</v>
      </c>
      <c r="J660">
        <v>1378.6273193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207.805117</v>
      </c>
      <c r="B661" s="1">
        <f>DATE(2010,11,24) + TIME(19,19,22)</f>
        <v>40506.805115740739</v>
      </c>
      <c r="C661">
        <v>90</v>
      </c>
      <c r="D661">
        <v>84.796501160000005</v>
      </c>
      <c r="E661">
        <v>60</v>
      </c>
      <c r="F661">
        <v>59.928833007999998</v>
      </c>
      <c r="G661">
        <v>1303.0194091999999</v>
      </c>
      <c r="H661">
        <v>1291.9934082</v>
      </c>
      <c r="I661">
        <v>1396.0583495999999</v>
      </c>
      <c r="J661">
        <v>1378.5325928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208.383703</v>
      </c>
      <c r="B662" s="1">
        <f>DATE(2010,11,25) + TIME(9,12,31)</f>
        <v>40507.383692129632</v>
      </c>
      <c r="C662">
        <v>90</v>
      </c>
      <c r="D662">
        <v>84.700225829999994</v>
      </c>
      <c r="E662">
        <v>60</v>
      </c>
      <c r="F662">
        <v>59.928878783999998</v>
      </c>
      <c r="G662">
        <v>1302.9838867000001</v>
      </c>
      <c r="H662">
        <v>1291.9517822</v>
      </c>
      <c r="I662">
        <v>1395.9571533000001</v>
      </c>
      <c r="J662">
        <v>1378.4393310999999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208.971237</v>
      </c>
      <c r="B663" s="1">
        <f>DATE(2010,11,25) + TIME(23,18,34)</f>
        <v>40507.971226851849</v>
      </c>
      <c r="C663">
        <v>90</v>
      </c>
      <c r="D663">
        <v>84.603424071999996</v>
      </c>
      <c r="E663">
        <v>60</v>
      </c>
      <c r="F663">
        <v>59.928924561000002</v>
      </c>
      <c r="G663">
        <v>1302.9476318</v>
      </c>
      <c r="H663">
        <v>1291.9091797000001</v>
      </c>
      <c r="I663">
        <v>1395.8572998</v>
      </c>
      <c r="J663">
        <v>1378.347168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209.56852599999999</v>
      </c>
      <c r="B664" s="1">
        <f>DATE(2010,11,26) + TIME(13,38,40)</f>
        <v>40508.568518518521</v>
      </c>
      <c r="C664">
        <v>90</v>
      </c>
      <c r="D664">
        <v>84.505996703999998</v>
      </c>
      <c r="E664">
        <v>60</v>
      </c>
      <c r="F664">
        <v>59.928974152000002</v>
      </c>
      <c r="G664">
        <v>1302.9106445</v>
      </c>
      <c r="H664">
        <v>1291.8654785000001</v>
      </c>
      <c r="I664">
        <v>1395.7584228999999</v>
      </c>
      <c r="J664">
        <v>1378.2561035000001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210.17753200000001</v>
      </c>
      <c r="B665" s="1">
        <f>DATE(2010,11,27) + TIME(4,15,38)</f>
        <v>40509.177523148152</v>
      </c>
      <c r="C665">
        <v>90</v>
      </c>
      <c r="D665">
        <v>84.407730103000006</v>
      </c>
      <c r="E665">
        <v>60</v>
      </c>
      <c r="F665">
        <v>59.929023743000002</v>
      </c>
      <c r="G665">
        <v>1302.8726807</v>
      </c>
      <c r="H665">
        <v>1291.8208007999999</v>
      </c>
      <c r="I665">
        <v>1395.6605225000001</v>
      </c>
      <c r="J665">
        <v>1378.1658935999999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210.80024800000001</v>
      </c>
      <c r="B666" s="1">
        <f>DATE(2010,11,27) + TIME(19,12,21)</f>
        <v>40509.800243055557</v>
      </c>
      <c r="C666">
        <v>90</v>
      </c>
      <c r="D666">
        <v>84.308387756000002</v>
      </c>
      <c r="E666">
        <v>60</v>
      </c>
      <c r="F666">
        <v>59.929073334000002</v>
      </c>
      <c r="G666">
        <v>1302.8337402</v>
      </c>
      <c r="H666">
        <v>1291.7746582</v>
      </c>
      <c r="I666">
        <v>1395.5632324000001</v>
      </c>
      <c r="J666">
        <v>1378.0762939000001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211.43710400000001</v>
      </c>
      <c r="B667" s="1">
        <f>DATE(2010,11,28) + TIME(10,29,25)</f>
        <v>40510.437094907407</v>
      </c>
      <c r="C667">
        <v>90</v>
      </c>
      <c r="D667">
        <v>84.207855225000003</v>
      </c>
      <c r="E667">
        <v>60</v>
      </c>
      <c r="F667">
        <v>59.929126740000001</v>
      </c>
      <c r="G667">
        <v>1302.7935791</v>
      </c>
      <c r="H667">
        <v>1291.7271728999999</v>
      </c>
      <c r="I667">
        <v>1395.4661865</v>
      </c>
      <c r="J667">
        <v>1377.9870605000001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212.09052</v>
      </c>
      <c r="B668" s="1">
        <f>DATE(2010,11,29) + TIME(2,10,20)</f>
        <v>40511.090509259258</v>
      </c>
      <c r="C668">
        <v>90</v>
      </c>
      <c r="D668">
        <v>84.105880737000007</v>
      </c>
      <c r="E668">
        <v>60</v>
      </c>
      <c r="F668">
        <v>59.929183960000003</v>
      </c>
      <c r="G668">
        <v>1302.7520752</v>
      </c>
      <c r="H668">
        <v>1291.6779785000001</v>
      </c>
      <c r="I668">
        <v>1395.3696289</v>
      </c>
      <c r="J668">
        <v>1377.8980713000001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212.76314400000001</v>
      </c>
      <c r="B669" s="1">
        <f>DATE(2010,11,29) + TIME(18,18,55)</f>
        <v>40511.763136574074</v>
      </c>
      <c r="C669">
        <v>90</v>
      </c>
      <c r="D669">
        <v>84.002174377000003</v>
      </c>
      <c r="E669">
        <v>60</v>
      </c>
      <c r="F669">
        <v>59.929241179999998</v>
      </c>
      <c r="G669">
        <v>1302.7092285000001</v>
      </c>
      <c r="H669">
        <v>1291.6270752</v>
      </c>
      <c r="I669">
        <v>1395.2729492000001</v>
      </c>
      <c r="J669">
        <v>1377.8092041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213.450748</v>
      </c>
      <c r="B670" s="1">
        <f>DATE(2010,11,30) + TIME(10,49,4)</f>
        <v>40512.450740740744</v>
      </c>
      <c r="C670">
        <v>90</v>
      </c>
      <c r="D670">
        <v>83.897018433</v>
      </c>
      <c r="E670">
        <v>60</v>
      </c>
      <c r="F670">
        <v>59.929298400999997</v>
      </c>
      <c r="G670">
        <v>1302.6646728999999</v>
      </c>
      <c r="H670">
        <v>1291.5740966999999</v>
      </c>
      <c r="I670">
        <v>1395.1759033000001</v>
      </c>
      <c r="J670">
        <v>1377.7200928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214</v>
      </c>
      <c r="B671" s="1">
        <f>DATE(2010,12,1) + TIME(0,0,0)</f>
        <v>40513</v>
      </c>
      <c r="C671">
        <v>90</v>
      </c>
      <c r="D671">
        <v>83.804840088000006</v>
      </c>
      <c r="E671">
        <v>60</v>
      </c>
      <c r="F671">
        <v>59.929340363000001</v>
      </c>
      <c r="G671">
        <v>1302.6181641000001</v>
      </c>
      <c r="H671">
        <v>1291.5201416</v>
      </c>
      <c r="I671">
        <v>1395.0789795000001</v>
      </c>
      <c r="J671">
        <v>1377.6308594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214.69137900000001</v>
      </c>
      <c r="B672" s="1">
        <f>DATE(2010,12,1) + TIME(16,35,35)</f>
        <v>40513.691377314812</v>
      </c>
      <c r="C672">
        <v>90</v>
      </c>
      <c r="D672">
        <v>83.703117371000005</v>
      </c>
      <c r="E672">
        <v>60</v>
      </c>
      <c r="F672">
        <v>59.929401398000003</v>
      </c>
      <c r="G672">
        <v>1302.5814209</v>
      </c>
      <c r="H672">
        <v>1291.4744873</v>
      </c>
      <c r="I672">
        <v>1395.0039062000001</v>
      </c>
      <c r="J672">
        <v>1377.5618896000001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215.39370099999999</v>
      </c>
      <c r="B673" s="1">
        <f>DATE(2010,12,2) + TIME(9,26,55)</f>
        <v>40514.393692129626</v>
      </c>
      <c r="C673">
        <v>90</v>
      </c>
      <c r="D673">
        <v>83.599418639999996</v>
      </c>
      <c r="E673">
        <v>60</v>
      </c>
      <c r="F673">
        <v>59.929462432999998</v>
      </c>
      <c r="G673">
        <v>1302.5345459</v>
      </c>
      <c r="H673">
        <v>1291.4185791</v>
      </c>
      <c r="I673">
        <v>1394.9111327999999</v>
      </c>
      <c r="J673">
        <v>1377.4766846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216.103858</v>
      </c>
      <c r="B674" s="1">
        <f>DATE(2010,12,3) + TIME(2,29,33)</f>
        <v>40515.103854166664</v>
      </c>
      <c r="C674">
        <v>90</v>
      </c>
      <c r="D674">
        <v>83.494598389000004</v>
      </c>
      <c r="E674">
        <v>60</v>
      </c>
      <c r="F674">
        <v>59.929527282999999</v>
      </c>
      <c r="G674">
        <v>1302.4863281</v>
      </c>
      <c r="H674">
        <v>1291.3609618999999</v>
      </c>
      <c r="I674">
        <v>1394.8192139</v>
      </c>
      <c r="J674">
        <v>1377.3922118999999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216.82342299999999</v>
      </c>
      <c r="B675" s="1">
        <f>DATE(2010,12,3) + TIME(19,45,43)</f>
        <v>40515.823414351849</v>
      </c>
      <c r="C675">
        <v>90</v>
      </c>
      <c r="D675">
        <v>83.388954162999994</v>
      </c>
      <c r="E675">
        <v>60</v>
      </c>
      <c r="F675">
        <v>59.929588318</v>
      </c>
      <c r="G675">
        <v>1302.4370117000001</v>
      </c>
      <c r="H675">
        <v>1291.3018798999999</v>
      </c>
      <c r="I675">
        <v>1394.7285156</v>
      </c>
      <c r="J675">
        <v>1377.3089600000001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217.55351899999999</v>
      </c>
      <c r="B676" s="1">
        <f>DATE(2010,12,4) + TIME(13,17,4)</f>
        <v>40516.553518518522</v>
      </c>
      <c r="C676">
        <v>90</v>
      </c>
      <c r="D676">
        <v>83.282615661999998</v>
      </c>
      <c r="E676">
        <v>60</v>
      </c>
      <c r="F676">
        <v>59.929653168000002</v>
      </c>
      <c r="G676">
        <v>1302.3865966999999</v>
      </c>
      <c r="H676">
        <v>1291.2412108999999</v>
      </c>
      <c r="I676">
        <v>1394.6389160000001</v>
      </c>
      <c r="J676">
        <v>1377.2266846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218.29541900000001</v>
      </c>
      <c r="B677" s="1">
        <f>DATE(2010,12,5) + TIME(7,5,24)</f>
        <v>40517.295416666668</v>
      </c>
      <c r="C677">
        <v>90</v>
      </c>
      <c r="D677">
        <v>83.175559997999997</v>
      </c>
      <c r="E677">
        <v>60</v>
      </c>
      <c r="F677">
        <v>59.929718018000003</v>
      </c>
      <c r="G677">
        <v>1302.3349608999999</v>
      </c>
      <c r="H677">
        <v>1291.1789550999999</v>
      </c>
      <c r="I677">
        <v>1394.5501709</v>
      </c>
      <c r="J677">
        <v>1377.1452637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219.05077</v>
      </c>
      <c r="B678" s="1">
        <f>DATE(2010,12,6) + TIME(1,13,6)</f>
        <v>40518.050763888888</v>
      </c>
      <c r="C678">
        <v>90</v>
      </c>
      <c r="D678">
        <v>83.067703246999997</v>
      </c>
      <c r="E678">
        <v>60</v>
      </c>
      <c r="F678">
        <v>59.929786682</v>
      </c>
      <c r="G678">
        <v>1302.2818603999999</v>
      </c>
      <c r="H678">
        <v>1291.1148682</v>
      </c>
      <c r="I678">
        <v>1394.4621582</v>
      </c>
      <c r="J678">
        <v>1377.0644531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219.820367</v>
      </c>
      <c r="B679" s="1">
        <f>DATE(2010,12,6) + TIME(19,41,19)</f>
        <v>40518.8203587963</v>
      </c>
      <c r="C679">
        <v>90</v>
      </c>
      <c r="D679">
        <v>82.958961486999996</v>
      </c>
      <c r="E679">
        <v>60</v>
      </c>
      <c r="F679">
        <v>59.929855347</v>
      </c>
      <c r="G679">
        <v>1302.2272949000001</v>
      </c>
      <c r="H679">
        <v>1291.0487060999999</v>
      </c>
      <c r="I679">
        <v>1394.3746338000001</v>
      </c>
      <c r="J679">
        <v>1376.9842529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220.60647499999999</v>
      </c>
      <c r="B680" s="1">
        <f>DATE(2010,12,7) + TIME(14,33,19)</f>
        <v>40519.606469907405</v>
      </c>
      <c r="C680">
        <v>90</v>
      </c>
      <c r="D680">
        <v>82.849159240999995</v>
      </c>
      <c r="E680">
        <v>60</v>
      </c>
      <c r="F680">
        <v>59.929927825999997</v>
      </c>
      <c r="G680">
        <v>1302.1711425999999</v>
      </c>
      <c r="H680">
        <v>1290.9804687999999</v>
      </c>
      <c r="I680">
        <v>1394.2875977000001</v>
      </c>
      <c r="J680">
        <v>1376.9045410000001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221.41202699999999</v>
      </c>
      <c r="B681" s="1">
        <f>DATE(2010,12,8) + TIME(9,53,19)</f>
        <v>40520.41202546296</v>
      </c>
      <c r="C681">
        <v>90</v>
      </c>
      <c r="D681">
        <v>82.738014221</v>
      </c>
      <c r="E681">
        <v>60</v>
      </c>
      <c r="F681">
        <v>59.930000305</v>
      </c>
      <c r="G681">
        <v>1302.1130370999999</v>
      </c>
      <c r="H681">
        <v>1290.9099120999999</v>
      </c>
      <c r="I681">
        <v>1394.2008057</v>
      </c>
      <c r="J681">
        <v>1376.8249512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222.23692800000001</v>
      </c>
      <c r="B682" s="1">
        <f>DATE(2010,12,9) + TIME(5,41,10)</f>
        <v>40521.236921296295</v>
      </c>
      <c r="C682">
        <v>90</v>
      </c>
      <c r="D682">
        <v>82.625450134000005</v>
      </c>
      <c r="E682">
        <v>60</v>
      </c>
      <c r="F682">
        <v>59.930076599000003</v>
      </c>
      <c r="G682">
        <v>1302.0528564000001</v>
      </c>
      <c r="H682">
        <v>1290.8366699000001</v>
      </c>
      <c r="I682">
        <v>1394.1141356999999</v>
      </c>
      <c r="J682">
        <v>1376.7454834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223.065878</v>
      </c>
      <c r="B683" s="1">
        <f>DATE(2010,12,10) + TIME(1,34,51)</f>
        <v>40522.065868055557</v>
      </c>
      <c r="C683">
        <v>90</v>
      </c>
      <c r="D683">
        <v>82.512504578000005</v>
      </c>
      <c r="E683">
        <v>60</v>
      </c>
      <c r="F683">
        <v>59.930152892999999</v>
      </c>
      <c r="G683">
        <v>1301.9906006000001</v>
      </c>
      <c r="H683">
        <v>1290.7606201000001</v>
      </c>
      <c r="I683">
        <v>1394.0273437999999</v>
      </c>
      <c r="J683">
        <v>1376.6660156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223.90016</v>
      </c>
      <c r="B684" s="1">
        <f>DATE(2010,12,10) + TIME(21,36,13)</f>
        <v>40522.900150462963</v>
      </c>
      <c r="C684">
        <v>90</v>
      </c>
      <c r="D684">
        <v>82.399551392000006</v>
      </c>
      <c r="E684">
        <v>60</v>
      </c>
      <c r="F684">
        <v>59.930233002000001</v>
      </c>
      <c r="G684">
        <v>1301.927124</v>
      </c>
      <c r="H684">
        <v>1290.6829834</v>
      </c>
      <c r="I684">
        <v>1393.9421387</v>
      </c>
      <c r="J684">
        <v>1376.5880127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224.742504</v>
      </c>
      <c r="B685" s="1">
        <f>DATE(2010,12,11) + TIME(17,49,12)</f>
        <v>40523.7425</v>
      </c>
      <c r="C685">
        <v>90</v>
      </c>
      <c r="D685">
        <v>82.286605835000003</v>
      </c>
      <c r="E685">
        <v>60</v>
      </c>
      <c r="F685">
        <v>59.930309295999997</v>
      </c>
      <c r="G685">
        <v>1301.8624268000001</v>
      </c>
      <c r="H685">
        <v>1290.6036377</v>
      </c>
      <c r="I685">
        <v>1393.8585204999999</v>
      </c>
      <c r="J685">
        <v>1376.5114745999999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225.59354300000001</v>
      </c>
      <c r="B686" s="1">
        <f>DATE(2010,12,12) + TIME(14,14,42)</f>
        <v>40524.593541666669</v>
      </c>
      <c r="C686">
        <v>90</v>
      </c>
      <c r="D686">
        <v>82.173637389999996</v>
      </c>
      <c r="E686">
        <v>60</v>
      </c>
      <c r="F686">
        <v>59.930389404000003</v>
      </c>
      <c r="G686">
        <v>1301.7963867000001</v>
      </c>
      <c r="H686">
        <v>1290.5224608999999</v>
      </c>
      <c r="I686">
        <v>1393.776001</v>
      </c>
      <c r="J686">
        <v>1376.4359131000001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226.455637</v>
      </c>
      <c r="B687" s="1">
        <f>DATE(2010,12,13) + TIME(10,56,7)</f>
        <v>40525.455636574072</v>
      </c>
      <c r="C687">
        <v>90</v>
      </c>
      <c r="D687">
        <v>82.060493468999994</v>
      </c>
      <c r="E687">
        <v>60</v>
      </c>
      <c r="F687">
        <v>59.930469512999998</v>
      </c>
      <c r="G687">
        <v>1301.7288818</v>
      </c>
      <c r="H687">
        <v>1290.4392089999999</v>
      </c>
      <c r="I687">
        <v>1393.6945800999999</v>
      </c>
      <c r="J687">
        <v>1376.3613281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227.32944800000001</v>
      </c>
      <c r="B688" s="1">
        <f>DATE(2010,12,14) + TIME(7,54,24)</f>
        <v>40526.329444444447</v>
      </c>
      <c r="C688">
        <v>90</v>
      </c>
      <c r="D688">
        <v>81.947052002000007</v>
      </c>
      <c r="E688">
        <v>60</v>
      </c>
      <c r="F688">
        <v>59.930553435999997</v>
      </c>
      <c r="G688">
        <v>1301.659668</v>
      </c>
      <c r="H688">
        <v>1290.3535156</v>
      </c>
      <c r="I688">
        <v>1393.6140137</v>
      </c>
      <c r="J688">
        <v>1376.2875977000001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228.21752000000001</v>
      </c>
      <c r="B689" s="1">
        <f>DATE(2010,12,15) + TIME(5,13,13)</f>
        <v>40527.217511574076</v>
      </c>
      <c r="C689">
        <v>90</v>
      </c>
      <c r="D689">
        <v>81.833099364999995</v>
      </c>
      <c r="E689">
        <v>60</v>
      </c>
      <c r="F689">
        <v>59.930637359999999</v>
      </c>
      <c r="G689">
        <v>1301.5886230000001</v>
      </c>
      <c r="H689">
        <v>1290.2655029</v>
      </c>
      <c r="I689">
        <v>1393.5341797000001</v>
      </c>
      <c r="J689">
        <v>1376.2145995999999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229.120419</v>
      </c>
      <c r="B690" s="1">
        <f>DATE(2010,12,16) + TIME(2,53,24)</f>
        <v>40528.120416666665</v>
      </c>
      <c r="C690">
        <v>90</v>
      </c>
      <c r="D690">
        <v>81.718505859000004</v>
      </c>
      <c r="E690">
        <v>60</v>
      </c>
      <c r="F690">
        <v>59.930721282999997</v>
      </c>
      <c r="G690">
        <v>1301.5155029</v>
      </c>
      <c r="H690">
        <v>1290.1746826000001</v>
      </c>
      <c r="I690">
        <v>1393.4548339999999</v>
      </c>
      <c r="J690">
        <v>1376.1419678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230.040874</v>
      </c>
      <c r="B691" s="1">
        <f>DATE(2010,12,17) + TIME(0,58,51)</f>
        <v>40529.040868055556</v>
      </c>
      <c r="C691">
        <v>90</v>
      </c>
      <c r="D691">
        <v>81.603050232000001</v>
      </c>
      <c r="E691">
        <v>60</v>
      </c>
      <c r="F691">
        <v>59.930809021000002</v>
      </c>
      <c r="G691">
        <v>1301.4401855000001</v>
      </c>
      <c r="H691">
        <v>1290.0810547000001</v>
      </c>
      <c r="I691">
        <v>1393.3759766000001</v>
      </c>
      <c r="J691">
        <v>1376.0699463000001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230.982156</v>
      </c>
      <c r="B692" s="1">
        <f>DATE(2010,12,17) + TIME(23,34,18)</f>
        <v>40529.982152777775</v>
      </c>
      <c r="C692">
        <v>90</v>
      </c>
      <c r="D692">
        <v>81.486419678000004</v>
      </c>
      <c r="E692">
        <v>60</v>
      </c>
      <c r="F692">
        <v>59.930900573999999</v>
      </c>
      <c r="G692">
        <v>1301.3624268000001</v>
      </c>
      <c r="H692">
        <v>1289.9840088000001</v>
      </c>
      <c r="I692">
        <v>1393.2974853999999</v>
      </c>
      <c r="J692">
        <v>1375.9980469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231.94795199999999</v>
      </c>
      <c r="B693" s="1">
        <f>DATE(2010,12,18) + TIME(22,45,3)</f>
        <v>40530.947951388887</v>
      </c>
      <c r="C693">
        <v>90</v>
      </c>
      <c r="D693">
        <v>81.368278502999999</v>
      </c>
      <c r="E693">
        <v>60</v>
      </c>
      <c r="F693">
        <v>59.930992126</v>
      </c>
      <c r="G693">
        <v>1301.2818603999999</v>
      </c>
      <c r="H693">
        <v>1289.8833007999999</v>
      </c>
      <c r="I693">
        <v>1393.2189940999999</v>
      </c>
      <c r="J693">
        <v>1375.9262695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232.92622299999999</v>
      </c>
      <c r="B694" s="1">
        <f>DATE(2010,12,19) + TIME(22,13,45)</f>
        <v>40531.926215277781</v>
      </c>
      <c r="C694">
        <v>90</v>
      </c>
      <c r="D694">
        <v>81.249137877999999</v>
      </c>
      <c r="E694">
        <v>60</v>
      </c>
      <c r="F694">
        <v>59.931087494000003</v>
      </c>
      <c r="G694">
        <v>1301.1982422000001</v>
      </c>
      <c r="H694">
        <v>1289.7784423999999</v>
      </c>
      <c r="I694">
        <v>1393.1401367000001</v>
      </c>
      <c r="J694">
        <v>1375.8542480000001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233.91074900000001</v>
      </c>
      <c r="B695" s="1">
        <f>DATE(2010,12,20) + TIME(21,51,28)</f>
        <v>40532.910740740743</v>
      </c>
      <c r="C695">
        <v>90</v>
      </c>
      <c r="D695">
        <v>81.129684448000006</v>
      </c>
      <c r="E695">
        <v>60</v>
      </c>
      <c r="F695">
        <v>59.931182861000003</v>
      </c>
      <c r="G695">
        <v>1301.1121826000001</v>
      </c>
      <c r="H695">
        <v>1289.6704102000001</v>
      </c>
      <c r="I695">
        <v>1393.0621338000001</v>
      </c>
      <c r="J695">
        <v>1375.7829589999999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234.90256299999999</v>
      </c>
      <c r="B696" s="1">
        <f>DATE(2010,12,21) + TIME(21,39,41)</f>
        <v>40533.902557870373</v>
      </c>
      <c r="C696">
        <v>90</v>
      </c>
      <c r="D696">
        <v>81.010208129999995</v>
      </c>
      <c r="E696">
        <v>60</v>
      </c>
      <c r="F696">
        <v>59.931278229</v>
      </c>
      <c r="G696">
        <v>1301.0244141000001</v>
      </c>
      <c r="H696">
        <v>1289.5598144999999</v>
      </c>
      <c r="I696">
        <v>1392.9854736</v>
      </c>
      <c r="J696">
        <v>1375.7128906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235.904065</v>
      </c>
      <c r="B697" s="1">
        <f>DATE(2010,12,22) + TIME(21,41,51)</f>
        <v>40534.904062499998</v>
      </c>
      <c r="C697">
        <v>90</v>
      </c>
      <c r="D697">
        <v>80.890693665000001</v>
      </c>
      <c r="E697">
        <v>60</v>
      </c>
      <c r="F697">
        <v>59.931373596</v>
      </c>
      <c r="G697">
        <v>1300.9346923999999</v>
      </c>
      <c r="H697">
        <v>1289.4465332</v>
      </c>
      <c r="I697">
        <v>1392.9099120999999</v>
      </c>
      <c r="J697">
        <v>1375.6437988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236.916866</v>
      </c>
      <c r="B698" s="1">
        <f>DATE(2010,12,23) + TIME(22,0,17)</f>
        <v>40535.916863425926</v>
      </c>
      <c r="C698">
        <v>90</v>
      </c>
      <c r="D698">
        <v>80.771026610999996</v>
      </c>
      <c r="E698">
        <v>60</v>
      </c>
      <c r="F698">
        <v>59.931472778</v>
      </c>
      <c r="G698">
        <v>1300.8427733999999</v>
      </c>
      <c r="H698">
        <v>1289.3302002</v>
      </c>
      <c r="I698">
        <v>1392.8352050999999</v>
      </c>
      <c r="J698">
        <v>1375.5756836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237.94283899999999</v>
      </c>
      <c r="B699" s="1">
        <f>DATE(2010,12,24) + TIME(22,37,41)</f>
        <v>40536.942835648151</v>
      </c>
      <c r="C699">
        <v>90</v>
      </c>
      <c r="D699">
        <v>80.651039123999993</v>
      </c>
      <c r="E699">
        <v>60</v>
      </c>
      <c r="F699">
        <v>59.931571959999999</v>
      </c>
      <c r="G699">
        <v>1300.7486572</v>
      </c>
      <c r="H699">
        <v>1289.2106934000001</v>
      </c>
      <c r="I699">
        <v>1392.7613524999999</v>
      </c>
      <c r="J699">
        <v>1375.5081786999999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238.98440099999999</v>
      </c>
      <c r="B700" s="1">
        <f>DATE(2010,12,25) + TIME(23,37,32)</f>
        <v>40537.984398148146</v>
      </c>
      <c r="C700">
        <v>90</v>
      </c>
      <c r="D700">
        <v>80.530487061000002</v>
      </c>
      <c r="E700">
        <v>60</v>
      </c>
      <c r="F700">
        <v>59.931674956999998</v>
      </c>
      <c r="G700">
        <v>1300.6518555</v>
      </c>
      <c r="H700">
        <v>1289.0876464999999</v>
      </c>
      <c r="I700">
        <v>1392.6881103999999</v>
      </c>
      <c r="J700">
        <v>1375.4412841999999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240.04266200000001</v>
      </c>
      <c r="B701" s="1">
        <f>DATE(2010,12,27) + TIME(1,1,26)</f>
        <v>40539.042662037034</v>
      </c>
      <c r="C701">
        <v>90</v>
      </c>
      <c r="D701">
        <v>80.409179687999995</v>
      </c>
      <c r="E701">
        <v>60</v>
      </c>
      <c r="F701">
        <v>59.931777953999998</v>
      </c>
      <c r="G701">
        <v>1300.5523682</v>
      </c>
      <c r="H701">
        <v>1288.9605713000001</v>
      </c>
      <c r="I701">
        <v>1392.6154785000001</v>
      </c>
      <c r="J701">
        <v>1375.3748779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241.12113199999999</v>
      </c>
      <c r="B702" s="1">
        <f>DATE(2010,12,28) + TIME(2,54,25)</f>
        <v>40540.121122685188</v>
      </c>
      <c r="C702">
        <v>90</v>
      </c>
      <c r="D702">
        <v>80.286849975999999</v>
      </c>
      <c r="E702">
        <v>60</v>
      </c>
      <c r="F702">
        <v>59.931880950999997</v>
      </c>
      <c r="G702">
        <v>1300.449707</v>
      </c>
      <c r="H702">
        <v>1288.8294678</v>
      </c>
      <c r="I702">
        <v>1392.5430908000001</v>
      </c>
      <c r="J702">
        <v>1375.3088379000001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242.22375700000001</v>
      </c>
      <c r="B703" s="1">
        <f>DATE(2010,12,29) + TIME(5,22,12)</f>
        <v>40541.223749999997</v>
      </c>
      <c r="C703">
        <v>90</v>
      </c>
      <c r="D703">
        <v>80.163124084000003</v>
      </c>
      <c r="E703">
        <v>60</v>
      </c>
      <c r="F703">
        <v>59.931987761999999</v>
      </c>
      <c r="G703">
        <v>1300.34375</v>
      </c>
      <c r="H703">
        <v>1288.6936035000001</v>
      </c>
      <c r="I703">
        <v>1392.4710693</v>
      </c>
      <c r="J703">
        <v>1375.2430420000001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243.34913499999999</v>
      </c>
      <c r="B704" s="1">
        <f>DATE(2010,12,30) + TIME(8,22,45)</f>
        <v>40542.349131944444</v>
      </c>
      <c r="C704">
        <v>90</v>
      </c>
      <c r="D704">
        <v>80.037857056000007</v>
      </c>
      <c r="E704">
        <v>60</v>
      </c>
      <c r="F704">
        <v>59.932098388999997</v>
      </c>
      <c r="G704">
        <v>1300.2338867000001</v>
      </c>
      <c r="H704">
        <v>1288.5523682</v>
      </c>
      <c r="I704">
        <v>1392.3989257999999</v>
      </c>
      <c r="J704">
        <v>1375.1772461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244.480119</v>
      </c>
      <c r="B705" s="1">
        <f>DATE(2010,12,31) + TIME(11,31,22)</f>
        <v>40543.480115740742</v>
      </c>
      <c r="C705">
        <v>90</v>
      </c>
      <c r="D705">
        <v>79.911788939999994</v>
      </c>
      <c r="E705">
        <v>60</v>
      </c>
      <c r="F705">
        <v>59.932209014999998</v>
      </c>
      <c r="G705">
        <v>1300.1199951000001</v>
      </c>
      <c r="H705">
        <v>1288.4060059000001</v>
      </c>
      <c r="I705">
        <v>1392.3267822</v>
      </c>
      <c r="J705">
        <v>1375.1114502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245</v>
      </c>
      <c r="B706" s="1">
        <f>DATE(2011,1,1) + TIME(0,0,0)</f>
        <v>40544</v>
      </c>
      <c r="C706">
        <v>90</v>
      </c>
      <c r="D706">
        <v>79.828598021999994</v>
      </c>
      <c r="E706">
        <v>60</v>
      </c>
      <c r="F706">
        <v>59.932250977000002</v>
      </c>
      <c r="G706">
        <v>1300.0063477000001</v>
      </c>
      <c r="H706">
        <v>1288.2657471</v>
      </c>
      <c r="I706">
        <v>1392.2548827999999</v>
      </c>
      <c r="J706">
        <v>1375.0457764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246.13780800000001</v>
      </c>
      <c r="B707" s="1">
        <f>DATE(2011,1,2) + TIME(3,18,26)</f>
        <v>40545.137800925928</v>
      </c>
      <c r="C707">
        <v>90</v>
      </c>
      <c r="D707">
        <v>79.716636657999999</v>
      </c>
      <c r="E707">
        <v>60</v>
      </c>
      <c r="F707">
        <v>59.932369231999999</v>
      </c>
      <c r="G707">
        <v>1299.9461670000001</v>
      </c>
      <c r="H707">
        <v>1288.1788329999999</v>
      </c>
      <c r="I707">
        <v>1392.2237548999999</v>
      </c>
      <c r="J707">
        <v>1375.0173339999999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247.291687</v>
      </c>
      <c r="B708" s="1">
        <f>DATE(2011,1,3) + TIME(7,0,1)</f>
        <v>40546.291678240741</v>
      </c>
      <c r="C708">
        <v>90</v>
      </c>
      <c r="D708">
        <v>79.596199036000002</v>
      </c>
      <c r="E708">
        <v>60</v>
      </c>
      <c r="F708">
        <v>59.932483673</v>
      </c>
      <c r="G708">
        <v>1299.8288574000001</v>
      </c>
      <c r="H708">
        <v>1288.0281981999999</v>
      </c>
      <c r="I708">
        <v>1392.1547852000001</v>
      </c>
      <c r="J708">
        <v>1374.9543457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248.457505</v>
      </c>
      <c r="B709" s="1">
        <f>DATE(2011,1,4) + TIME(10,58,48)</f>
        <v>40547.457499999997</v>
      </c>
      <c r="C709">
        <v>90</v>
      </c>
      <c r="D709">
        <v>79.471611022999994</v>
      </c>
      <c r="E709">
        <v>60</v>
      </c>
      <c r="F709">
        <v>59.932598114000001</v>
      </c>
      <c r="G709">
        <v>1299.7069091999999</v>
      </c>
      <c r="H709">
        <v>1287.8702393000001</v>
      </c>
      <c r="I709">
        <v>1392.0860596</v>
      </c>
      <c r="J709">
        <v>1374.8917236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249.63915800000001</v>
      </c>
      <c r="B710" s="1">
        <f>DATE(2011,1,5) + TIME(15,20,23)</f>
        <v>40548.639155092591</v>
      </c>
      <c r="C710">
        <v>90</v>
      </c>
      <c r="D710">
        <v>79.344642639</v>
      </c>
      <c r="E710">
        <v>60</v>
      </c>
      <c r="F710">
        <v>59.932712555000002</v>
      </c>
      <c r="G710">
        <v>1299.5811768000001</v>
      </c>
      <c r="H710">
        <v>1287.7069091999999</v>
      </c>
      <c r="I710">
        <v>1392.0181885</v>
      </c>
      <c r="J710">
        <v>1374.8297118999999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250.83720299999999</v>
      </c>
      <c r="B711" s="1">
        <f>DATE(2011,1,6) + TIME(20,5,34)</f>
        <v>40549.837199074071</v>
      </c>
      <c r="C711">
        <v>90</v>
      </c>
      <c r="D711">
        <v>79.215957642000006</v>
      </c>
      <c r="E711">
        <v>60</v>
      </c>
      <c r="F711">
        <v>59.932830811000002</v>
      </c>
      <c r="G711">
        <v>1299.4519043</v>
      </c>
      <c r="H711">
        <v>1287.5382079999999</v>
      </c>
      <c r="I711">
        <v>1391.9506836</v>
      </c>
      <c r="J711">
        <v>1374.7681885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252.05463800000001</v>
      </c>
      <c r="B712" s="1">
        <f>DATE(2011,1,8) + TIME(1,18,40)</f>
        <v>40551.054629629631</v>
      </c>
      <c r="C712">
        <v>90</v>
      </c>
      <c r="D712">
        <v>79.085647582999997</v>
      </c>
      <c r="E712">
        <v>60</v>
      </c>
      <c r="F712">
        <v>59.932949065999999</v>
      </c>
      <c r="G712">
        <v>1299.3187256000001</v>
      </c>
      <c r="H712">
        <v>1287.3638916</v>
      </c>
      <c r="I712">
        <v>1391.8836670000001</v>
      </c>
      <c r="J712">
        <v>1374.7070312000001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253.29271800000001</v>
      </c>
      <c r="B713" s="1">
        <f>DATE(2011,1,9) + TIME(7,1,30)</f>
        <v>40552.292708333334</v>
      </c>
      <c r="C713">
        <v>90</v>
      </c>
      <c r="D713">
        <v>78.953613281000003</v>
      </c>
      <c r="E713">
        <v>60</v>
      </c>
      <c r="F713">
        <v>59.933071136000002</v>
      </c>
      <c r="G713">
        <v>1299.1815185999999</v>
      </c>
      <c r="H713">
        <v>1287.1839600000001</v>
      </c>
      <c r="I713">
        <v>1391.8170166</v>
      </c>
      <c r="J713">
        <v>1374.6462402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254.555656</v>
      </c>
      <c r="B714" s="1">
        <f>DATE(2011,1,10) + TIME(13,20,8)</f>
        <v>40553.555648148147</v>
      </c>
      <c r="C714">
        <v>90</v>
      </c>
      <c r="D714">
        <v>78.819557189999998</v>
      </c>
      <c r="E714">
        <v>60</v>
      </c>
      <c r="F714">
        <v>59.933197020999998</v>
      </c>
      <c r="G714">
        <v>1299.0397949000001</v>
      </c>
      <c r="H714">
        <v>1286.9976807</v>
      </c>
      <c r="I714">
        <v>1391.7506103999999</v>
      </c>
      <c r="J714">
        <v>1374.5855713000001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255.838448</v>
      </c>
      <c r="B715" s="1">
        <f>DATE(2011,1,11) + TIME(20,7,21)</f>
        <v>40554.838437500002</v>
      </c>
      <c r="C715">
        <v>90</v>
      </c>
      <c r="D715">
        <v>78.683441161999994</v>
      </c>
      <c r="E715">
        <v>60</v>
      </c>
      <c r="F715">
        <v>59.933319091999998</v>
      </c>
      <c r="G715">
        <v>1298.8933105000001</v>
      </c>
      <c r="H715">
        <v>1286.8045654</v>
      </c>
      <c r="I715">
        <v>1391.6842041</v>
      </c>
      <c r="J715">
        <v>1374.5250243999999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257.12791399999998</v>
      </c>
      <c r="B716" s="1">
        <f>DATE(2011,1,13) + TIME(3,4,11)</f>
        <v>40556.127905092595</v>
      </c>
      <c r="C716">
        <v>90</v>
      </c>
      <c r="D716">
        <v>78.545829772999994</v>
      </c>
      <c r="E716">
        <v>60</v>
      </c>
      <c r="F716">
        <v>59.933444977000001</v>
      </c>
      <c r="G716">
        <v>1298.7423096</v>
      </c>
      <c r="H716">
        <v>1286.6051024999999</v>
      </c>
      <c r="I716">
        <v>1391.6180420000001</v>
      </c>
      <c r="J716">
        <v>1374.4647216999999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258.42752100000001</v>
      </c>
      <c r="B717" s="1">
        <f>DATE(2011,1,14) + TIME(10,15,37)</f>
        <v>40557.427511574075</v>
      </c>
      <c r="C717">
        <v>90</v>
      </c>
      <c r="D717">
        <v>78.407035828000005</v>
      </c>
      <c r="E717">
        <v>60</v>
      </c>
      <c r="F717">
        <v>59.933570862000003</v>
      </c>
      <c r="G717">
        <v>1298.5881348</v>
      </c>
      <c r="H717">
        <v>1286.4007568</v>
      </c>
      <c r="I717">
        <v>1391.5529785000001</v>
      </c>
      <c r="J717">
        <v>1374.4052733999999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259.73741799999999</v>
      </c>
      <c r="B718" s="1">
        <f>DATE(2011,1,15) + TIME(17,41,52)</f>
        <v>40558.737407407411</v>
      </c>
      <c r="C718">
        <v>90</v>
      </c>
      <c r="D718">
        <v>78.267013550000001</v>
      </c>
      <c r="E718">
        <v>60</v>
      </c>
      <c r="F718">
        <v>59.933700561999999</v>
      </c>
      <c r="G718">
        <v>1298.4304199000001</v>
      </c>
      <c r="H718">
        <v>1286.1912841999999</v>
      </c>
      <c r="I718">
        <v>1391.4886475000001</v>
      </c>
      <c r="J718">
        <v>1374.3466797000001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261.06198599999999</v>
      </c>
      <c r="B719" s="1">
        <f>DATE(2011,1,17) + TIME(1,29,15)</f>
        <v>40560.061979166669</v>
      </c>
      <c r="C719">
        <v>90</v>
      </c>
      <c r="D719">
        <v>78.125488281000003</v>
      </c>
      <c r="E719">
        <v>60</v>
      </c>
      <c r="F719">
        <v>59.933830260999997</v>
      </c>
      <c r="G719">
        <v>1298.269043</v>
      </c>
      <c r="H719">
        <v>1285.9765625</v>
      </c>
      <c r="I719">
        <v>1391.4250488</v>
      </c>
      <c r="J719">
        <v>1374.2886963000001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262.403187</v>
      </c>
      <c r="B720" s="1">
        <f>DATE(2011,1,18) + TIME(9,40,35)</f>
        <v>40561.403182870374</v>
      </c>
      <c r="C720">
        <v>90</v>
      </c>
      <c r="D720">
        <v>77.982070922999995</v>
      </c>
      <c r="E720">
        <v>60</v>
      </c>
      <c r="F720">
        <v>59.933959960999999</v>
      </c>
      <c r="G720">
        <v>1298.1037598</v>
      </c>
      <c r="H720">
        <v>1285.7558594</v>
      </c>
      <c r="I720">
        <v>1391.3619385</v>
      </c>
      <c r="J720">
        <v>1374.2312012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263.76353</v>
      </c>
      <c r="B721" s="1">
        <f>DATE(2011,1,19) + TIME(18,19,28)</f>
        <v>40562.763518518521</v>
      </c>
      <c r="C721">
        <v>90</v>
      </c>
      <c r="D721">
        <v>77.836364746000001</v>
      </c>
      <c r="E721">
        <v>60</v>
      </c>
      <c r="F721">
        <v>59.934089661000002</v>
      </c>
      <c r="G721">
        <v>1297.9339600000001</v>
      </c>
      <c r="H721">
        <v>1285.5286865</v>
      </c>
      <c r="I721">
        <v>1391.2993164</v>
      </c>
      <c r="J721">
        <v>1374.1740723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265.14481999999998</v>
      </c>
      <c r="B722" s="1">
        <f>DATE(2011,1,21) + TIME(3,28,32)</f>
        <v>40564.144814814812</v>
      </c>
      <c r="C722">
        <v>90</v>
      </c>
      <c r="D722">
        <v>77.687980651999993</v>
      </c>
      <c r="E722">
        <v>60</v>
      </c>
      <c r="F722">
        <v>59.934223175</v>
      </c>
      <c r="G722">
        <v>1297.7593993999999</v>
      </c>
      <c r="H722">
        <v>1285.2945557</v>
      </c>
      <c r="I722">
        <v>1391.2370605000001</v>
      </c>
      <c r="J722">
        <v>1374.1173096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266.549958</v>
      </c>
      <c r="B723" s="1">
        <f>DATE(2011,1,22) + TIME(13,11,56)</f>
        <v>40565.549953703703</v>
      </c>
      <c r="C723">
        <v>90</v>
      </c>
      <c r="D723">
        <v>77.536468506000006</v>
      </c>
      <c r="E723">
        <v>60</v>
      </c>
      <c r="F723">
        <v>59.934360503999997</v>
      </c>
      <c r="G723">
        <v>1297.5797118999999</v>
      </c>
      <c r="H723">
        <v>1285.0529785000001</v>
      </c>
      <c r="I723">
        <v>1391.1750488</v>
      </c>
      <c r="J723">
        <v>1374.0606689000001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267.98369400000001</v>
      </c>
      <c r="B724" s="1">
        <f>DATE(2011,1,23) + TIME(23,36,31)</f>
        <v>40566.98369212963</v>
      </c>
      <c r="C724">
        <v>90</v>
      </c>
      <c r="D724">
        <v>77.381263732999997</v>
      </c>
      <c r="E724">
        <v>60</v>
      </c>
      <c r="F724">
        <v>59.934497833000002</v>
      </c>
      <c r="G724">
        <v>1297.3944091999999</v>
      </c>
      <c r="H724">
        <v>1284.8032227000001</v>
      </c>
      <c r="I724">
        <v>1391.1130370999999</v>
      </c>
      <c r="J724">
        <v>1374.0041504000001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269.43492099999997</v>
      </c>
      <c r="B725" s="1">
        <f>DATE(2011,1,25) + TIME(10,26,17)</f>
        <v>40568.434918981482</v>
      </c>
      <c r="C725">
        <v>90</v>
      </c>
      <c r="D725">
        <v>77.222312927000004</v>
      </c>
      <c r="E725">
        <v>60</v>
      </c>
      <c r="F725">
        <v>59.934635161999999</v>
      </c>
      <c r="G725">
        <v>1297.2028809000001</v>
      </c>
      <c r="H725">
        <v>1284.5445557</v>
      </c>
      <c r="I725">
        <v>1391.0511475000001</v>
      </c>
      <c r="J725">
        <v>1373.9476318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270.89412299999998</v>
      </c>
      <c r="B726" s="1">
        <f>DATE(2011,1,26) + TIME(21,27,32)</f>
        <v>40569.894120370373</v>
      </c>
      <c r="C726">
        <v>90</v>
      </c>
      <c r="D726">
        <v>77.060142517000003</v>
      </c>
      <c r="E726">
        <v>60</v>
      </c>
      <c r="F726">
        <v>59.934776306000003</v>
      </c>
      <c r="G726">
        <v>1297.0062256000001</v>
      </c>
      <c r="H726">
        <v>1284.2784423999999</v>
      </c>
      <c r="I726">
        <v>1390.9895019999999</v>
      </c>
      <c r="J726">
        <v>1373.8914795000001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272.36433399999999</v>
      </c>
      <c r="B727" s="1">
        <f>DATE(2011,1,28) + TIME(8,44,38)</f>
        <v>40571.364328703705</v>
      </c>
      <c r="C727">
        <v>90</v>
      </c>
      <c r="D727">
        <v>76.894966124999996</v>
      </c>
      <c r="E727">
        <v>60</v>
      </c>
      <c r="F727">
        <v>59.93491745</v>
      </c>
      <c r="G727">
        <v>1296.8056641000001</v>
      </c>
      <c r="H727">
        <v>1284.0061035000001</v>
      </c>
      <c r="I727">
        <v>1390.9287108999999</v>
      </c>
      <c r="J727">
        <v>1373.8360596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273.84762599999999</v>
      </c>
      <c r="B728" s="1">
        <f>DATE(2011,1,29) + TIME(20,20,34)</f>
        <v>40572.847615740742</v>
      </c>
      <c r="C728">
        <v>90</v>
      </c>
      <c r="D728">
        <v>76.726539611999996</v>
      </c>
      <c r="E728">
        <v>60</v>
      </c>
      <c r="F728">
        <v>59.935058593999997</v>
      </c>
      <c r="G728">
        <v>1296.6008300999999</v>
      </c>
      <c r="H728">
        <v>1283.7272949000001</v>
      </c>
      <c r="I728">
        <v>1390.8685303</v>
      </c>
      <c r="J728">
        <v>1373.78125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275.34529700000002</v>
      </c>
      <c r="B729" s="1">
        <f>DATE(2011,1,31) + TIME(8,17,13)</f>
        <v>40574.345289351855</v>
      </c>
      <c r="C729">
        <v>90</v>
      </c>
      <c r="D729">
        <v>76.554496764999996</v>
      </c>
      <c r="E729">
        <v>60</v>
      </c>
      <c r="F729">
        <v>59.935199738000001</v>
      </c>
      <c r="G729">
        <v>1296.3914795000001</v>
      </c>
      <c r="H729">
        <v>1283.4415283000001</v>
      </c>
      <c r="I729">
        <v>1390.809082</v>
      </c>
      <c r="J729">
        <v>1373.7269286999999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276</v>
      </c>
      <c r="B730" s="1">
        <f>DATE(2011,2,1) + TIME(0,0,0)</f>
        <v>40575</v>
      </c>
      <c r="C730">
        <v>90</v>
      </c>
      <c r="D730">
        <v>76.434272766000007</v>
      </c>
      <c r="E730">
        <v>60</v>
      </c>
      <c r="F730">
        <v>59.935253142999997</v>
      </c>
      <c r="G730">
        <v>1296.1853027</v>
      </c>
      <c r="H730">
        <v>1283.1712646000001</v>
      </c>
      <c r="I730">
        <v>1390.7487793</v>
      </c>
      <c r="J730">
        <v>1373.671875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277.51707299999998</v>
      </c>
      <c r="B731" s="1">
        <f>DATE(2011,2,2) + TIME(12,24,35)</f>
        <v>40576.517071759263</v>
      </c>
      <c r="C731">
        <v>90</v>
      </c>
      <c r="D731">
        <v>76.284881592000005</v>
      </c>
      <c r="E731">
        <v>60</v>
      </c>
      <c r="F731">
        <v>59.935405731000003</v>
      </c>
      <c r="G731">
        <v>1296.0731201000001</v>
      </c>
      <c r="H731">
        <v>1283.0002440999999</v>
      </c>
      <c r="I731">
        <v>1390.7243652</v>
      </c>
      <c r="J731">
        <v>1373.6496582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279.06523800000002</v>
      </c>
      <c r="B732" s="1">
        <f>DATE(2011,2,4) + TIME(1,33,56)</f>
        <v>40578.06523148148</v>
      </c>
      <c r="C732">
        <v>90</v>
      </c>
      <c r="D732">
        <v>76.112152100000003</v>
      </c>
      <c r="E732">
        <v>60</v>
      </c>
      <c r="F732">
        <v>59.935550689999999</v>
      </c>
      <c r="G732">
        <v>1295.8587646000001</v>
      </c>
      <c r="H732">
        <v>1282.7092285000001</v>
      </c>
      <c r="I732">
        <v>1390.6661377</v>
      </c>
      <c r="J732">
        <v>1373.5965576000001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280.63890800000001</v>
      </c>
      <c r="B733" s="1">
        <f>DATE(2011,2,5) + TIME(15,20,1)</f>
        <v>40579.63890046296</v>
      </c>
      <c r="C733">
        <v>90</v>
      </c>
      <c r="D733">
        <v>75.926795959000003</v>
      </c>
      <c r="E733">
        <v>60</v>
      </c>
      <c r="F733">
        <v>59.935699462999999</v>
      </c>
      <c r="G733">
        <v>1295.6331786999999</v>
      </c>
      <c r="H733">
        <v>1282.3999022999999</v>
      </c>
      <c r="I733">
        <v>1390.6075439000001</v>
      </c>
      <c r="J733">
        <v>1373.5430908000001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282.23959600000001</v>
      </c>
      <c r="B734" s="1">
        <f>DATE(2011,2,7) + TIME(5,45,1)</f>
        <v>40581.239594907405</v>
      </c>
      <c r="C734">
        <v>90</v>
      </c>
      <c r="D734">
        <v>75.732604980000005</v>
      </c>
      <c r="E734">
        <v>60</v>
      </c>
      <c r="F734">
        <v>59.935852050999998</v>
      </c>
      <c r="G734">
        <v>1295.3995361</v>
      </c>
      <c r="H734">
        <v>1282.0778809000001</v>
      </c>
      <c r="I734">
        <v>1390.5490723</v>
      </c>
      <c r="J734">
        <v>1373.4897461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283.85386899999997</v>
      </c>
      <c r="B735" s="1">
        <f>DATE(2011,2,8) + TIME(20,29,34)</f>
        <v>40582.853865740741</v>
      </c>
      <c r="C735">
        <v>90</v>
      </c>
      <c r="D735">
        <v>75.531173706000004</v>
      </c>
      <c r="E735">
        <v>60</v>
      </c>
      <c r="F735">
        <v>59.936000823999997</v>
      </c>
      <c r="G735">
        <v>1295.1586914</v>
      </c>
      <c r="H735">
        <v>1281.7448730000001</v>
      </c>
      <c r="I735">
        <v>1390.4906006000001</v>
      </c>
      <c r="J735">
        <v>1373.4364014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285.47949799999998</v>
      </c>
      <c r="B736" s="1">
        <f>DATE(2011,2,10) + TIME(11,30,28)</f>
        <v>40584.479490740741</v>
      </c>
      <c r="C736">
        <v>90</v>
      </c>
      <c r="D736">
        <v>75.323539733999993</v>
      </c>
      <c r="E736">
        <v>60</v>
      </c>
      <c r="F736">
        <v>59.936153412000003</v>
      </c>
      <c r="G736">
        <v>1294.9124756000001</v>
      </c>
      <c r="H736">
        <v>1281.4034423999999</v>
      </c>
      <c r="I736">
        <v>1390.4326172000001</v>
      </c>
      <c r="J736">
        <v>1373.3835449000001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287.113561</v>
      </c>
      <c r="B737" s="1">
        <f>DATE(2011,2,12) + TIME(2,43,31)</f>
        <v>40586.113553240742</v>
      </c>
      <c r="C737">
        <v>90</v>
      </c>
      <c r="D737">
        <v>75.109954834000007</v>
      </c>
      <c r="E737">
        <v>60</v>
      </c>
      <c r="F737">
        <v>59.936302185000002</v>
      </c>
      <c r="G737">
        <v>1294.6616211</v>
      </c>
      <c r="H737">
        <v>1281.0544434000001</v>
      </c>
      <c r="I737">
        <v>1390.3751221</v>
      </c>
      <c r="J737">
        <v>1373.3310547000001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288.76156900000001</v>
      </c>
      <c r="B738" s="1">
        <f>DATE(2011,2,13) + TIME(18,16,39)</f>
        <v>40587.761562500003</v>
      </c>
      <c r="C738">
        <v>90</v>
      </c>
      <c r="D738">
        <v>74.890090942</v>
      </c>
      <c r="E738">
        <v>60</v>
      </c>
      <c r="F738">
        <v>59.936454773000001</v>
      </c>
      <c r="G738">
        <v>1294.4063721</v>
      </c>
      <c r="H738">
        <v>1280.6984863</v>
      </c>
      <c r="I738">
        <v>1390.3183594</v>
      </c>
      <c r="J738">
        <v>1373.2791748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290.42911700000002</v>
      </c>
      <c r="B739" s="1">
        <f>DATE(2011,2,15) + TIME(10,17,55)</f>
        <v>40589.429108796299</v>
      </c>
      <c r="C739">
        <v>90</v>
      </c>
      <c r="D739">
        <v>74.663078307999996</v>
      </c>
      <c r="E739">
        <v>60</v>
      </c>
      <c r="F739">
        <v>59.936611176</v>
      </c>
      <c r="G739">
        <v>1294.1463623</v>
      </c>
      <c r="H739">
        <v>1280.3347168</v>
      </c>
      <c r="I739">
        <v>1390.2619629000001</v>
      </c>
      <c r="J739">
        <v>1373.2277832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292.11741599999999</v>
      </c>
      <c r="B740" s="1">
        <f>DATE(2011,2,17) + TIME(2,49,4)</f>
        <v>40591.117407407408</v>
      </c>
      <c r="C740">
        <v>90</v>
      </c>
      <c r="D740">
        <v>74.428169249999996</v>
      </c>
      <c r="E740">
        <v>60</v>
      </c>
      <c r="F740">
        <v>59.936763763000002</v>
      </c>
      <c r="G740">
        <v>1293.8806152</v>
      </c>
      <c r="H740">
        <v>1279.9619141000001</v>
      </c>
      <c r="I740">
        <v>1390.2058105000001</v>
      </c>
      <c r="J740">
        <v>1373.1765137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293.82898599999999</v>
      </c>
      <c r="B741" s="1">
        <f>DATE(2011,2,18) + TIME(19,53,44)</f>
        <v>40592.828981481478</v>
      </c>
      <c r="C741">
        <v>90</v>
      </c>
      <c r="D741">
        <v>74.184677124000004</v>
      </c>
      <c r="E741">
        <v>60</v>
      </c>
      <c r="F741">
        <v>59.936920166</v>
      </c>
      <c r="G741">
        <v>1293.6088867000001</v>
      </c>
      <c r="H741">
        <v>1279.5797118999999</v>
      </c>
      <c r="I741">
        <v>1390.1497803</v>
      </c>
      <c r="J741">
        <v>1373.1253661999999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295.56922200000002</v>
      </c>
      <c r="B742" s="1">
        <f>DATE(2011,2,20) + TIME(13,39,40)</f>
        <v>40594.569212962961</v>
      </c>
      <c r="C742">
        <v>90</v>
      </c>
      <c r="D742">
        <v>73.931655883999994</v>
      </c>
      <c r="E742">
        <v>60</v>
      </c>
      <c r="F742">
        <v>59.937080383000001</v>
      </c>
      <c r="G742">
        <v>1293.3306885</v>
      </c>
      <c r="H742">
        <v>1279.1875</v>
      </c>
      <c r="I742">
        <v>1390.0938721</v>
      </c>
      <c r="J742">
        <v>1373.0742187999999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297.33783199999999</v>
      </c>
      <c r="B743" s="1">
        <f>DATE(2011,2,22) + TIME(8,6,28)</f>
        <v>40596.337824074071</v>
      </c>
      <c r="C743">
        <v>90</v>
      </c>
      <c r="D743">
        <v>73.668136597</v>
      </c>
      <c r="E743">
        <v>60</v>
      </c>
      <c r="F743">
        <v>59.937240600999999</v>
      </c>
      <c r="G743">
        <v>1293.0454102000001</v>
      </c>
      <c r="H743">
        <v>1278.7838135</v>
      </c>
      <c r="I743">
        <v>1390.0378418</v>
      </c>
      <c r="J743">
        <v>1373.0230713000001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299.12664899999999</v>
      </c>
      <c r="B744" s="1">
        <f>DATE(2011,2,24) + TIME(3,2,22)</f>
        <v>40598.126643518517</v>
      </c>
      <c r="C744">
        <v>90</v>
      </c>
      <c r="D744">
        <v>73.393836974999999</v>
      </c>
      <c r="E744">
        <v>60</v>
      </c>
      <c r="F744">
        <v>59.937400818</v>
      </c>
      <c r="G744">
        <v>1292.7528076000001</v>
      </c>
      <c r="H744">
        <v>1278.3690185999999</v>
      </c>
      <c r="I744">
        <v>1389.9816894999999</v>
      </c>
      <c r="J744">
        <v>1372.9718018000001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300.92109399999998</v>
      </c>
      <c r="B745" s="1">
        <f>DATE(2011,2,25) + TIME(22,6,22)</f>
        <v>40599.921087962961</v>
      </c>
      <c r="C745">
        <v>90</v>
      </c>
      <c r="D745">
        <v>73.109550475999995</v>
      </c>
      <c r="E745">
        <v>60</v>
      </c>
      <c r="F745">
        <v>59.937561035000002</v>
      </c>
      <c r="G745">
        <v>1292.4542236</v>
      </c>
      <c r="H745">
        <v>1277.9443358999999</v>
      </c>
      <c r="I745">
        <v>1389.9256591999999</v>
      </c>
      <c r="J745">
        <v>1372.9205322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302.72738399999997</v>
      </c>
      <c r="B746" s="1">
        <f>DATE(2011,2,27) + TIME(17,27,25)</f>
        <v>40601.727372685185</v>
      </c>
      <c r="C746">
        <v>90</v>
      </c>
      <c r="D746">
        <v>72.815933228000006</v>
      </c>
      <c r="E746">
        <v>60</v>
      </c>
      <c r="F746">
        <v>59.937725067000002</v>
      </c>
      <c r="G746">
        <v>1292.1517334</v>
      </c>
      <c r="H746">
        <v>1277.5128173999999</v>
      </c>
      <c r="I746">
        <v>1389.8702393000001</v>
      </c>
      <c r="J746">
        <v>1372.8698730000001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304</v>
      </c>
      <c r="B747" s="1">
        <f>DATE(2011,3,1) + TIME(0,0,0)</f>
        <v>40603</v>
      </c>
      <c r="C747">
        <v>90</v>
      </c>
      <c r="D747">
        <v>72.546905518000003</v>
      </c>
      <c r="E747">
        <v>60</v>
      </c>
      <c r="F747">
        <v>59.937831879000001</v>
      </c>
      <c r="G747">
        <v>1291.8492432</v>
      </c>
      <c r="H747">
        <v>1277.0881348</v>
      </c>
      <c r="I747">
        <v>1389.8145752</v>
      </c>
      <c r="J747">
        <v>1372.8189697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305.82439900000003</v>
      </c>
      <c r="B748" s="1">
        <f>DATE(2011,3,2) + TIME(19,47,8)</f>
        <v>40604.82439814815</v>
      </c>
      <c r="C748">
        <v>90</v>
      </c>
      <c r="D748">
        <v>72.276435852000006</v>
      </c>
      <c r="E748">
        <v>60</v>
      </c>
      <c r="F748">
        <v>59.937999724999997</v>
      </c>
      <c r="G748">
        <v>1291.6176757999999</v>
      </c>
      <c r="H748">
        <v>1276.7414550999999</v>
      </c>
      <c r="I748">
        <v>1389.7768555</v>
      </c>
      <c r="J748">
        <v>1372.7844238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307.68389999999999</v>
      </c>
      <c r="B749" s="1">
        <f>DATE(2011,3,4) + TIME(16,24,48)</f>
        <v>40606.683888888889</v>
      </c>
      <c r="C749">
        <v>90</v>
      </c>
      <c r="D749">
        <v>71.966842650999993</v>
      </c>
      <c r="E749">
        <v>60</v>
      </c>
      <c r="F749">
        <v>59.938163756999998</v>
      </c>
      <c r="G749">
        <v>1291.3107910000001</v>
      </c>
      <c r="H749">
        <v>1276.3035889</v>
      </c>
      <c r="I749">
        <v>1389.7224120999999</v>
      </c>
      <c r="J749">
        <v>1372.7346190999999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309.56876</v>
      </c>
      <c r="B750" s="1">
        <f>DATE(2011,3,6) + TIME(13,39,0)</f>
        <v>40608.568749999999</v>
      </c>
      <c r="C750">
        <v>90</v>
      </c>
      <c r="D750">
        <v>71.635543823000006</v>
      </c>
      <c r="E750">
        <v>60</v>
      </c>
      <c r="F750">
        <v>59.938327788999999</v>
      </c>
      <c r="G750">
        <v>1290.9913329999999</v>
      </c>
      <c r="H750">
        <v>1275.8439940999999</v>
      </c>
      <c r="I750">
        <v>1389.6676024999999</v>
      </c>
      <c r="J750">
        <v>1372.6844481999999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311.482372</v>
      </c>
      <c r="B751" s="1">
        <f>DATE(2011,3,8) + TIME(11,34,36)</f>
        <v>40610.482361111113</v>
      </c>
      <c r="C751">
        <v>90</v>
      </c>
      <c r="D751">
        <v>71.288208007999998</v>
      </c>
      <c r="E751">
        <v>60</v>
      </c>
      <c r="F751">
        <v>59.938495635999999</v>
      </c>
      <c r="G751">
        <v>1290.6640625</v>
      </c>
      <c r="H751">
        <v>1275.3703613</v>
      </c>
      <c r="I751">
        <v>1389.612793</v>
      </c>
      <c r="J751">
        <v>1372.6342772999999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313.42679600000002</v>
      </c>
      <c r="B752" s="1">
        <f>DATE(2011,3,10) + TIME(10,14,35)</f>
        <v>40612.426793981482</v>
      </c>
      <c r="C752">
        <v>90</v>
      </c>
      <c r="D752">
        <v>70.925842285000002</v>
      </c>
      <c r="E752">
        <v>60</v>
      </c>
      <c r="F752">
        <v>59.938667297000002</v>
      </c>
      <c r="G752">
        <v>1290.3294678</v>
      </c>
      <c r="H752">
        <v>1274.8843993999999</v>
      </c>
      <c r="I752">
        <v>1389.5576172000001</v>
      </c>
      <c r="J752">
        <v>1372.5837402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315.39313299999998</v>
      </c>
      <c r="B753" s="1">
        <f>DATE(2011,3,12) + TIME(9,26,6)</f>
        <v>40614.393125000002</v>
      </c>
      <c r="C753">
        <v>90</v>
      </c>
      <c r="D753">
        <v>70.548637389999996</v>
      </c>
      <c r="E753">
        <v>60</v>
      </c>
      <c r="F753">
        <v>59.938835144000002</v>
      </c>
      <c r="G753">
        <v>1289.9876709</v>
      </c>
      <c r="H753">
        <v>1274.3864745999999</v>
      </c>
      <c r="I753">
        <v>1389.5023193</v>
      </c>
      <c r="J753">
        <v>1372.5330810999999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317.36608000000001</v>
      </c>
      <c r="B754" s="1">
        <f>DATE(2011,3,14) + TIME(8,47,9)</f>
        <v>40616.366076388891</v>
      </c>
      <c r="C754">
        <v>90</v>
      </c>
      <c r="D754">
        <v>70.158035278</v>
      </c>
      <c r="E754">
        <v>60</v>
      </c>
      <c r="F754">
        <v>59.939006804999998</v>
      </c>
      <c r="G754">
        <v>1289.6402588000001</v>
      </c>
      <c r="H754">
        <v>1273.8787841999999</v>
      </c>
      <c r="I754">
        <v>1389.4468993999999</v>
      </c>
      <c r="J754">
        <v>1372.4821777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319.35280899999998</v>
      </c>
      <c r="B755" s="1">
        <f>DATE(2011,3,16) + TIME(8,28,2)</f>
        <v>40618.352800925924</v>
      </c>
      <c r="C755">
        <v>90</v>
      </c>
      <c r="D755">
        <v>69.755134583</v>
      </c>
      <c r="E755">
        <v>60</v>
      </c>
      <c r="F755">
        <v>59.939174651999998</v>
      </c>
      <c r="G755">
        <v>1289.2899170000001</v>
      </c>
      <c r="H755">
        <v>1273.3645019999999</v>
      </c>
      <c r="I755">
        <v>1389.3919678</v>
      </c>
      <c r="J755">
        <v>1372.4317627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321.36024300000003</v>
      </c>
      <c r="B756" s="1">
        <f>DATE(2011,3,18) + TIME(8,38,44)</f>
        <v>40620.360231481478</v>
      </c>
      <c r="C756">
        <v>90</v>
      </c>
      <c r="D756">
        <v>69.339302063000005</v>
      </c>
      <c r="E756">
        <v>60</v>
      </c>
      <c r="F756">
        <v>59.939346313000001</v>
      </c>
      <c r="G756">
        <v>1288.9359131000001</v>
      </c>
      <c r="H756">
        <v>1272.8428954999999</v>
      </c>
      <c r="I756">
        <v>1389.3370361</v>
      </c>
      <c r="J756">
        <v>1372.3813477000001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323.38832400000001</v>
      </c>
      <c r="B757" s="1">
        <f>DATE(2011,3,20) + TIME(9,19,11)</f>
        <v>40622.388321759259</v>
      </c>
      <c r="C757">
        <v>90</v>
      </c>
      <c r="D757">
        <v>68.909812927000004</v>
      </c>
      <c r="E757">
        <v>60</v>
      </c>
      <c r="F757">
        <v>59.939517975000001</v>
      </c>
      <c r="G757">
        <v>1288.5772704999999</v>
      </c>
      <c r="H757">
        <v>1272.3128661999999</v>
      </c>
      <c r="I757">
        <v>1389.2821045000001</v>
      </c>
      <c r="J757">
        <v>1372.3309326000001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325.43511999999998</v>
      </c>
      <c r="B758" s="1">
        <f>DATE(2011,3,22) + TIME(10,26,34)</f>
        <v>40624.435115740744</v>
      </c>
      <c r="C758">
        <v>90</v>
      </c>
      <c r="D758">
        <v>68.466552734000004</v>
      </c>
      <c r="E758">
        <v>60</v>
      </c>
      <c r="F758">
        <v>59.939689635999997</v>
      </c>
      <c r="G758">
        <v>1288.2143555</v>
      </c>
      <c r="H758">
        <v>1271.7744141000001</v>
      </c>
      <c r="I758">
        <v>1389.2271728999999</v>
      </c>
      <c r="J758">
        <v>1372.2803954999999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327.507633</v>
      </c>
      <c r="B759" s="1">
        <f>DATE(2011,3,24) + TIME(12,10,59)</f>
        <v>40626.507627314815</v>
      </c>
      <c r="C759">
        <v>90</v>
      </c>
      <c r="D759">
        <v>68.009376525999997</v>
      </c>
      <c r="E759">
        <v>60</v>
      </c>
      <c r="F759">
        <v>59.939865112</v>
      </c>
      <c r="G759">
        <v>1287.8474120999999</v>
      </c>
      <c r="H759">
        <v>1271.2280272999999</v>
      </c>
      <c r="I759">
        <v>1389.1721190999999</v>
      </c>
      <c r="J759">
        <v>1372.2297363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329.61267400000003</v>
      </c>
      <c r="B760" s="1">
        <f>DATE(2011,3,26) + TIME(14,42,14)</f>
        <v>40628.612662037034</v>
      </c>
      <c r="C760">
        <v>90</v>
      </c>
      <c r="D760">
        <v>67.537178040000001</v>
      </c>
      <c r="E760">
        <v>60</v>
      </c>
      <c r="F760">
        <v>59.940040588000002</v>
      </c>
      <c r="G760">
        <v>1287.4757079999999</v>
      </c>
      <c r="H760">
        <v>1270.6724853999999</v>
      </c>
      <c r="I760">
        <v>1389.1168213000001</v>
      </c>
      <c r="J760">
        <v>1372.1788329999999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331.74931299999997</v>
      </c>
      <c r="B761" s="1">
        <f>DATE(2011,3,28) + TIME(17,59,0)</f>
        <v>40630.749305555553</v>
      </c>
      <c r="C761">
        <v>90</v>
      </c>
      <c r="D761">
        <v>67.048820496000005</v>
      </c>
      <c r="E761">
        <v>60</v>
      </c>
      <c r="F761">
        <v>59.940216063999998</v>
      </c>
      <c r="G761">
        <v>1287.0983887</v>
      </c>
      <c r="H761">
        <v>1270.1065673999999</v>
      </c>
      <c r="I761">
        <v>1389.0611572</v>
      </c>
      <c r="J761">
        <v>1372.1275635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333.89701500000001</v>
      </c>
      <c r="B762" s="1">
        <f>DATE(2011,3,30) + TIME(21,31,42)</f>
        <v>40632.897013888891</v>
      </c>
      <c r="C762">
        <v>90</v>
      </c>
      <c r="D762">
        <v>66.545463561999995</v>
      </c>
      <c r="E762">
        <v>60</v>
      </c>
      <c r="F762">
        <v>59.940395355</v>
      </c>
      <c r="G762">
        <v>1286.7158202999999</v>
      </c>
      <c r="H762">
        <v>1269.5307617000001</v>
      </c>
      <c r="I762">
        <v>1389.0048827999999</v>
      </c>
      <c r="J762">
        <v>1372.0756836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335</v>
      </c>
      <c r="B763" s="1">
        <f>DATE(2011,4,1) + TIME(0,0,0)</f>
        <v>40634</v>
      </c>
      <c r="C763">
        <v>90</v>
      </c>
      <c r="D763">
        <v>66.129364014000004</v>
      </c>
      <c r="E763">
        <v>60</v>
      </c>
      <c r="F763">
        <v>59.940479279000002</v>
      </c>
      <c r="G763">
        <v>1286.3393555</v>
      </c>
      <c r="H763">
        <v>1268.9887695</v>
      </c>
      <c r="I763">
        <v>1388.9481201000001</v>
      </c>
      <c r="J763">
        <v>1372.0231934000001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337.16422899999998</v>
      </c>
      <c r="B764" s="1">
        <f>DATE(2011,4,3) + TIME(3,56,29)</f>
        <v>40636.164224537039</v>
      </c>
      <c r="C764">
        <v>90</v>
      </c>
      <c r="D764">
        <v>65.723030089999995</v>
      </c>
      <c r="E764">
        <v>60</v>
      </c>
      <c r="F764">
        <v>59.940662383999999</v>
      </c>
      <c r="G764">
        <v>1286.1192627</v>
      </c>
      <c r="H764">
        <v>1268.6147461</v>
      </c>
      <c r="I764">
        <v>1388.9200439000001</v>
      </c>
      <c r="J764">
        <v>1371.9974365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339.35871500000002</v>
      </c>
      <c r="B765" s="1">
        <f>DATE(2011,4,5) + TIME(8,36,32)</f>
        <v>40638.358703703707</v>
      </c>
      <c r="C765">
        <v>90</v>
      </c>
      <c r="D765">
        <v>65.219062804999993</v>
      </c>
      <c r="E765">
        <v>60</v>
      </c>
      <c r="F765">
        <v>59.940837860000002</v>
      </c>
      <c r="G765">
        <v>1285.7451172000001</v>
      </c>
      <c r="H765">
        <v>1268.0550536999999</v>
      </c>
      <c r="I765">
        <v>1388.8641356999999</v>
      </c>
      <c r="J765">
        <v>1371.9456786999999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341.56944099999998</v>
      </c>
      <c r="B766" s="1">
        <f>DATE(2011,4,7) + TIME(13,39,59)</f>
        <v>40640.569432870368</v>
      </c>
      <c r="C766">
        <v>90</v>
      </c>
      <c r="D766">
        <v>64.680717467999997</v>
      </c>
      <c r="E766">
        <v>60</v>
      </c>
      <c r="F766">
        <v>59.941017150999997</v>
      </c>
      <c r="G766">
        <v>1285.3592529</v>
      </c>
      <c r="H766">
        <v>1267.4682617000001</v>
      </c>
      <c r="I766">
        <v>1388.8076172000001</v>
      </c>
      <c r="J766">
        <v>1371.8934326000001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343.80404399999998</v>
      </c>
      <c r="B767" s="1">
        <f>DATE(2011,4,9) + TIME(19,17,49)</f>
        <v>40642.804039351853</v>
      </c>
      <c r="C767">
        <v>90</v>
      </c>
      <c r="D767">
        <v>64.125747681000007</v>
      </c>
      <c r="E767">
        <v>60</v>
      </c>
      <c r="F767">
        <v>59.941196441999999</v>
      </c>
      <c r="G767">
        <v>1284.9699707</v>
      </c>
      <c r="H767">
        <v>1266.8718262</v>
      </c>
      <c r="I767">
        <v>1388.7509766000001</v>
      </c>
      <c r="J767">
        <v>1371.8410644999999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346.07001000000002</v>
      </c>
      <c r="B768" s="1">
        <f>DATE(2011,4,12) + TIME(1,40,48)</f>
        <v>40645.07</v>
      </c>
      <c r="C768">
        <v>90</v>
      </c>
      <c r="D768">
        <v>63.557540893999999</v>
      </c>
      <c r="E768">
        <v>60</v>
      </c>
      <c r="F768">
        <v>59.941379546999997</v>
      </c>
      <c r="G768">
        <v>1284.5782471</v>
      </c>
      <c r="H768">
        <v>1266.2686768000001</v>
      </c>
      <c r="I768">
        <v>1388.6940918</v>
      </c>
      <c r="J768">
        <v>1371.7883300999999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348.36848700000002</v>
      </c>
      <c r="B769" s="1">
        <f>DATE(2011,4,14) + TIME(8,50,37)</f>
        <v>40647.368483796294</v>
      </c>
      <c r="C769">
        <v>90</v>
      </c>
      <c r="D769">
        <v>62.976478577000002</v>
      </c>
      <c r="E769">
        <v>60</v>
      </c>
      <c r="F769">
        <v>59.941558837999999</v>
      </c>
      <c r="G769">
        <v>1284.1839600000001</v>
      </c>
      <c r="H769">
        <v>1265.6590576000001</v>
      </c>
      <c r="I769">
        <v>1388.6365966999999</v>
      </c>
      <c r="J769">
        <v>1371.7349853999999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350.69934499999999</v>
      </c>
      <c r="B770" s="1">
        <f>DATE(2011,4,16) + TIME(16,47,3)</f>
        <v>40649.699340277781</v>
      </c>
      <c r="C770">
        <v>90</v>
      </c>
      <c r="D770">
        <v>62.382881165000001</v>
      </c>
      <c r="E770">
        <v>60</v>
      </c>
      <c r="F770">
        <v>59.941741942999997</v>
      </c>
      <c r="G770">
        <v>1283.7872314000001</v>
      </c>
      <c r="H770">
        <v>1265.0432129000001</v>
      </c>
      <c r="I770">
        <v>1388.5784911999999</v>
      </c>
      <c r="J770">
        <v>1371.6811522999999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353.03488399999998</v>
      </c>
      <c r="B771" s="1">
        <f>DATE(2011,4,19) + TIME(0,50,13)</f>
        <v>40652.034872685188</v>
      </c>
      <c r="C771">
        <v>90</v>
      </c>
      <c r="D771">
        <v>61.779052733999997</v>
      </c>
      <c r="E771">
        <v>60</v>
      </c>
      <c r="F771">
        <v>59.941925048999998</v>
      </c>
      <c r="G771">
        <v>1283.3890381000001</v>
      </c>
      <c r="H771">
        <v>1264.4227295000001</v>
      </c>
      <c r="I771">
        <v>1388.5198975000001</v>
      </c>
      <c r="J771">
        <v>1371.6265868999999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355.39197300000001</v>
      </c>
      <c r="B772" s="1">
        <f>DATE(2011,4,21) + TIME(9,24,26)</f>
        <v>40654.391967592594</v>
      </c>
      <c r="C772">
        <v>90</v>
      </c>
      <c r="D772">
        <v>61.169109343999999</v>
      </c>
      <c r="E772">
        <v>60</v>
      </c>
      <c r="F772">
        <v>59.942108154000003</v>
      </c>
      <c r="G772">
        <v>1282.9937743999999</v>
      </c>
      <c r="H772">
        <v>1263.8037108999999</v>
      </c>
      <c r="I772">
        <v>1388.4613036999999</v>
      </c>
      <c r="J772">
        <v>1371.5721435999999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357.76333299999999</v>
      </c>
      <c r="B773" s="1">
        <f>DATE(2011,4,23) + TIME(18,19,11)</f>
        <v>40656.763321759259</v>
      </c>
      <c r="C773">
        <v>90</v>
      </c>
      <c r="D773">
        <v>60.552974700999997</v>
      </c>
      <c r="E773">
        <v>60</v>
      </c>
      <c r="F773">
        <v>59.942291259999998</v>
      </c>
      <c r="G773">
        <v>1282.6000977000001</v>
      </c>
      <c r="H773">
        <v>1263.1844481999999</v>
      </c>
      <c r="I773">
        <v>1388.4023437999999</v>
      </c>
      <c r="J773">
        <v>1371.5172118999999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360.14855</v>
      </c>
      <c r="B774" s="1">
        <f>DATE(2011,4,26) + TIME(3,33,54)</f>
        <v>40659.148541666669</v>
      </c>
      <c r="C774">
        <v>90</v>
      </c>
      <c r="D774">
        <v>59.932369231999999</v>
      </c>
      <c r="E774">
        <v>60</v>
      </c>
      <c r="F774">
        <v>59.942474365000002</v>
      </c>
      <c r="G774">
        <v>1282.2093506000001</v>
      </c>
      <c r="H774">
        <v>1262.5671387</v>
      </c>
      <c r="I774">
        <v>1388.3432617000001</v>
      </c>
      <c r="J774">
        <v>1371.4621582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362.55751800000002</v>
      </c>
      <c r="B775" s="1">
        <f>DATE(2011,4,28) + TIME(13,22,49)</f>
        <v>40661.557511574072</v>
      </c>
      <c r="C775">
        <v>90</v>
      </c>
      <c r="D775">
        <v>59.307552338000001</v>
      </c>
      <c r="E775">
        <v>60</v>
      </c>
      <c r="F775">
        <v>59.942657470999997</v>
      </c>
      <c r="G775">
        <v>1281.8221435999999</v>
      </c>
      <c r="H775">
        <v>1261.9526367000001</v>
      </c>
      <c r="I775">
        <v>1388.2840576000001</v>
      </c>
      <c r="J775">
        <v>1371.4068603999999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365</v>
      </c>
      <c r="B776" s="1">
        <f>DATE(2011,5,1) + TIME(0,0,0)</f>
        <v>40664</v>
      </c>
      <c r="C776">
        <v>90</v>
      </c>
      <c r="D776">
        <v>58.678070067999997</v>
      </c>
      <c r="E776">
        <v>60</v>
      </c>
      <c r="F776">
        <v>59.942840576000002</v>
      </c>
      <c r="G776">
        <v>1281.4378661999999</v>
      </c>
      <c r="H776">
        <v>1261.3397216999999</v>
      </c>
      <c r="I776">
        <v>1388.2243652</v>
      </c>
      <c r="J776">
        <v>1371.3511963000001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365.000001</v>
      </c>
      <c r="B777" s="1">
        <f>DATE(2011,5,1) + TIME(0,0,0)</f>
        <v>40664</v>
      </c>
      <c r="C777">
        <v>90</v>
      </c>
      <c r="D777">
        <v>58.678253173999998</v>
      </c>
      <c r="E777">
        <v>60</v>
      </c>
      <c r="F777">
        <v>59.942726135000001</v>
      </c>
      <c r="G777">
        <v>1303.3280029</v>
      </c>
      <c r="H777">
        <v>1282.5045166</v>
      </c>
      <c r="I777">
        <v>1370.4776611</v>
      </c>
      <c r="J777">
        <v>1354.4567870999999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365.00000399999999</v>
      </c>
      <c r="B778" s="1">
        <f>DATE(2011,5,1) + TIME(0,0,0)</f>
        <v>40664</v>
      </c>
      <c r="C778">
        <v>90</v>
      </c>
      <c r="D778">
        <v>58.678756714000002</v>
      </c>
      <c r="E778">
        <v>60</v>
      </c>
      <c r="F778">
        <v>59.942424774000003</v>
      </c>
      <c r="G778">
        <v>1305.7414550999999</v>
      </c>
      <c r="H778">
        <v>1285.2841797000001</v>
      </c>
      <c r="I778">
        <v>1368.1890868999999</v>
      </c>
      <c r="J778">
        <v>1352.1669922000001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365.00001300000002</v>
      </c>
      <c r="B779" s="1">
        <f>DATE(2011,5,1) + TIME(0,0,1)</f>
        <v>40664.000011574077</v>
      </c>
      <c r="C779">
        <v>90</v>
      </c>
      <c r="D779">
        <v>58.679939269999998</v>
      </c>
      <c r="E779">
        <v>60</v>
      </c>
      <c r="F779">
        <v>59.941772460999999</v>
      </c>
      <c r="G779">
        <v>1311.1851807</v>
      </c>
      <c r="H779">
        <v>1291.2519531</v>
      </c>
      <c r="I779">
        <v>1363.2374268000001</v>
      </c>
      <c r="J779">
        <v>1347.2139893000001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365.00004000000001</v>
      </c>
      <c r="B780" s="1">
        <f>DATE(2011,5,1) + TIME(0,0,3)</f>
        <v>40664.000034722223</v>
      </c>
      <c r="C780">
        <v>90</v>
      </c>
      <c r="D780">
        <v>58.682380676000001</v>
      </c>
      <c r="E780">
        <v>60</v>
      </c>
      <c r="F780">
        <v>59.940731049</v>
      </c>
      <c r="G780">
        <v>1320.4089355000001</v>
      </c>
      <c r="H780">
        <v>1300.739624</v>
      </c>
      <c r="I780">
        <v>1355.3579102000001</v>
      </c>
      <c r="J780">
        <v>1339.3371582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365.00012099999998</v>
      </c>
      <c r="B781" s="1">
        <f>DATE(2011,5,1) + TIME(0,0,10)</f>
        <v>40664.000115740739</v>
      </c>
      <c r="C781">
        <v>90</v>
      </c>
      <c r="D781">
        <v>58.687488555999998</v>
      </c>
      <c r="E781">
        <v>60</v>
      </c>
      <c r="F781">
        <v>59.939495086999997</v>
      </c>
      <c r="G781">
        <v>1331.8876952999999</v>
      </c>
      <c r="H781">
        <v>1312.0847168</v>
      </c>
      <c r="I781">
        <v>1346.0850829999999</v>
      </c>
      <c r="J781">
        <v>1330.0740966999999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365.00036399999999</v>
      </c>
      <c r="B782" s="1">
        <f>DATE(2011,5,1) + TIME(0,0,31)</f>
        <v>40664.000358796293</v>
      </c>
      <c r="C782">
        <v>90</v>
      </c>
      <c r="D782">
        <v>58.700031281000001</v>
      </c>
      <c r="E782">
        <v>60</v>
      </c>
      <c r="F782">
        <v>59.938190460000001</v>
      </c>
      <c r="G782">
        <v>1343.956543</v>
      </c>
      <c r="H782">
        <v>1323.9393310999999</v>
      </c>
      <c r="I782">
        <v>1336.6354980000001</v>
      </c>
      <c r="J782">
        <v>1320.6416016000001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365.00109300000003</v>
      </c>
      <c r="B783" s="1">
        <f>DATE(2011,5,1) + TIME(0,1,34)</f>
        <v>40664.001087962963</v>
      </c>
      <c r="C783">
        <v>90</v>
      </c>
      <c r="D783">
        <v>58.734920502000001</v>
      </c>
      <c r="E783">
        <v>60</v>
      </c>
      <c r="F783">
        <v>59.936748504999997</v>
      </c>
      <c r="G783">
        <v>1356.4503173999999</v>
      </c>
      <c r="H783">
        <v>1336.2316894999999</v>
      </c>
      <c r="I783">
        <v>1327.1422118999999</v>
      </c>
      <c r="J783">
        <v>1311.1641846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365.00328000000002</v>
      </c>
      <c r="B784" s="1">
        <f>DATE(2011,5,1) + TIME(0,4,43)</f>
        <v>40664.003275462965</v>
      </c>
      <c r="C784">
        <v>90</v>
      </c>
      <c r="D784">
        <v>58.837188720999997</v>
      </c>
      <c r="E784">
        <v>60</v>
      </c>
      <c r="F784">
        <v>59.934867859000001</v>
      </c>
      <c r="G784">
        <v>1369.7769774999999</v>
      </c>
      <c r="H784">
        <v>1349.3792725000001</v>
      </c>
      <c r="I784">
        <v>1317.2368164</v>
      </c>
      <c r="J784">
        <v>1301.2319336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365.00984099999999</v>
      </c>
      <c r="B785" s="1">
        <f>DATE(2011,5,1) + TIME(0,14,10)</f>
        <v>40664.009837962964</v>
      </c>
      <c r="C785">
        <v>90</v>
      </c>
      <c r="D785">
        <v>59.140350341999998</v>
      </c>
      <c r="E785">
        <v>60</v>
      </c>
      <c r="F785">
        <v>59.931758881</v>
      </c>
      <c r="G785">
        <v>1383.2558594</v>
      </c>
      <c r="H785">
        <v>1362.7684326000001</v>
      </c>
      <c r="I785">
        <v>1306.7454834</v>
      </c>
      <c r="J785">
        <v>1290.6715088000001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365.02865500000001</v>
      </c>
      <c r="B786" s="1">
        <f>DATE(2011,5,1) + TIME(0,41,15)</f>
        <v>40664.028645833336</v>
      </c>
      <c r="C786">
        <v>90</v>
      </c>
      <c r="D786">
        <v>59.986907959</v>
      </c>
      <c r="E786">
        <v>60</v>
      </c>
      <c r="F786">
        <v>59.925697327000002</v>
      </c>
      <c r="G786">
        <v>1393.7058105000001</v>
      </c>
      <c r="H786">
        <v>1373.3680420000001</v>
      </c>
      <c r="I786">
        <v>1297.9609375</v>
      </c>
      <c r="J786">
        <v>1281.8349608999999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365.04795100000001</v>
      </c>
      <c r="B787" s="1">
        <f>DATE(2011,5,1) + TIME(1,9,2)</f>
        <v>40664.047939814816</v>
      </c>
      <c r="C787">
        <v>90</v>
      </c>
      <c r="D787">
        <v>60.831489562999998</v>
      </c>
      <c r="E787">
        <v>60</v>
      </c>
      <c r="F787">
        <v>59.920261383000003</v>
      </c>
      <c r="G787">
        <v>1397.4770507999999</v>
      </c>
      <c r="H787">
        <v>1377.3465576000001</v>
      </c>
      <c r="I787">
        <v>1294.7313231999999</v>
      </c>
      <c r="J787">
        <v>1278.5895995999999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365.06763899999999</v>
      </c>
      <c r="B788" s="1">
        <f>DATE(2011,5,1) + TIME(1,37,23)</f>
        <v>40664.067627314813</v>
      </c>
      <c r="C788">
        <v>90</v>
      </c>
      <c r="D788">
        <v>61.669441223</v>
      </c>
      <c r="E788">
        <v>60</v>
      </c>
      <c r="F788">
        <v>59.915012359999999</v>
      </c>
      <c r="G788">
        <v>1398.9449463000001</v>
      </c>
      <c r="H788">
        <v>1379.0378418</v>
      </c>
      <c r="I788">
        <v>1293.4852295000001</v>
      </c>
      <c r="J788">
        <v>1277.3375243999999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365.08768900000001</v>
      </c>
      <c r="B789" s="1">
        <f>DATE(2011,5,1) + TIME(2,6,16)</f>
        <v>40664.087685185186</v>
      </c>
      <c r="C789">
        <v>90</v>
      </c>
      <c r="D789">
        <v>62.498703003000003</v>
      </c>
      <c r="E789">
        <v>60</v>
      </c>
      <c r="F789">
        <v>59.909812926999997</v>
      </c>
      <c r="G789">
        <v>1399.4741211</v>
      </c>
      <c r="H789">
        <v>1379.7902832</v>
      </c>
      <c r="I789">
        <v>1293.0218506000001</v>
      </c>
      <c r="J789">
        <v>1276.8714600000001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365.10810600000002</v>
      </c>
      <c r="B790" s="1">
        <f>DATE(2011,5,1) + TIME(2,35,40)</f>
        <v>40664.108101851853</v>
      </c>
      <c r="C790">
        <v>90</v>
      </c>
      <c r="D790">
        <v>63.318710326999998</v>
      </c>
      <c r="E790">
        <v>60</v>
      </c>
      <c r="F790">
        <v>59.904594420999999</v>
      </c>
      <c r="G790">
        <v>1399.5817870999999</v>
      </c>
      <c r="H790">
        <v>1380.1160889</v>
      </c>
      <c r="I790">
        <v>1292.8723144999999</v>
      </c>
      <c r="J790">
        <v>1276.7207031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365.128896</v>
      </c>
      <c r="B791" s="1">
        <f>DATE(2011,5,1) + TIME(3,5,36)</f>
        <v>40664.128888888888</v>
      </c>
      <c r="C791">
        <v>90</v>
      </c>
      <c r="D791">
        <v>64.129119872999993</v>
      </c>
      <c r="E791">
        <v>60</v>
      </c>
      <c r="F791">
        <v>59.899341583000002</v>
      </c>
      <c r="G791">
        <v>1399.4898682</v>
      </c>
      <c r="H791">
        <v>1380.2359618999999</v>
      </c>
      <c r="I791">
        <v>1292.8436279</v>
      </c>
      <c r="J791">
        <v>1276.6912841999999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365.15007800000001</v>
      </c>
      <c r="B792" s="1">
        <f>DATE(2011,5,1) + TIME(3,36,6)</f>
        <v>40664.150069444448</v>
      </c>
      <c r="C792">
        <v>90</v>
      </c>
      <c r="D792">
        <v>64.930015564000001</v>
      </c>
      <c r="E792">
        <v>60</v>
      </c>
      <c r="F792">
        <v>59.894031525000003</v>
      </c>
      <c r="G792">
        <v>1399.3013916</v>
      </c>
      <c r="H792">
        <v>1380.2524414</v>
      </c>
      <c r="I792">
        <v>1292.8562012</v>
      </c>
      <c r="J792">
        <v>1276.7032471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365.17166800000001</v>
      </c>
      <c r="B793" s="1">
        <f>DATE(2011,5,1) + TIME(4,7,12)</f>
        <v>40664.171666666669</v>
      </c>
      <c r="C793">
        <v>90</v>
      </c>
      <c r="D793">
        <v>65.721542357999994</v>
      </c>
      <c r="E793">
        <v>60</v>
      </c>
      <c r="F793">
        <v>59.888660430999998</v>
      </c>
      <c r="G793">
        <v>1399.0665283000001</v>
      </c>
      <c r="H793">
        <v>1380.2154541</v>
      </c>
      <c r="I793">
        <v>1292.8782959</v>
      </c>
      <c r="J793">
        <v>1276.7248535000001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365.19365399999998</v>
      </c>
      <c r="B794" s="1">
        <f>DATE(2011,5,1) + TIME(4,38,51)</f>
        <v>40664.193645833337</v>
      </c>
      <c r="C794">
        <v>90</v>
      </c>
      <c r="D794">
        <v>66.502464294000006</v>
      </c>
      <c r="E794">
        <v>60</v>
      </c>
      <c r="F794">
        <v>59.883235931000002</v>
      </c>
      <c r="G794">
        <v>1398.8109131000001</v>
      </c>
      <c r="H794">
        <v>1380.1507568</v>
      </c>
      <c r="I794">
        <v>1292.8989257999999</v>
      </c>
      <c r="J794">
        <v>1276.7449951000001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365.21603699999997</v>
      </c>
      <c r="B795" s="1">
        <f>DATE(2011,5,1) + TIME(5,11,5)</f>
        <v>40664.21603009259</v>
      </c>
      <c r="C795">
        <v>90</v>
      </c>
      <c r="D795">
        <v>67.272254943999997</v>
      </c>
      <c r="E795">
        <v>60</v>
      </c>
      <c r="F795">
        <v>59.877754211000003</v>
      </c>
      <c r="G795">
        <v>1398.5479736</v>
      </c>
      <c r="H795">
        <v>1380.0718993999999</v>
      </c>
      <c r="I795">
        <v>1292.9149170000001</v>
      </c>
      <c r="J795">
        <v>1276.7606201000001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365.23883999999998</v>
      </c>
      <c r="B796" s="1">
        <f>DATE(2011,5,1) + TIME(5,43,55)</f>
        <v>40664.23883101852</v>
      </c>
      <c r="C796">
        <v>90</v>
      </c>
      <c r="D796">
        <v>68.031082153</v>
      </c>
      <c r="E796">
        <v>60</v>
      </c>
      <c r="F796">
        <v>59.872207641999999</v>
      </c>
      <c r="G796">
        <v>1398.284668</v>
      </c>
      <c r="H796">
        <v>1379.9859618999999</v>
      </c>
      <c r="I796">
        <v>1292.9265137</v>
      </c>
      <c r="J796">
        <v>1276.7717285000001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365.26208200000002</v>
      </c>
      <c r="B797" s="1">
        <f>DATE(2011,5,1) + TIME(6,17,23)</f>
        <v>40664.262071759258</v>
      </c>
      <c r="C797">
        <v>90</v>
      </c>
      <c r="D797">
        <v>68.778984070000007</v>
      </c>
      <c r="E797">
        <v>60</v>
      </c>
      <c r="F797">
        <v>59.866603851000001</v>
      </c>
      <c r="G797">
        <v>1398.0247803</v>
      </c>
      <c r="H797">
        <v>1379.8970947</v>
      </c>
      <c r="I797">
        <v>1292.9344481999999</v>
      </c>
      <c r="J797">
        <v>1276.7792969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365.28578299999998</v>
      </c>
      <c r="B798" s="1">
        <f>DATE(2011,5,1) + TIME(6,51,31)</f>
        <v>40664.285775462966</v>
      </c>
      <c r="C798">
        <v>90</v>
      </c>
      <c r="D798">
        <v>69.515975952000005</v>
      </c>
      <c r="E798">
        <v>60</v>
      </c>
      <c r="F798">
        <v>59.860927582000002</v>
      </c>
      <c r="G798">
        <v>1397.7703856999999</v>
      </c>
      <c r="H798">
        <v>1379.8076172000001</v>
      </c>
      <c r="I798">
        <v>1292.9396973</v>
      </c>
      <c r="J798">
        <v>1276.7840576000001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365.30995200000001</v>
      </c>
      <c r="B799" s="1">
        <f>DATE(2011,5,1) + TIME(7,26,19)</f>
        <v>40664.309942129628</v>
      </c>
      <c r="C799">
        <v>90</v>
      </c>
      <c r="D799">
        <v>70.241500853999995</v>
      </c>
      <c r="E799">
        <v>60</v>
      </c>
      <c r="F799">
        <v>59.855186461999999</v>
      </c>
      <c r="G799">
        <v>1397.5225829999999</v>
      </c>
      <c r="H799">
        <v>1379.7188721</v>
      </c>
      <c r="I799">
        <v>1292.9431152</v>
      </c>
      <c r="J799">
        <v>1276.7871094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365.334585</v>
      </c>
      <c r="B800" s="1">
        <f>DATE(2011,5,1) + TIME(8,1,48)</f>
        <v>40664.334583333337</v>
      </c>
      <c r="C800">
        <v>90</v>
      </c>
      <c r="D800">
        <v>70.954696655000006</v>
      </c>
      <c r="E800">
        <v>60</v>
      </c>
      <c r="F800">
        <v>59.849376677999999</v>
      </c>
      <c r="G800">
        <v>1397.2823486</v>
      </c>
      <c r="H800">
        <v>1379.6315918</v>
      </c>
      <c r="I800">
        <v>1292.9453125</v>
      </c>
      <c r="J800">
        <v>1276.7889404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365.35970500000002</v>
      </c>
      <c r="B801" s="1">
        <f>DATE(2011,5,1) + TIME(8,37,58)</f>
        <v>40664.359699074077</v>
      </c>
      <c r="C801">
        <v>90</v>
      </c>
      <c r="D801">
        <v>71.655914307000003</v>
      </c>
      <c r="E801">
        <v>60</v>
      </c>
      <c r="F801">
        <v>59.843502045000001</v>
      </c>
      <c r="G801">
        <v>1397.0494385</v>
      </c>
      <c r="H801">
        <v>1379.5462646000001</v>
      </c>
      <c r="I801">
        <v>1292.9467772999999</v>
      </c>
      <c r="J801">
        <v>1276.7897949000001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365.385334</v>
      </c>
      <c r="B802" s="1">
        <f>DATE(2011,5,1) + TIME(9,14,52)</f>
        <v>40664.385324074072</v>
      </c>
      <c r="C802">
        <v>90</v>
      </c>
      <c r="D802">
        <v>72.345191955999994</v>
      </c>
      <c r="E802">
        <v>60</v>
      </c>
      <c r="F802">
        <v>59.837551116999997</v>
      </c>
      <c r="G802">
        <v>1396.8240966999999</v>
      </c>
      <c r="H802">
        <v>1379.4631348</v>
      </c>
      <c r="I802">
        <v>1292.9475098</v>
      </c>
      <c r="J802">
        <v>1276.7901611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365.411496</v>
      </c>
      <c r="B803" s="1">
        <f>DATE(2011,5,1) + TIME(9,52,33)</f>
        <v>40664.411493055559</v>
      </c>
      <c r="C803">
        <v>90</v>
      </c>
      <c r="D803">
        <v>73.022529602000006</v>
      </c>
      <c r="E803">
        <v>60</v>
      </c>
      <c r="F803">
        <v>59.831527710000003</v>
      </c>
      <c r="G803">
        <v>1396.605957</v>
      </c>
      <c r="H803">
        <v>1379.3819579999999</v>
      </c>
      <c r="I803">
        <v>1292.9479980000001</v>
      </c>
      <c r="J803">
        <v>1276.7901611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365.438219</v>
      </c>
      <c r="B804" s="1">
        <f>DATE(2011,5,1) + TIME(10,31,2)</f>
        <v>40664.438217592593</v>
      </c>
      <c r="C804">
        <v>90</v>
      </c>
      <c r="D804">
        <v>73.687919617000006</v>
      </c>
      <c r="E804">
        <v>60</v>
      </c>
      <c r="F804">
        <v>59.825420379999997</v>
      </c>
      <c r="G804">
        <v>1396.3948975000001</v>
      </c>
      <c r="H804">
        <v>1379.3029785000001</v>
      </c>
      <c r="I804">
        <v>1292.9482422000001</v>
      </c>
      <c r="J804">
        <v>1276.7899170000001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365.46552800000001</v>
      </c>
      <c r="B805" s="1">
        <f>DATE(2011,5,1) + TIME(11,10,21)</f>
        <v>40664.465520833335</v>
      </c>
      <c r="C805">
        <v>90</v>
      </c>
      <c r="D805">
        <v>74.341369628999999</v>
      </c>
      <c r="E805">
        <v>60</v>
      </c>
      <c r="F805">
        <v>59.819225310999997</v>
      </c>
      <c r="G805">
        <v>1396.1906738</v>
      </c>
      <c r="H805">
        <v>1379.2260742000001</v>
      </c>
      <c r="I805">
        <v>1292.9482422000001</v>
      </c>
      <c r="J805">
        <v>1276.7894286999999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365.49345499999998</v>
      </c>
      <c r="B806" s="1">
        <f>DATE(2011,5,1) + TIME(11,50,34)</f>
        <v>40664.493449074071</v>
      </c>
      <c r="C806">
        <v>90</v>
      </c>
      <c r="D806">
        <v>74.982849121000001</v>
      </c>
      <c r="E806">
        <v>60</v>
      </c>
      <c r="F806">
        <v>59.812942505000002</v>
      </c>
      <c r="G806">
        <v>1395.9929199000001</v>
      </c>
      <c r="H806">
        <v>1379.1511230000001</v>
      </c>
      <c r="I806">
        <v>1292.9481201000001</v>
      </c>
      <c r="J806">
        <v>1276.7888184000001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365.52202999999997</v>
      </c>
      <c r="B807" s="1">
        <f>DATE(2011,5,1) + TIME(12,31,43)</f>
        <v>40664.52202546296</v>
      </c>
      <c r="C807">
        <v>90</v>
      </c>
      <c r="D807">
        <v>75.611877441000004</v>
      </c>
      <c r="E807">
        <v>60</v>
      </c>
      <c r="F807">
        <v>59.806564330999997</v>
      </c>
      <c r="G807">
        <v>1395.8013916</v>
      </c>
      <c r="H807">
        <v>1379.0778809000001</v>
      </c>
      <c r="I807">
        <v>1292.9479980000001</v>
      </c>
      <c r="J807">
        <v>1276.7882079999999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365.551286</v>
      </c>
      <c r="B808" s="1">
        <f>DATE(2011,5,1) + TIME(13,13,51)</f>
        <v>40664.55128472222</v>
      </c>
      <c r="C808">
        <v>90</v>
      </c>
      <c r="D808">
        <v>76.228858947999996</v>
      </c>
      <c r="E808">
        <v>60</v>
      </c>
      <c r="F808">
        <v>59.800086974999999</v>
      </c>
      <c r="G808">
        <v>1395.6157227000001</v>
      </c>
      <c r="H808">
        <v>1379.0063477000001</v>
      </c>
      <c r="I808">
        <v>1292.9476318</v>
      </c>
      <c r="J808">
        <v>1276.7873535000001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365.58127500000001</v>
      </c>
      <c r="B809" s="1">
        <f>DATE(2011,5,1) + TIME(13,57,2)</f>
        <v>40664.581273148149</v>
      </c>
      <c r="C809">
        <v>90</v>
      </c>
      <c r="D809">
        <v>76.834014893000003</v>
      </c>
      <c r="E809">
        <v>60</v>
      </c>
      <c r="F809">
        <v>59.793495178000001</v>
      </c>
      <c r="G809">
        <v>1395.4356689000001</v>
      </c>
      <c r="H809">
        <v>1378.9365233999999</v>
      </c>
      <c r="I809">
        <v>1292.9472656</v>
      </c>
      <c r="J809">
        <v>1276.786499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365.61202200000002</v>
      </c>
      <c r="B810" s="1">
        <f>DATE(2011,5,1) + TIME(14,41,18)</f>
        <v>40664.612013888887</v>
      </c>
      <c r="C810">
        <v>90</v>
      </c>
      <c r="D810">
        <v>77.427024841000005</v>
      </c>
      <c r="E810">
        <v>60</v>
      </c>
      <c r="F810">
        <v>59.78679657</v>
      </c>
      <c r="G810">
        <v>1395.2609863</v>
      </c>
      <c r="H810">
        <v>1378.8680420000001</v>
      </c>
      <c r="I810">
        <v>1292.9468993999999</v>
      </c>
      <c r="J810">
        <v>1276.7855225000001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365.64356800000002</v>
      </c>
      <c r="B811" s="1">
        <f>DATE(2011,5,1) + TIME(15,26,44)</f>
        <v>40664.643564814818</v>
      </c>
      <c r="C811">
        <v>90</v>
      </c>
      <c r="D811">
        <v>78.007820128999995</v>
      </c>
      <c r="E811">
        <v>60</v>
      </c>
      <c r="F811">
        <v>59.779975890999999</v>
      </c>
      <c r="G811">
        <v>1395.0914307</v>
      </c>
      <c r="H811">
        <v>1378.8009033000001</v>
      </c>
      <c r="I811">
        <v>1292.9464111</v>
      </c>
      <c r="J811">
        <v>1276.7845459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365.67595899999998</v>
      </c>
      <c r="B812" s="1">
        <f>DATE(2011,5,1) + TIME(16,13,22)</f>
        <v>40664.675949074073</v>
      </c>
      <c r="C812">
        <v>90</v>
      </c>
      <c r="D812">
        <v>78.576339722</v>
      </c>
      <c r="E812">
        <v>60</v>
      </c>
      <c r="F812">
        <v>59.773029327000003</v>
      </c>
      <c r="G812">
        <v>1394.9267577999999</v>
      </c>
      <c r="H812">
        <v>1378.7349853999999</v>
      </c>
      <c r="I812">
        <v>1292.9458007999999</v>
      </c>
      <c r="J812">
        <v>1276.7834473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365.70924200000002</v>
      </c>
      <c r="B813" s="1">
        <f>DATE(2011,5,1) + TIME(17,1,18)</f>
        <v>40664.709236111114</v>
      </c>
      <c r="C813">
        <v>90</v>
      </c>
      <c r="D813">
        <v>79.132499695000007</v>
      </c>
      <c r="E813">
        <v>60</v>
      </c>
      <c r="F813">
        <v>59.765945434999999</v>
      </c>
      <c r="G813">
        <v>1394.7666016000001</v>
      </c>
      <c r="H813">
        <v>1378.6701660000001</v>
      </c>
      <c r="I813">
        <v>1292.9451904</v>
      </c>
      <c r="J813">
        <v>1276.7823486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365.743472</v>
      </c>
      <c r="B814" s="1">
        <f>DATE(2011,5,1) + TIME(17,50,35)</f>
        <v>40664.743460648147</v>
      </c>
      <c r="C814">
        <v>90</v>
      </c>
      <c r="D814">
        <v>79.676223754999995</v>
      </c>
      <c r="E814">
        <v>60</v>
      </c>
      <c r="F814">
        <v>59.758724213000001</v>
      </c>
      <c r="G814">
        <v>1394.6109618999999</v>
      </c>
      <c r="H814">
        <v>1378.6063231999999</v>
      </c>
      <c r="I814">
        <v>1292.9445800999999</v>
      </c>
      <c r="J814">
        <v>1276.7811279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365.778704</v>
      </c>
      <c r="B815" s="1">
        <f>DATE(2011,5,1) + TIME(18,41,19)</f>
        <v>40664.778692129628</v>
      </c>
      <c r="C815">
        <v>90</v>
      </c>
      <c r="D815">
        <v>80.207359314000001</v>
      </c>
      <c r="E815">
        <v>60</v>
      </c>
      <c r="F815">
        <v>59.751350403000004</v>
      </c>
      <c r="G815">
        <v>1394.4593506000001</v>
      </c>
      <c r="H815">
        <v>1378.5433350000001</v>
      </c>
      <c r="I815">
        <v>1292.9438477000001</v>
      </c>
      <c r="J815">
        <v>1276.7799072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365.815</v>
      </c>
      <c r="B816" s="1">
        <f>DATE(2011,5,1) + TIME(19,33,35)</f>
        <v>40664.814988425926</v>
      </c>
      <c r="C816">
        <v>90</v>
      </c>
      <c r="D816">
        <v>80.725784301999994</v>
      </c>
      <c r="E816">
        <v>60</v>
      </c>
      <c r="F816">
        <v>59.743812560999999</v>
      </c>
      <c r="G816">
        <v>1394.3116454999999</v>
      </c>
      <c r="H816">
        <v>1378.4810791</v>
      </c>
      <c r="I816">
        <v>1292.9431152</v>
      </c>
      <c r="J816">
        <v>1276.7785644999999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365.85242799999997</v>
      </c>
      <c r="B817" s="1">
        <f>DATE(2011,5,1) + TIME(20,27,29)</f>
        <v>40664.852418981478</v>
      </c>
      <c r="C817">
        <v>90</v>
      </c>
      <c r="D817">
        <v>81.231460571</v>
      </c>
      <c r="E817">
        <v>60</v>
      </c>
      <c r="F817">
        <v>59.736106872999997</v>
      </c>
      <c r="G817">
        <v>1394.1676024999999</v>
      </c>
      <c r="H817">
        <v>1378.4194336</v>
      </c>
      <c r="I817">
        <v>1292.9423827999999</v>
      </c>
      <c r="J817">
        <v>1276.7772216999999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365.89106099999998</v>
      </c>
      <c r="B818" s="1">
        <f>DATE(2011,5,1) + TIME(21,23,7)</f>
        <v>40664.891053240739</v>
      </c>
      <c r="C818">
        <v>90</v>
      </c>
      <c r="D818">
        <v>81.724288939999994</v>
      </c>
      <c r="E818">
        <v>60</v>
      </c>
      <c r="F818">
        <v>59.728218079000001</v>
      </c>
      <c r="G818">
        <v>1394.0269774999999</v>
      </c>
      <c r="H818">
        <v>1378.3582764</v>
      </c>
      <c r="I818">
        <v>1292.9415283000001</v>
      </c>
      <c r="J818">
        <v>1276.7757568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365.93100199999998</v>
      </c>
      <c r="B819" s="1">
        <f>DATE(2011,5,1) + TIME(22,20,38)</f>
        <v>40664.930995370371</v>
      </c>
      <c r="C819">
        <v>90</v>
      </c>
      <c r="D819">
        <v>82.204391478999995</v>
      </c>
      <c r="E819">
        <v>60</v>
      </c>
      <c r="F819">
        <v>59.720130920000003</v>
      </c>
      <c r="G819">
        <v>1393.8896483999999</v>
      </c>
      <c r="H819">
        <v>1378.2974853999999</v>
      </c>
      <c r="I819">
        <v>1292.9405518000001</v>
      </c>
      <c r="J819">
        <v>1276.7742920000001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365.97232700000001</v>
      </c>
      <c r="B820" s="1">
        <f>DATE(2011,5,1) + TIME(23,20,9)</f>
        <v>40664.972326388888</v>
      </c>
      <c r="C820">
        <v>90</v>
      </c>
      <c r="D820">
        <v>82.671470642000003</v>
      </c>
      <c r="E820">
        <v>60</v>
      </c>
      <c r="F820">
        <v>59.711833953999999</v>
      </c>
      <c r="G820">
        <v>1393.755249</v>
      </c>
      <c r="H820">
        <v>1378.2369385</v>
      </c>
      <c r="I820">
        <v>1292.9396973</v>
      </c>
      <c r="J820">
        <v>1276.7727050999999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366.015128</v>
      </c>
      <c r="B821" s="1">
        <f>DATE(2011,5,2) + TIME(0,21,47)</f>
        <v>40665.015127314815</v>
      </c>
      <c r="C821">
        <v>90</v>
      </c>
      <c r="D821">
        <v>83.125328064000001</v>
      </c>
      <c r="E821">
        <v>60</v>
      </c>
      <c r="F821">
        <v>59.703315734999997</v>
      </c>
      <c r="G821">
        <v>1393.6236572</v>
      </c>
      <c r="H821">
        <v>1378.1763916</v>
      </c>
      <c r="I821">
        <v>1292.9387207</v>
      </c>
      <c r="J821">
        <v>1276.7711182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366.05951399999998</v>
      </c>
      <c r="B822" s="1">
        <f>DATE(2011,5,2) + TIME(1,25,41)</f>
        <v>40665.059502314813</v>
      </c>
      <c r="C822">
        <v>90</v>
      </c>
      <c r="D822">
        <v>83.565826415999993</v>
      </c>
      <c r="E822">
        <v>60</v>
      </c>
      <c r="F822">
        <v>59.694553374999998</v>
      </c>
      <c r="G822">
        <v>1393.494751</v>
      </c>
      <c r="H822">
        <v>1378.1159668</v>
      </c>
      <c r="I822">
        <v>1292.9376221</v>
      </c>
      <c r="J822">
        <v>1276.7694091999999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366.10560299999997</v>
      </c>
      <c r="B823" s="1">
        <f>DATE(2011,5,2) + TIME(2,32,4)</f>
        <v>40665.10560185185</v>
      </c>
      <c r="C823">
        <v>90</v>
      </c>
      <c r="D823">
        <v>83.992828368999994</v>
      </c>
      <c r="E823">
        <v>60</v>
      </c>
      <c r="F823">
        <v>59.685535430999998</v>
      </c>
      <c r="G823">
        <v>1393.3682861</v>
      </c>
      <c r="H823">
        <v>1378.0554199000001</v>
      </c>
      <c r="I823">
        <v>1292.9365233999999</v>
      </c>
      <c r="J823">
        <v>1276.7675781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366.153524</v>
      </c>
      <c r="B824" s="1">
        <f>DATE(2011,5,2) + TIME(3,41,4)</f>
        <v>40665.15351851852</v>
      </c>
      <c r="C824">
        <v>90</v>
      </c>
      <c r="D824">
        <v>84.406135559000006</v>
      </c>
      <c r="E824">
        <v>60</v>
      </c>
      <c r="F824">
        <v>59.676242827999999</v>
      </c>
      <c r="G824">
        <v>1393.2440185999999</v>
      </c>
      <c r="H824">
        <v>1377.9946289</v>
      </c>
      <c r="I824">
        <v>1292.9354248</v>
      </c>
      <c r="J824">
        <v>1276.7657471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366.20342599999998</v>
      </c>
      <c r="B825" s="1">
        <f>DATE(2011,5,2) + TIME(4,52,56)</f>
        <v>40665.203425925924</v>
      </c>
      <c r="C825">
        <v>90</v>
      </c>
      <c r="D825">
        <v>84.805618285999998</v>
      </c>
      <c r="E825">
        <v>60</v>
      </c>
      <c r="F825">
        <v>59.666648864999999</v>
      </c>
      <c r="G825">
        <v>1393.1217041</v>
      </c>
      <c r="H825">
        <v>1377.9333495999999</v>
      </c>
      <c r="I825">
        <v>1292.9342041</v>
      </c>
      <c r="J825">
        <v>1276.7639160000001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366.25548199999997</v>
      </c>
      <c r="B826" s="1">
        <f>DATE(2011,5,2) + TIME(6,7,53)</f>
        <v>40665.255474537036</v>
      </c>
      <c r="C826">
        <v>90</v>
      </c>
      <c r="D826">
        <v>85.191032410000005</v>
      </c>
      <c r="E826">
        <v>60</v>
      </c>
      <c r="F826">
        <v>59.656730652</v>
      </c>
      <c r="G826">
        <v>1393.0012207</v>
      </c>
      <c r="H826">
        <v>1377.871582</v>
      </c>
      <c r="I826">
        <v>1292.9328613</v>
      </c>
      <c r="J826">
        <v>1276.7619629000001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366.30988100000002</v>
      </c>
      <c r="B827" s="1">
        <f>DATE(2011,5,2) + TIME(7,26,13)</f>
        <v>40665.309872685182</v>
      </c>
      <c r="C827">
        <v>90</v>
      </c>
      <c r="D827">
        <v>85.562210082999997</v>
      </c>
      <c r="E827">
        <v>60</v>
      </c>
      <c r="F827">
        <v>59.646457671999997</v>
      </c>
      <c r="G827">
        <v>1392.8822021000001</v>
      </c>
      <c r="H827">
        <v>1377.8092041</v>
      </c>
      <c r="I827">
        <v>1292.9315185999999</v>
      </c>
      <c r="J827">
        <v>1276.7598877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366.36683699999998</v>
      </c>
      <c r="B828" s="1">
        <f>DATE(2011,5,2) + TIME(8,48,14)</f>
        <v>40665.366828703707</v>
      </c>
      <c r="C828">
        <v>90</v>
      </c>
      <c r="D828">
        <v>85.919136046999995</v>
      </c>
      <c r="E828">
        <v>60</v>
      </c>
      <c r="F828">
        <v>59.635799407999997</v>
      </c>
      <c r="G828">
        <v>1392.7646483999999</v>
      </c>
      <c r="H828">
        <v>1377.7459716999999</v>
      </c>
      <c r="I828">
        <v>1292.9301757999999</v>
      </c>
      <c r="J828">
        <v>1276.7576904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366.42661099999998</v>
      </c>
      <c r="B829" s="1">
        <f>DATE(2011,5,2) + TIME(10,14,19)</f>
        <v>40665.426608796297</v>
      </c>
      <c r="C829">
        <v>90</v>
      </c>
      <c r="D829">
        <v>86.261749268000003</v>
      </c>
      <c r="E829">
        <v>60</v>
      </c>
      <c r="F829">
        <v>59.624721526999998</v>
      </c>
      <c r="G829">
        <v>1392.6481934000001</v>
      </c>
      <c r="H829">
        <v>1377.6817627</v>
      </c>
      <c r="I829">
        <v>1292.9287108999999</v>
      </c>
      <c r="J829">
        <v>1276.7554932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366.48949900000002</v>
      </c>
      <c r="B830" s="1">
        <f>DATE(2011,5,2) + TIME(11,44,52)</f>
        <v>40665.489490740743</v>
      </c>
      <c r="C830">
        <v>90</v>
      </c>
      <c r="D830">
        <v>86.589958190999994</v>
      </c>
      <c r="E830">
        <v>60</v>
      </c>
      <c r="F830">
        <v>59.613174438000001</v>
      </c>
      <c r="G830">
        <v>1392.5324707</v>
      </c>
      <c r="H830">
        <v>1377.6162108999999</v>
      </c>
      <c r="I830">
        <v>1292.927124</v>
      </c>
      <c r="J830">
        <v>1276.7530518000001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366.55579999999998</v>
      </c>
      <c r="B831" s="1">
        <f>DATE(2011,5,2) + TIME(13,20,21)</f>
        <v>40665.555798611109</v>
      </c>
      <c r="C831">
        <v>90</v>
      </c>
      <c r="D831">
        <v>86.903450011999993</v>
      </c>
      <c r="E831">
        <v>60</v>
      </c>
      <c r="F831">
        <v>59.601116179999998</v>
      </c>
      <c r="G831">
        <v>1392.4173584</v>
      </c>
      <c r="H831">
        <v>1377.5494385</v>
      </c>
      <c r="I831">
        <v>1292.9254149999999</v>
      </c>
      <c r="J831">
        <v>1276.7506103999999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366.62589200000002</v>
      </c>
      <c r="B832" s="1">
        <f>DATE(2011,5,2) + TIME(15,1,17)</f>
        <v>40665.625891203701</v>
      </c>
      <c r="C832">
        <v>90</v>
      </c>
      <c r="D832">
        <v>87.202072143999999</v>
      </c>
      <c r="E832">
        <v>60</v>
      </c>
      <c r="F832">
        <v>59.588497162000003</v>
      </c>
      <c r="G832">
        <v>1392.3026123</v>
      </c>
      <c r="H832">
        <v>1377.4810791</v>
      </c>
      <c r="I832">
        <v>1292.9237060999999</v>
      </c>
      <c r="J832">
        <v>1276.7480469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366.70021600000001</v>
      </c>
      <c r="B833" s="1">
        <f>DATE(2011,5,2) + TIME(16,48,18)</f>
        <v>40665.700208333335</v>
      </c>
      <c r="C833">
        <v>90</v>
      </c>
      <c r="D833">
        <v>87.485671996999997</v>
      </c>
      <c r="E833">
        <v>60</v>
      </c>
      <c r="F833">
        <v>59.575248717999997</v>
      </c>
      <c r="G833">
        <v>1392.1879882999999</v>
      </c>
      <c r="H833">
        <v>1377.4110106999999</v>
      </c>
      <c r="I833">
        <v>1292.921875</v>
      </c>
      <c r="J833">
        <v>1276.7453613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366.77929499999999</v>
      </c>
      <c r="B834" s="1">
        <f>DATE(2011,5,2) + TIME(18,42,11)</f>
        <v>40665.779293981483</v>
      </c>
      <c r="C834">
        <v>90</v>
      </c>
      <c r="D834">
        <v>87.754119872999993</v>
      </c>
      <c r="E834">
        <v>60</v>
      </c>
      <c r="F834">
        <v>59.561302185000002</v>
      </c>
      <c r="G834">
        <v>1392.0729980000001</v>
      </c>
      <c r="H834">
        <v>1377.3387451000001</v>
      </c>
      <c r="I834">
        <v>1292.9199219</v>
      </c>
      <c r="J834">
        <v>1276.7424315999999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366.863809</v>
      </c>
      <c r="B835" s="1">
        <f>DATE(2011,5,2) + TIME(20,43,53)</f>
        <v>40665.863807870373</v>
      </c>
      <c r="C835">
        <v>90</v>
      </c>
      <c r="D835">
        <v>88.007408142000003</v>
      </c>
      <c r="E835">
        <v>60</v>
      </c>
      <c r="F835">
        <v>59.546554565000001</v>
      </c>
      <c r="G835">
        <v>1391.9572754000001</v>
      </c>
      <c r="H835">
        <v>1377.2642822</v>
      </c>
      <c r="I835">
        <v>1292.9178466999999</v>
      </c>
      <c r="J835">
        <v>1276.7393798999999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366.95039000000003</v>
      </c>
      <c r="B836" s="1">
        <f>DATE(2011,5,2) + TIME(22,48,33)</f>
        <v>40665.950381944444</v>
      </c>
      <c r="C836">
        <v>90</v>
      </c>
      <c r="D836">
        <v>88.235839843999997</v>
      </c>
      <c r="E836">
        <v>60</v>
      </c>
      <c r="F836">
        <v>59.531551360999998</v>
      </c>
      <c r="G836">
        <v>1391.8446045000001</v>
      </c>
      <c r="H836">
        <v>1377.1889647999999</v>
      </c>
      <c r="I836">
        <v>1292.9155272999999</v>
      </c>
      <c r="J836">
        <v>1276.7360839999999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367.03766400000001</v>
      </c>
      <c r="B837" s="1">
        <f>DATE(2011,5,3) + TIME(0,54,14)</f>
        <v>40666.037662037037</v>
      </c>
      <c r="C837">
        <v>90</v>
      </c>
      <c r="D837">
        <v>88.438346863000007</v>
      </c>
      <c r="E837">
        <v>60</v>
      </c>
      <c r="F837">
        <v>59.516502379999999</v>
      </c>
      <c r="G837">
        <v>1391.7364502</v>
      </c>
      <c r="H837">
        <v>1377.1147461</v>
      </c>
      <c r="I837">
        <v>1292.9132079999999</v>
      </c>
      <c r="J837">
        <v>1276.7327881000001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367.12584099999998</v>
      </c>
      <c r="B838" s="1">
        <f>DATE(2011,5,3) + TIME(3,1,12)</f>
        <v>40666.125833333332</v>
      </c>
      <c r="C838">
        <v>90</v>
      </c>
      <c r="D838">
        <v>88.618072510000005</v>
      </c>
      <c r="E838">
        <v>60</v>
      </c>
      <c r="F838">
        <v>59.501377106</v>
      </c>
      <c r="G838">
        <v>1391.6323242000001</v>
      </c>
      <c r="H838">
        <v>1377.0418701000001</v>
      </c>
      <c r="I838">
        <v>1292.9107666</v>
      </c>
      <c r="J838">
        <v>1276.7294922000001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367.21481399999999</v>
      </c>
      <c r="B839" s="1">
        <f>DATE(2011,5,3) + TIME(5,9,19)</f>
        <v>40666.214803240742</v>
      </c>
      <c r="C839">
        <v>90</v>
      </c>
      <c r="D839">
        <v>88.777191161999994</v>
      </c>
      <c r="E839">
        <v>60</v>
      </c>
      <c r="F839">
        <v>59.486190796000002</v>
      </c>
      <c r="G839">
        <v>1391.5321045000001</v>
      </c>
      <c r="H839">
        <v>1376.9702147999999</v>
      </c>
      <c r="I839">
        <v>1292.9083252</v>
      </c>
      <c r="J839">
        <v>1276.7260742000001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367.30465099999998</v>
      </c>
      <c r="B840" s="1">
        <f>DATE(2011,5,3) + TIME(7,18,41)</f>
        <v>40666.3046412037</v>
      </c>
      <c r="C840">
        <v>90</v>
      </c>
      <c r="D840">
        <v>88.917991638000004</v>
      </c>
      <c r="E840">
        <v>60</v>
      </c>
      <c r="F840">
        <v>59.470932007000002</v>
      </c>
      <c r="G840">
        <v>1391.4351807</v>
      </c>
      <c r="H840">
        <v>1376.8996582</v>
      </c>
      <c r="I840">
        <v>1292.9057617000001</v>
      </c>
      <c r="J840">
        <v>1276.7226562000001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367.39550200000002</v>
      </c>
      <c r="B841" s="1">
        <f>DATE(2011,5,3) + TIME(9,29,31)</f>
        <v>40666.395497685182</v>
      </c>
      <c r="C841">
        <v>90</v>
      </c>
      <c r="D841">
        <v>89.042625427000004</v>
      </c>
      <c r="E841">
        <v>60</v>
      </c>
      <c r="F841">
        <v>59.455577849999997</v>
      </c>
      <c r="G841">
        <v>1391.3414307</v>
      </c>
      <c r="H841">
        <v>1376.8303223</v>
      </c>
      <c r="I841">
        <v>1292.9033202999999</v>
      </c>
      <c r="J841">
        <v>1276.7191161999999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367.487483</v>
      </c>
      <c r="B842" s="1">
        <f>DATE(2011,5,3) + TIME(11,41,58)</f>
        <v>40666.487476851849</v>
      </c>
      <c r="C842">
        <v>90</v>
      </c>
      <c r="D842">
        <v>89.152900696000003</v>
      </c>
      <c r="E842">
        <v>60</v>
      </c>
      <c r="F842">
        <v>59.440105438000003</v>
      </c>
      <c r="G842">
        <v>1391.2502440999999</v>
      </c>
      <c r="H842">
        <v>1376.7618408000001</v>
      </c>
      <c r="I842">
        <v>1292.9007568</v>
      </c>
      <c r="J842">
        <v>1276.7156981999999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367.58073400000001</v>
      </c>
      <c r="B843" s="1">
        <f>DATE(2011,5,3) + TIME(13,56,15)</f>
        <v>40666.580729166664</v>
      </c>
      <c r="C843">
        <v>90</v>
      </c>
      <c r="D843">
        <v>89.250450134000005</v>
      </c>
      <c r="E843">
        <v>60</v>
      </c>
      <c r="F843">
        <v>59.424499511999997</v>
      </c>
      <c r="G843">
        <v>1391.161499</v>
      </c>
      <c r="H843">
        <v>1376.6943358999999</v>
      </c>
      <c r="I843">
        <v>1292.8980713000001</v>
      </c>
      <c r="J843">
        <v>1276.7121582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367.67540000000002</v>
      </c>
      <c r="B844" s="1">
        <f>DATE(2011,5,3) + TIME(16,12,34)</f>
        <v>40666.675393518519</v>
      </c>
      <c r="C844">
        <v>90</v>
      </c>
      <c r="D844">
        <v>89.336708068999997</v>
      </c>
      <c r="E844">
        <v>60</v>
      </c>
      <c r="F844">
        <v>59.408733368</v>
      </c>
      <c r="G844">
        <v>1391.0748291</v>
      </c>
      <c r="H844">
        <v>1376.6275635</v>
      </c>
      <c r="I844">
        <v>1292.8955077999999</v>
      </c>
      <c r="J844">
        <v>1276.7084961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367.77162700000002</v>
      </c>
      <c r="B845" s="1">
        <f>DATE(2011,5,3) + TIME(18,31,8)</f>
        <v>40666.771620370368</v>
      </c>
      <c r="C845">
        <v>90</v>
      </c>
      <c r="D845">
        <v>89.412918090999995</v>
      </c>
      <c r="E845">
        <v>60</v>
      </c>
      <c r="F845">
        <v>59.392787933000001</v>
      </c>
      <c r="G845">
        <v>1390.9899902</v>
      </c>
      <c r="H845">
        <v>1376.5614014</v>
      </c>
      <c r="I845">
        <v>1292.8928223</v>
      </c>
      <c r="J845">
        <v>1276.7048339999999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367.86956900000001</v>
      </c>
      <c r="B846" s="1">
        <f>DATE(2011,5,3) + TIME(20,52,10)</f>
        <v>40666.869560185187</v>
      </c>
      <c r="C846">
        <v>90</v>
      </c>
      <c r="D846">
        <v>89.480201721</v>
      </c>
      <c r="E846">
        <v>60</v>
      </c>
      <c r="F846">
        <v>59.37664032</v>
      </c>
      <c r="G846">
        <v>1390.9067382999999</v>
      </c>
      <c r="H846">
        <v>1376.4957274999999</v>
      </c>
      <c r="I846">
        <v>1292.8900146000001</v>
      </c>
      <c r="J846">
        <v>1276.7011719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367.96938599999999</v>
      </c>
      <c r="B847" s="1">
        <f>DATE(2011,5,3) + TIME(23,15,54)</f>
        <v>40666.969375000001</v>
      </c>
      <c r="C847">
        <v>90</v>
      </c>
      <c r="D847">
        <v>89.539543151999993</v>
      </c>
      <c r="E847">
        <v>60</v>
      </c>
      <c r="F847">
        <v>59.360263824</v>
      </c>
      <c r="G847">
        <v>1390.8248291</v>
      </c>
      <c r="H847">
        <v>1376.4306641000001</v>
      </c>
      <c r="I847">
        <v>1292.887207</v>
      </c>
      <c r="J847">
        <v>1276.6973877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368.07102200000003</v>
      </c>
      <c r="B848" s="1">
        <f>DATE(2011,5,4) + TIME(1,42,16)</f>
        <v>40667.071018518516</v>
      </c>
      <c r="C848">
        <v>90</v>
      </c>
      <c r="D848">
        <v>89.591720581000004</v>
      </c>
      <c r="E848">
        <v>60</v>
      </c>
      <c r="F848">
        <v>59.343669890999998</v>
      </c>
      <c r="G848">
        <v>1390.7441406</v>
      </c>
      <c r="H848">
        <v>1376.3659668</v>
      </c>
      <c r="I848">
        <v>1292.8843993999999</v>
      </c>
      <c r="J848">
        <v>1276.6934814000001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368.17445900000001</v>
      </c>
      <c r="B849" s="1">
        <f>DATE(2011,5,4) + TIME(4,11,13)</f>
        <v>40667.174456018518</v>
      </c>
      <c r="C849">
        <v>90</v>
      </c>
      <c r="D849">
        <v>89.637466431000007</v>
      </c>
      <c r="E849">
        <v>60</v>
      </c>
      <c r="F849">
        <v>59.326858520999998</v>
      </c>
      <c r="G849">
        <v>1390.6647949000001</v>
      </c>
      <c r="H849">
        <v>1376.3017577999999</v>
      </c>
      <c r="I849">
        <v>1292.8814697</v>
      </c>
      <c r="J849">
        <v>1276.6895752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368.279853</v>
      </c>
      <c r="B850" s="1">
        <f>DATE(2011,5,4) + TIME(6,42,59)</f>
        <v>40667.279849537037</v>
      </c>
      <c r="C850">
        <v>90</v>
      </c>
      <c r="D850">
        <v>89.677543639999996</v>
      </c>
      <c r="E850">
        <v>60</v>
      </c>
      <c r="F850">
        <v>59.309810638000002</v>
      </c>
      <c r="G850">
        <v>1390.5864257999999</v>
      </c>
      <c r="H850">
        <v>1376.2379149999999</v>
      </c>
      <c r="I850">
        <v>1292.878418</v>
      </c>
      <c r="J850">
        <v>1276.6855469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368.38736999999998</v>
      </c>
      <c r="B851" s="1">
        <f>DATE(2011,5,4) + TIME(9,17,48)</f>
        <v>40667.387361111112</v>
      </c>
      <c r="C851">
        <v>90</v>
      </c>
      <c r="D851">
        <v>89.712600707999997</v>
      </c>
      <c r="E851">
        <v>60</v>
      </c>
      <c r="F851">
        <v>59.292503357000001</v>
      </c>
      <c r="G851">
        <v>1390.5090332</v>
      </c>
      <c r="H851">
        <v>1376.1745605000001</v>
      </c>
      <c r="I851">
        <v>1292.8753661999999</v>
      </c>
      <c r="J851">
        <v>1276.6813964999999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368.49718200000001</v>
      </c>
      <c r="B852" s="1">
        <f>DATE(2011,5,4) + TIME(11,55,56)</f>
        <v>40667.497175925928</v>
      </c>
      <c r="C852">
        <v>90</v>
      </c>
      <c r="D852">
        <v>89.743217467999997</v>
      </c>
      <c r="E852">
        <v>60</v>
      </c>
      <c r="F852">
        <v>59.274909973</v>
      </c>
      <c r="G852">
        <v>1390.4324951000001</v>
      </c>
      <c r="H852">
        <v>1376.1115723</v>
      </c>
      <c r="I852">
        <v>1292.8721923999999</v>
      </c>
      <c r="J852">
        <v>1276.6772461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368.60947499999997</v>
      </c>
      <c r="B853" s="1">
        <f>DATE(2011,5,4) + TIME(14,37,38)</f>
        <v>40667.609467592592</v>
      </c>
      <c r="C853">
        <v>90</v>
      </c>
      <c r="D853">
        <v>89.769920349000003</v>
      </c>
      <c r="E853">
        <v>60</v>
      </c>
      <c r="F853">
        <v>59.257007598999998</v>
      </c>
      <c r="G853">
        <v>1390.3565673999999</v>
      </c>
      <c r="H853">
        <v>1376.0488281</v>
      </c>
      <c r="I853">
        <v>1292.8690185999999</v>
      </c>
      <c r="J853">
        <v>1276.6729736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368.72444999999999</v>
      </c>
      <c r="B854" s="1">
        <f>DATE(2011,5,4) + TIME(17,23,12)</f>
        <v>40667.724444444444</v>
      </c>
      <c r="C854">
        <v>90</v>
      </c>
      <c r="D854">
        <v>89.793167113999999</v>
      </c>
      <c r="E854">
        <v>60</v>
      </c>
      <c r="F854">
        <v>59.238765717</v>
      </c>
      <c r="G854">
        <v>1390.2811279</v>
      </c>
      <c r="H854">
        <v>1375.9862060999999</v>
      </c>
      <c r="I854">
        <v>1292.8657227000001</v>
      </c>
      <c r="J854">
        <v>1276.6685791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368.84238199999999</v>
      </c>
      <c r="B855" s="1">
        <f>DATE(2011,5,4) + TIME(20,13,1)</f>
        <v>40667.842372685183</v>
      </c>
      <c r="C855">
        <v>90</v>
      </c>
      <c r="D855">
        <v>89.813377380000006</v>
      </c>
      <c r="E855">
        <v>60</v>
      </c>
      <c r="F855">
        <v>59.220146178999997</v>
      </c>
      <c r="G855">
        <v>1390.2061768000001</v>
      </c>
      <c r="H855">
        <v>1375.9237060999999</v>
      </c>
      <c r="I855">
        <v>1292.8623047000001</v>
      </c>
      <c r="J855">
        <v>1276.6640625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368.96347300000002</v>
      </c>
      <c r="B856" s="1">
        <f>DATE(2011,5,4) + TIME(23,7,24)</f>
        <v>40667.963472222225</v>
      </c>
      <c r="C856">
        <v>90</v>
      </c>
      <c r="D856">
        <v>89.830902100000003</v>
      </c>
      <c r="E856">
        <v>60</v>
      </c>
      <c r="F856">
        <v>59.201129913000003</v>
      </c>
      <c r="G856">
        <v>1390.1313477000001</v>
      </c>
      <c r="H856">
        <v>1375.8612060999999</v>
      </c>
      <c r="I856">
        <v>1292.8588867000001</v>
      </c>
      <c r="J856">
        <v>1276.6594238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369.08795900000001</v>
      </c>
      <c r="B857" s="1">
        <f>DATE(2011,5,5) + TIME(2,6,39)</f>
        <v>40668.087951388887</v>
      </c>
      <c r="C857">
        <v>90</v>
      </c>
      <c r="D857">
        <v>89.846061707000004</v>
      </c>
      <c r="E857">
        <v>60</v>
      </c>
      <c r="F857">
        <v>59.181674956999998</v>
      </c>
      <c r="G857">
        <v>1390.0567627</v>
      </c>
      <c r="H857">
        <v>1375.7985839999999</v>
      </c>
      <c r="I857">
        <v>1292.8552245999999</v>
      </c>
      <c r="J857">
        <v>1276.6547852000001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369.21612299999998</v>
      </c>
      <c r="B858" s="1">
        <f>DATE(2011,5,5) + TIME(5,11,13)</f>
        <v>40668.216122685182</v>
      </c>
      <c r="C858">
        <v>90</v>
      </c>
      <c r="D858">
        <v>89.859153747999997</v>
      </c>
      <c r="E858">
        <v>60</v>
      </c>
      <c r="F858">
        <v>59.161754608000003</v>
      </c>
      <c r="G858">
        <v>1389.9821777</v>
      </c>
      <c r="H858">
        <v>1375.7359618999999</v>
      </c>
      <c r="I858">
        <v>1292.8515625</v>
      </c>
      <c r="J858">
        <v>1276.6499022999999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369.348277</v>
      </c>
      <c r="B859" s="1">
        <f>DATE(2011,5,5) + TIME(8,21,31)</f>
        <v>40668.348275462966</v>
      </c>
      <c r="C859">
        <v>90</v>
      </c>
      <c r="D859">
        <v>89.870414733999993</v>
      </c>
      <c r="E859">
        <v>60</v>
      </c>
      <c r="F859">
        <v>59.141319275000001</v>
      </c>
      <c r="G859">
        <v>1389.9074707</v>
      </c>
      <c r="H859">
        <v>1375.6730957</v>
      </c>
      <c r="I859">
        <v>1292.8477783000001</v>
      </c>
      <c r="J859">
        <v>1276.6447754000001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369.48474299999998</v>
      </c>
      <c r="B860" s="1">
        <f>DATE(2011,5,5) + TIME(11,38,1)</f>
        <v>40668.484733796293</v>
      </c>
      <c r="C860">
        <v>90</v>
      </c>
      <c r="D860">
        <v>89.880088806000003</v>
      </c>
      <c r="E860">
        <v>60</v>
      </c>
      <c r="F860">
        <v>59.120330811000002</v>
      </c>
      <c r="G860">
        <v>1389.8325195</v>
      </c>
      <c r="H860">
        <v>1375.6099853999999</v>
      </c>
      <c r="I860">
        <v>1292.8438721</v>
      </c>
      <c r="J860">
        <v>1276.6396483999999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369.62590799999998</v>
      </c>
      <c r="B861" s="1">
        <f>DATE(2011,5,5) + TIME(15,1,18)</f>
        <v>40668.625902777778</v>
      </c>
      <c r="C861">
        <v>90</v>
      </c>
      <c r="D861">
        <v>89.888366699000002</v>
      </c>
      <c r="E861">
        <v>60</v>
      </c>
      <c r="F861">
        <v>59.098739623999997</v>
      </c>
      <c r="G861">
        <v>1389.7572021000001</v>
      </c>
      <c r="H861">
        <v>1375.5463867000001</v>
      </c>
      <c r="I861">
        <v>1292.8397216999999</v>
      </c>
      <c r="J861">
        <v>1276.6342772999999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369.77221100000003</v>
      </c>
      <c r="B862" s="1">
        <f>DATE(2011,5,5) + TIME(18,31,59)</f>
        <v>40668.772210648145</v>
      </c>
      <c r="C862">
        <v>90</v>
      </c>
      <c r="D862">
        <v>89.895431518999999</v>
      </c>
      <c r="E862">
        <v>60</v>
      </c>
      <c r="F862">
        <v>59.076492309999999</v>
      </c>
      <c r="G862">
        <v>1389.6813964999999</v>
      </c>
      <c r="H862">
        <v>1375.4822998</v>
      </c>
      <c r="I862">
        <v>1292.8355713000001</v>
      </c>
      <c r="J862">
        <v>1276.6286620999999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369.92412999999999</v>
      </c>
      <c r="B863" s="1">
        <f>DATE(2011,5,5) + TIME(22,10,44)</f>
        <v>40668.924120370371</v>
      </c>
      <c r="C863">
        <v>90</v>
      </c>
      <c r="D863">
        <v>89.901443481000001</v>
      </c>
      <c r="E863">
        <v>60</v>
      </c>
      <c r="F863">
        <v>59.053524017000001</v>
      </c>
      <c r="G863">
        <v>1389.6049805</v>
      </c>
      <c r="H863">
        <v>1375.4177245999999</v>
      </c>
      <c r="I863">
        <v>1292.8311768000001</v>
      </c>
      <c r="J863">
        <v>1276.6229248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370.08184299999999</v>
      </c>
      <c r="B864" s="1">
        <f>DATE(2011,5,6) + TIME(1,57,51)</f>
        <v>40669.08184027778</v>
      </c>
      <c r="C864">
        <v>90</v>
      </c>
      <c r="D864">
        <v>89.906532287999994</v>
      </c>
      <c r="E864">
        <v>60</v>
      </c>
      <c r="F864">
        <v>59.029815673999998</v>
      </c>
      <c r="G864">
        <v>1389.5277100000001</v>
      </c>
      <c r="H864">
        <v>1375.3524170000001</v>
      </c>
      <c r="I864">
        <v>1292.8265381000001</v>
      </c>
      <c r="J864">
        <v>1276.6169434000001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370.24422199999998</v>
      </c>
      <c r="B865" s="1">
        <f>DATE(2011,5,6) + TIME(5,51,40)</f>
        <v>40669.244212962964</v>
      </c>
      <c r="C865">
        <v>90</v>
      </c>
      <c r="D865">
        <v>89.910797118999994</v>
      </c>
      <c r="E865">
        <v>60</v>
      </c>
      <c r="F865">
        <v>59.005508423000002</v>
      </c>
      <c r="G865">
        <v>1389.449707</v>
      </c>
      <c r="H865">
        <v>1375.286499</v>
      </c>
      <c r="I865">
        <v>1292.8217772999999</v>
      </c>
      <c r="J865">
        <v>1276.6107178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370.411699</v>
      </c>
      <c r="B866" s="1">
        <f>DATE(2011,5,6) + TIME(9,52,50)</f>
        <v>40669.411689814813</v>
      </c>
      <c r="C866">
        <v>90</v>
      </c>
      <c r="D866">
        <v>89.914360045999999</v>
      </c>
      <c r="E866">
        <v>60</v>
      </c>
      <c r="F866">
        <v>58.980552672999998</v>
      </c>
      <c r="G866">
        <v>1389.371582</v>
      </c>
      <c r="H866">
        <v>1375.2204589999999</v>
      </c>
      <c r="I866">
        <v>1292.8168945</v>
      </c>
      <c r="J866">
        <v>1276.6043701000001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370.58468099999999</v>
      </c>
      <c r="B867" s="1">
        <f>DATE(2011,5,6) + TIME(14,1,56)</f>
        <v>40669.584675925929</v>
      </c>
      <c r="C867">
        <v>90</v>
      </c>
      <c r="D867">
        <v>89.917327881000006</v>
      </c>
      <c r="E867">
        <v>60</v>
      </c>
      <c r="F867">
        <v>58.954898833999998</v>
      </c>
      <c r="G867">
        <v>1389.2930908000001</v>
      </c>
      <c r="H867">
        <v>1375.1541748</v>
      </c>
      <c r="I867">
        <v>1292.8117675999999</v>
      </c>
      <c r="J867">
        <v>1276.5977783000001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370.76248399999997</v>
      </c>
      <c r="B868" s="1">
        <f>DATE(2011,5,6) + TIME(18,17,58)</f>
        <v>40669.762476851851</v>
      </c>
      <c r="C868">
        <v>90</v>
      </c>
      <c r="D868">
        <v>89.919792174999998</v>
      </c>
      <c r="E868">
        <v>60</v>
      </c>
      <c r="F868">
        <v>58.928634643999999</v>
      </c>
      <c r="G868">
        <v>1389.2142334</v>
      </c>
      <c r="H868">
        <v>1375.0875243999999</v>
      </c>
      <c r="I868">
        <v>1292.8065185999999</v>
      </c>
      <c r="J868">
        <v>1276.5909423999999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370.941442</v>
      </c>
      <c r="B869" s="1">
        <f>DATE(2011,5,6) + TIME(22,35,40)</f>
        <v>40669.941435185188</v>
      </c>
      <c r="C869">
        <v>90</v>
      </c>
      <c r="D869">
        <v>89.921791076999995</v>
      </c>
      <c r="E869">
        <v>60</v>
      </c>
      <c r="F869">
        <v>58.902210236000002</v>
      </c>
      <c r="G869">
        <v>1389.135376</v>
      </c>
      <c r="H869">
        <v>1375.020874</v>
      </c>
      <c r="I869">
        <v>1292.8010254000001</v>
      </c>
      <c r="J869">
        <v>1276.5838623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371.12131099999999</v>
      </c>
      <c r="B870" s="1">
        <f>DATE(2011,5,7) + TIME(2,54,41)</f>
        <v>40670.121307870373</v>
      </c>
      <c r="C870">
        <v>90</v>
      </c>
      <c r="D870">
        <v>89.923416137999993</v>
      </c>
      <c r="E870">
        <v>60</v>
      </c>
      <c r="F870">
        <v>58.875671386999997</v>
      </c>
      <c r="G870">
        <v>1389.0579834</v>
      </c>
      <c r="H870">
        <v>1374.9555664</v>
      </c>
      <c r="I870">
        <v>1292.7955322</v>
      </c>
      <c r="J870">
        <v>1276.5767822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371.30240199999997</v>
      </c>
      <c r="B871" s="1">
        <f>DATE(2011,5,7) + TIME(7,15,27)</f>
        <v>40670.302395833336</v>
      </c>
      <c r="C871">
        <v>90</v>
      </c>
      <c r="D871">
        <v>89.924751282000003</v>
      </c>
      <c r="E871">
        <v>60</v>
      </c>
      <c r="F871">
        <v>58.848995209000002</v>
      </c>
      <c r="G871">
        <v>1388.9821777</v>
      </c>
      <c r="H871">
        <v>1374.8916016000001</v>
      </c>
      <c r="I871">
        <v>1292.7899170000001</v>
      </c>
      <c r="J871">
        <v>1276.5697021000001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371.48501299999998</v>
      </c>
      <c r="B872" s="1">
        <f>DATE(2011,5,7) + TIME(11,38,25)</f>
        <v>40670.485011574077</v>
      </c>
      <c r="C872">
        <v>90</v>
      </c>
      <c r="D872">
        <v>89.925842285000002</v>
      </c>
      <c r="E872">
        <v>60</v>
      </c>
      <c r="F872">
        <v>58.822154998999999</v>
      </c>
      <c r="G872">
        <v>1388.9075928</v>
      </c>
      <c r="H872">
        <v>1374.8289795000001</v>
      </c>
      <c r="I872">
        <v>1292.7843018000001</v>
      </c>
      <c r="J872">
        <v>1276.5625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371.669445</v>
      </c>
      <c r="B873" s="1">
        <f>DATE(2011,5,7) + TIME(16,4,0)</f>
        <v>40670.669444444444</v>
      </c>
      <c r="C873">
        <v>90</v>
      </c>
      <c r="D873">
        <v>89.926742554</v>
      </c>
      <c r="E873">
        <v>60</v>
      </c>
      <c r="F873">
        <v>58.795131683000001</v>
      </c>
      <c r="G873">
        <v>1388.8343506000001</v>
      </c>
      <c r="H873">
        <v>1374.7672118999999</v>
      </c>
      <c r="I873">
        <v>1292.7786865</v>
      </c>
      <c r="J873">
        <v>1276.5551757999999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371.855999</v>
      </c>
      <c r="B874" s="1">
        <f>DATE(2011,5,7) + TIME(20,32,38)</f>
        <v>40670.855995370373</v>
      </c>
      <c r="C874">
        <v>90</v>
      </c>
      <c r="D874">
        <v>89.927490234000004</v>
      </c>
      <c r="E874">
        <v>60</v>
      </c>
      <c r="F874">
        <v>58.767887115000001</v>
      </c>
      <c r="G874">
        <v>1388.7620850000001</v>
      </c>
      <c r="H874">
        <v>1374.706543</v>
      </c>
      <c r="I874">
        <v>1292.7729492000001</v>
      </c>
      <c r="J874">
        <v>1276.5478516000001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372.04498000000001</v>
      </c>
      <c r="B875" s="1">
        <f>DATE(2011,5,8) + TIME(1,4,46)</f>
        <v>40671.044976851852</v>
      </c>
      <c r="C875">
        <v>90</v>
      </c>
      <c r="D875">
        <v>89.928115844999994</v>
      </c>
      <c r="E875">
        <v>60</v>
      </c>
      <c r="F875">
        <v>58.740390777999998</v>
      </c>
      <c r="G875">
        <v>1388.6906738</v>
      </c>
      <c r="H875">
        <v>1374.6464844</v>
      </c>
      <c r="I875">
        <v>1292.7672118999999</v>
      </c>
      <c r="J875">
        <v>1276.5404053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372.23670199999998</v>
      </c>
      <c r="B876" s="1">
        <f>DATE(2011,5,8) + TIME(5,40,51)</f>
        <v>40671.236701388887</v>
      </c>
      <c r="C876">
        <v>90</v>
      </c>
      <c r="D876">
        <v>89.928634643999999</v>
      </c>
      <c r="E876">
        <v>60</v>
      </c>
      <c r="F876">
        <v>58.712608336999999</v>
      </c>
      <c r="G876">
        <v>1388.6198730000001</v>
      </c>
      <c r="H876">
        <v>1374.5871582</v>
      </c>
      <c r="I876">
        <v>1292.7612305</v>
      </c>
      <c r="J876">
        <v>1276.5328368999999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372.43149499999998</v>
      </c>
      <c r="B877" s="1">
        <f>DATE(2011,5,8) + TIME(10,21,21)</f>
        <v>40671.431493055556</v>
      </c>
      <c r="C877">
        <v>90</v>
      </c>
      <c r="D877">
        <v>89.929069518999995</v>
      </c>
      <c r="E877">
        <v>60</v>
      </c>
      <c r="F877">
        <v>58.684505463000001</v>
      </c>
      <c r="G877">
        <v>1388.5498047000001</v>
      </c>
      <c r="H877">
        <v>1374.5284423999999</v>
      </c>
      <c r="I877">
        <v>1292.7553711</v>
      </c>
      <c r="J877">
        <v>1276.5252685999999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372.62980700000003</v>
      </c>
      <c r="B878" s="1">
        <f>DATE(2011,5,8) + TIME(15,6,55)</f>
        <v>40671.629803240743</v>
      </c>
      <c r="C878">
        <v>90</v>
      </c>
      <c r="D878">
        <v>89.929428100999999</v>
      </c>
      <c r="E878">
        <v>60</v>
      </c>
      <c r="F878">
        <v>58.656028747999997</v>
      </c>
      <c r="G878">
        <v>1388.4801024999999</v>
      </c>
      <c r="H878">
        <v>1374.4700928</v>
      </c>
      <c r="I878">
        <v>1292.7492675999999</v>
      </c>
      <c r="J878">
        <v>1276.5174560999999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372.83106199999997</v>
      </c>
      <c r="B879" s="1">
        <f>DATE(2011,5,8) + TIME(19,56,43)</f>
        <v>40671.831053240741</v>
      </c>
      <c r="C879">
        <v>90</v>
      </c>
      <c r="D879">
        <v>89.929740906000006</v>
      </c>
      <c r="E879">
        <v>60</v>
      </c>
      <c r="F879">
        <v>58.627246857000003</v>
      </c>
      <c r="G879">
        <v>1388.4106445</v>
      </c>
      <c r="H879">
        <v>1374.4121094</v>
      </c>
      <c r="I879">
        <v>1292.7430420000001</v>
      </c>
      <c r="J879">
        <v>1276.5095214999999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373.03514100000001</v>
      </c>
      <c r="B880" s="1">
        <f>DATE(2011,5,9) + TIME(0,50,36)</f>
        <v>40672.035138888888</v>
      </c>
      <c r="C880">
        <v>90</v>
      </c>
      <c r="D880">
        <v>89.929992675999998</v>
      </c>
      <c r="E880">
        <v>60</v>
      </c>
      <c r="F880">
        <v>58.598175048999998</v>
      </c>
      <c r="G880">
        <v>1388.3416748</v>
      </c>
      <c r="H880">
        <v>1374.3544922000001</v>
      </c>
      <c r="I880">
        <v>1292.7368164</v>
      </c>
      <c r="J880">
        <v>1276.5014647999999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373.242369</v>
      </c>
      <c r="B881" s="1">
        <f>DATE(2011,5,9) + TIME(5,49,0)</f>
        <v>40672.242361111108</v>
      </c>
      <c r="C881">
        <v>90</v>
      </c>
      <c r="D881">
        <v>89.930213928000001</v>
      </c>
      <c r="E881">
        <v>60</v>
      </c>
      <c r="F881">
        <v>58.568775176999999</v>
      </c>
      <c r="G881">
        <v>1388.2733154</v>
      </c>
      <c r="H881">
        <v>1374.2973632999999</v>
      </c>
      <c r="I881">
        <v>1292.7303466999999</v>
      </c>
      <c r="J881">
        <v>1276.4932861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373.45307600000001</v>
      </c>
      <c r="B882" s="1">
        <f>DATE(2011,5,9) + TIME(10,52,25)</f>
        <v>40672.453067129631</v>
      </c>
      <c r="C882">
        <v>90</v>
      </c>
      <c r="D882">
        <v>89.930397033999995</v>
      </c>
      <c r="E882">
        <v>60</v>
      </c>
      <c r="F882">
        <v>58.539016724</v>
      </c>
      <c r="G882">
        <v>1388.2053223</v>
      </c>
      <c r="H882">
        <v>1374.2407227000001</v>
      </c>
      <c r="I882">
        <v>1292.7238769999999</v>
      </c>
      <c r="J882">
        <v>1276.4849853999999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373.66764499999999</v>
      </c>
      <c r="B883" s="1">
        <f>DATE(2011,5,9) + TIME(16,1,24)</f>
        <v>40672.667638888888</v>
      </c>
      <c r="C883">
        <v>90</v>
      </c>
      <c r="D883">
        <v>89.930549622000001</v>
      </c>
      <c r="E883">
        <v>60</v>
      </c>
      <c r="F883">
        <v>58.508853911999999</v>
      </c>
      <c r="G883">
        <v>1388.1375731999999</v>
      </c>
      <c r="H883">
        <v>1374.1843262</v>
      </c>
      <c r="I883">
        <v>1292.7172852000001</v>
      </c>
      <c r="J883">
        <v>1276.4764404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373.88655299999999</v>
      </c>
      <c r="B884" s="1">
        <f>DATE(2011,5,9) + TIME(21,16,38)</f>
        <v>40672.886550925927</v>
      </c>
      <c r="C884">
        <v>90</v>
      </c>
      <c r="D884">
        <v>89.930686950999998</v>
      </c>
      <c r="E884">
        <v>60</v>
      </c>
      <c r="F884">
        <v>58.478237151999998</v>
      </c>
      <c r="G884">
        <v>1388.0700684000001</v>
      </c>
      <c r="H884">
        <v>1374.1281738</v>
      </c>
      <c r="I884">
        <v>1292.7105713000001</v>
      </c>
      <c r="J884">
        <v>1276.4677733999999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374.11009100000001</v>
      </c>
      <c r="B885" s="1">
        <f>DATE(2011,5,10) + TIME(2,38,31)</f>
        <v>40673.110081018516</v>
      </c>
      <c r="C885">
        <v>90</v>
      </c>
      <c r="D885">
        <v>89.930793761999993</v>
      </c>
      <c r="E885">
        <v>60</v>
      </c>
      <c r="F885">
        <v>58.447128296000002</v>
      </c>
      <c r="G885">
        <v>1388.0025635</v>
      </c>
      <c r="H885">
        <v>1374.0721435999999</v>
      </c>
      <c r="I885">
        <v>1292.7036132999999</v>
      </c>
      <c r="J885">
        <v>1276.4589844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374.33870300000001</v>
      </c>
      <c r="B886" s="1">
        <f>DATE(2011,5,10) + TIME(8,7,43)</f>
        <v>40673.338692129626</v>
      </c>
      <c r="C886">
        <v>90</v>
      </c>
      <c r="D886">
        <v>89.930885314999998</v>
      </c>
      <c r="E886">
        <v>60</v>
      </c>
      <c r="F886">
        <v>58.415477752999998</v>
      </c>
      <c r="G886">
        <v>1387.9351807</v>
      </c>
      <c r="H886">
        <v>1374.0161132999999</v>
      </c>
      <c r="I886">
        <v>1292.6965332</v>
      </c>
      <c r="J886">
        <v>1276.4499512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374.57286900000003</v>
      </c>
      <c r="B887" s="1">
        <f>DATE(2011,5,10) + TIME(13,44,55)</f>
        <v>40673.572858796295</v>
      </c>
      <c r="C887">
        <v>90</v>
      </c>
      <c r="D887">
        <v>89.930969238000003</v>
      </c>
      <c r="E887">
        <v>60</v>
      </c>
      <c r="F887">
        <v>58.383235931000002</v>
      </c>
      <c r="G887">
        <v>1387.8675536999999</v>
      </c>
      <c r="H887">
        <v>1373.9599608999999</v>
      </c>
      <c r="I887">
        <v>1292.6893310999999</v>
      </c>
      <c r="J887">
        <v>1276.4407959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374.81311299999999</v>
      </c>
      <c r="B888" s="1">
        <f>DATE(2011,5,10) + TIME(19,30,52)</f>
        <v>40673.813101851854</v>
      </c>
      <c r="C888">
        <v>90</v>
      </c>
      <c r="D888">
        <v>89.931030273000005</v>
      </c>
      <c r="E888">
        <v>60</v>
      </c>
      <c r="F888">
        <v>58.350337981999999</v>
      </c>
      <c r="G888">
        <v>1387.7996826000001</v>
      </c>
      <c r="H888">
        <v>1373.9038086</v>
      </c>
      <c r="I888">
        <v>1292.6818848</v>
      </c>
      <c r="J888">
        <v>1276.4312743999999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375.05996499999998</v>
      </c>
      <c r="B889" s="1">
        <f>DATE(2011,5,11) + TIME(1,26,20)</f>
        <v>40674.059953703705</v>
      </c>
      <c r="C889">
        <v>90</v>
      </c>
      <c r="D889">
        <v>89.931083678999997</v>
      </c>
      <c r="E889">
        <v>60</v>
      </c>
      <c r="F889">
        <v>58.316730499000002</v>
      </c>
      <c r="G889">
        <v>1387.7314452999999</v>
      </c>
      <c r="H889">
        <v>1373.8472899999999</v>
      </c>
      <c r="I889">
        <v>1292.6743164</v>
      </c>
      <c r="J889">
        <v>1276.4216309000001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375.31411500000002</v>
      </c>
      <c r="B890" s="1">
        <f>DATE(2011,5,11) + TIME(7,32,19)</f>
        <v>40674.314108796294</v>
      </c>
      <c r="C890">
        <v>90</v>
      </c>
      <c r="D890">
        <v>89.931129455999994</v>
      </c>
      <c r="E890">
        <v>60</v>
      </c>
      <c r="F890">
        <v>58.282329558999997</v>
      </c>
      <c r="G890">
        <v>1387.6628418</v>
      </c>
      <c r="H890">
        <v>1373.7905272999999</v>
      </c>
      <c r="I890">
        <v>1292.6665039</v>
      </c>
      <c r="J890">
        <v>1276.4116211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375.57628</v>
      </c>
      <c r="B891" s="1">
        <f>DATE(2011,5,11) + TIME(13,49,50)</f>
        <v>40674.576273148145</v>
      </c>
      <c r="C891">
        <v>90</v>
      </c>
      <c r="D891">
        <v>89.931159973000007</v>
      </c>
      <c r="E891">
        <v>60</v>
      </c>
      <c r="F891">
        <v>58.247066498000002</v>
      </c>
      <c r="G891">
        <v>1387.5935059000001</v>
      </c>
      <c r="H891">
        <v>1373.7332764</v>
      </c>
      <c r="I891">
        <v>1292.6584473</v>
      </c>
      <c r="J891">
        <v>1276.4012451000001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375.847264</v>
      </c>
      <c r="B892" s="1">
        <f>DATE(2011,5,11) + TIME(20,20,3)</f>
        <v>40674.847256944442</v>
      </c>
      <c r="C892">
        <v>90</v>
      </c>
      <c r="D892">
        <v>89.931182860999996</v>
      </c>
      <c r="E892">
        <v>60</v>
      </c>
      <c r="F892">
        <v>58.210842133</v>
      </c>
      <c r="G892">
        <v>1387.5235596</v>
      </c>
      <c r="H892">
        <v>1373.6755370999999</v>
      </c>
      <c r="I892">
        <v>1292.6500243999999</v>
      </c>
      <c r="J892">
        <v>1276.390625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376.12295899999998</v>
      </c>
      <c r="B893" s="1">
        <f>DATE(2011,5,12) + TIME(2,57,3)</f>
        <v>40675.12295138889</v>
      </c>
      <c r="C893">
        <v>90</v>
      </c>
      <c r="D893">
        <v>89.931198120000005</v>
      </c>
      <c r="E893">
        <v>60</v>
      </c>
      <c r="F893">
        <v>58.174068450999997</v>
      </c>
      <c r="G893">
        <v>1387.4526367000001</v>
      </c>
      <c r="H893">
        <v>1373.6170654</v>
      </c>
      <c r="I893">
        <v>1292.6413574000001</v>
      </c>
      <c r="J893">
        <v>1276.3796387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376.39965899999999</v>
      </c>
      <c r="B894" s="1">
        <f>DATE(2011,5,12) + TIME(9,35,30)</f>
        <v>40675.399652777778</v>
      </c>
      <c r="C894">
        <v>90</v>
      </c>
      <c r="D894">
        <v>89.931213378999999</v>
      </c>
      <c r="E894">
        <v>60</v>
      </c>
      <c r="F894">
        <v>58.137142181000002</v>
      </c>
      <c r="G894">
        <v>1387.3820800999999</v>
      </c>
      <c r="H894">
        <v>1373.5588379000001</v>
      </c>
      <c r="I894">
        <v>1292.6324463000001</v>
      </c>
      <c r="J894">
        <v>1276.3684082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376.677865</v>
      </c>
      <c r="B895" s="1">
        <f>DATE(2011,5,12) + TIME(16,16,7)</f>
        <v>40675.677858796298</v>
      </c>
      <c r="C895">
        <v>90</v>
      </c>
      <c r="D895">
        <v>89.931213378999999</v>
      </c>
      <c r="E895">
        <v>60</v>
      </c>
      <c r="F895">
        <v>58.100051880000002</v>
      </c>
      <c r="G895">
        <v>1387.3126221</v>
      </c>
      <c r="H895">
        <v>1373.5015868999999</v>
      </c>
      <c r="I895">
        <v>1292.6234131000001</v>
      </c>
      <c r="J895">
        <v>1276.3571777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376.958055</v>
      </c>
      <c r="B896" s="1">
        <f>DATE(2011,5,12) + TIME(22,59,35)</f>
        <v>40675.958043981482</v>
      </c>
      <c r="C896">
        <v>90</v>
      </c>
      <c r="D896">
        <v>89.931213378999999</v>
      </c>
      <c r="E896">
        <v>60</v>
      </c>
      <c r="F896">
        <v>58.062786101999997</v>
      </c>
      <c r="G896">
        <v>1387.2441406</v>
      </c>
      <c r="H896">
        <v>1373.4453125</v>
      </c>
      <c r="I896">
        <v>1292.6145019999999</v>
      </c>
      <c r="J896">
        <v>1276.3458252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377.24070799999998</v>
      </c>
      <c r="B897" s="1">
        <f>DATE(2011,5,13) + TIME(5,46,37)</f>
        <v>40676.240706018521</v>
      </c>
      <c r="C897">
        <v>90</v>
      </c>
      <c r="D897">
        <v>89.931205750000004</v>
      </c>
      <c r="E897">
        <v>60</v>
      </c>
      <c r="F897">
        <v>58.025318145999996</v>
      </c>
      <c r="G897">
        <v>1387.1766356999999</v>
      </c>
      <c r="H897">
        <v>1373.3897704999999</v>
      </c>
      <c r="I897">
        <v>1292.6053466999999</v>
      </c>
      <c r="J897">
        <v>1276.3343506000001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377.52630900000003</v>
      </c>
      <c r="B898" s="1">
        <f>DATE(2011,5,13) + TIME(12,37,53)</f>
        <v>40676.526307870372</v>
      </c>
      <c r="C898">
        <v>90</v>
      </c>
      <c r="D898">
        <v>89.931198120000005</v>
      </c>
      <c r="E898">
        <v>60</v>
      </c>
      <c r="F898">
        <v>57.987606049</v>
      </c>
      <c r="G898">
        <v>1387.1097411999999</v>
      </c>
      <c r="H898">
        <v>1373.3347168</v>
      </c>
      <c r="I898">
        <v>1292.5961914</v>
      </c>
      <c r="J898">
        <v>1276.3227539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377.81535100000002</v>
      </c>
      <c r="B899" s="1">
        <f>DATE(2011,5,13) + TIME(19,34,6)</f>
        <v>40676.815347222226</v>
      </c>
      <c r="C899">
        <v>90</v>
      </c>
      <c r="D899">
        <v>89.931182860999996</v>
      </c>
      <c r="E899">
        <v>60</v>
      </c>
      <c r="F899">
        <v>57.949615479000002</v>
      </c>
      <c r="G899">
        <v>1387.043457</v>
      </c>
      <c r="H899">
        <v>1373.2803954999999</v>
      </c>
      <c r="I899">
        <v>1292.5869141000001</v>
      </c>
      <c r="J899">
        <v>1276.3109131000001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378.10837299999997</v>
      </c>
      <c r="B900" s="1">
        <f>DATE(2011,5,14) + TIME(2,36,3)</f>
        <v>40677.108368055553</v>
      </c>
      <c r="C900">
        <v>90</v>
      </c>
      <c r="D900">
        <v>89.931167603000006</v>
      </c>
      <c r="E900">
        <v>60</v>
      </c>
      <c r="F900">
        <v>57.911293030000003</v>
      </c>
      <c r="G900">
        <v>1386.9776611</v>
      </c>
      <c r="H900">
        <v>1373.2263184000001</v>
      </c>
      <c r="I900">
        <v>1292.5775146000001</v>
      </c>
      <c r="J900">
        <v>1276.2990723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378.40605799999997</v>
      </c>
      <c r="B901" s="1">
        <f>DATE(2011,5,14) + TIME(9,44,43)</f>
        <v>40677.406053240738</v>
      </c>
      <c r="C901">
        <v>90</v>
      </c>
      <c r="D901">
        <v>89.931152343999997</v>
      </c>
      <c r="E901">
        <v>60</v>
      </c>
      <c r="F901">
        <v>57.872566223</v>
      </c>
      <c r="G901">
        <v>1386.9121094</v>
      </c>
      <c r="H901">
        <v>1373.1726074000001</v>
      </c>
      <c r="I901">
        <v>1292.5679932</v>
      </c>
      <c r="J901">
        <v>1276.2869873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378.70880299999999</v>
      </c>
      <c r="B902" s="1">
        <f>DATE(2011,5,14) + TIME(17,0,40)</f>
        <v>40677.708796296298</v>
      </c>
      <c r="C902">
        <v>90</v>
      </c>
      <c r="D902">
        <v>89.931137085000003</v>
      </c>
      <c r="E902">
        <v>60</v>
      </c>
      <c r="F902">
        <v>57.833404541</v>
      </c>
      <c r="G902">
        <v>1386.8468018000001</v>
      </c>
      <c r="H902">
        <v>1373.1190185999999</v>
      </c>
      <c r="I902">
        <v>1292.5582274999999</v>
      </c>
      <c r="J902">
        <v>1276.2746582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379.01716199999998</v>
      </c>
      <c r="B903" s="1">
        <f>DATE(2011,5,15) + TIME(0,24,42)</f>
        <v>40678.017152777778</v>
      </c>
      <c r="C903">
        <v>90</v>
      </c>
      <c r="D903">
        <v>89.931114196999999</v>
      </c>
      <c r="E903">
        <v>60</v>
      </c>
      <c r="F903">
        <v>57.793739318999997</v>
      </c>
      <c r="G903">
        <v>1386.7816161999999</v>
      </c>
      <c r="H903">
        <v>1373.0656738</v>
      </c>
      <c r="I903">
        <v>1292.5483397999999</v>
      </c>
      <c r="J903">
        <v>1276.2620850000001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379.329162</v>
      </c>
      <c r="B904" s="1">
        <f>DATE(2011,5,15) + TIME(7,53,59)</f>
        <v>40678.329155092593</v>
      </c>
      <c r="C904">
        <v>90</v>
      </c>
      <c r="D904">
        <v>89.931091308999996</v>
      </c>
      <c r="E904">
        <v>60</v>
      </c>
      <c r="F904">
        <v>57.753757477000001</v>
      </c>
      <c r="G904">
        <v>1386.7164307</v>
      </c>
      <c r="H904">
        <v>1373.012207</v>
      </c>
      <c r="I904">
        <v>1292.5382079999999</v>
      </c>
      <c r="J904">
        <v>1276.2492675999999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379.64533599999999</v>
      </c>
      <c r="B905" s="1">
        <f>DATE(2011,5,15) + TIME(15,29,17)</f>
        <v>40678.645335648151</v>
      </c>
      <c r="C905">
        <v>90</v>
      </c>
      <c r="D905">
        <v>89.931068420000003</v>
      </c>
      <c r="E905">
        <v>60</v>
      </c>
      <c r="F905">
        <v>57.713413238999998</v>
      </c>
      <c r="G905">
        <v>1386.6516113</v>
      </c>
      <c r="H905">
        <v>1372.9592285000001</v>
      </c>
      <c r="I905">
        <v>1292.527832</v>
      </c>
      <c r="J905">
        <v>1276.2363281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379.96621199999998</v>
      </c>
      <c r="B906" s="1">
        <f>DATE(2011,5,15) + TIME(23,11,20)</f>
        <v>40678.966203703705</v>
      </c>
      <c r="C906">
        <v>90</v>
      </c>
      <c r="D906">
        <v>89.931037903000004</v>
      </c>
      <c r="E906">
        <v>60</v>
      </c>
      <c r="F906">
        <v>57.672672272</v>
      </c>
      <c r="G906">
        <v>1386.5870361</v>
      </c>
      <c r="H906">
        <v>1372.9064940999999</v>
      </c>
      <c r="I906">
        <v>1292.5174560999999</v>
      </c>
      <c r="J906">
        <v>1276.2231445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380.29245800000001</v>
      </c>
      <c r="B907" s="1">
        <f>DATE(2011,5,16) + TIME(7,1,8)</f>
        <v>40679.292453703703</v>
      </c>
      <c r="C907">
        <v>90</v>
      </c>
      <c r="D907">
        <v>89.931015015</v>
      </c>
      <c r="E907">
        <v>60</v>
      </c>
      <c r="F907">
        <v>57.631469727000002</v>
      </c>
      <c r="G907">
        <v>1386.5228271000001</v>
      </c>
      <c r="H907">
        <v>1372.8538818</v>
      </c>
      <c r="I907">
        <v>1292.5067139</v>
      </c>
      <c r="J907">
        <v>1276.2097168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380.624684</v>
      </c>
      <c r="B908" s="1">
        <f>DATE(2011,5,16) + TIME(14,59,32)</f>
        <v>40679.624675925923</v>
      </c>
      <c r="C908">
        <v>90</v>
      </c>
      <c r="D908">
        <v>89.930984496999997</v>
      </c>
      <c r="E908">
        <v>60</v>
      </c>
      <c r="F908">
        <v>57.589748383</v>
      </c>
      <c r="G908">
        <v>1386.4584961</v>
      </c>
      <c r="H908">
        <v>1372.8013916</v>
      </c>
      <c r="I908">
        <v>1292.4959716999999</v>
      </c>
      <c r="J908">
        <v>1276.1960449000001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380.96342099999998</v>
      </c>
      <c r="B909" s="1">
        <f>DATE(2011,5,16) + TIME(23,7,19)</f>
        <v>40679.963414351849</v>
      </c>
      <c r="C909">
        <v>90</v>
      </c>
      <c r="D909">
        <v>89.930961608999993</v>
      </c>
      <c r="E909">
        <v>60</v>
      </c>
      <c r="F909">
        <v>57.547454834</v>
      </c>
      <c r="G909">
        <v>1386.3941649999999</v>
      </c>
      <c r="H909">
        <v>1372.7489014</v>
      </c>
      <c r="I909">
        <v>1292.4848632999999</v>
      </c>
      <c r="J909">
        <v>1276.1820068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381.30936100000002</v>
      </c>
      <c r="B910" s="1">
        <f>DATE(2011,5,17) + TIME(7,25,28)</f>
        <v>40680.309351851851</v>
      </c>
      <c r="C910">
        <v>90</v>
      </c>
      <c r="D910">
        <v>89.930931091000005</v>
      </c>
      <c r="E910">
        <v>60</v>
      </c>
      <c r="F910">
        <v>57.504520415999998</v>
      </c>
      <c r="G910">
        <v>1386.3298339999999</v>
      </c>
      <c r="H910">
        <v>1372.6962891000001</v>
      </c>
      <c r="I910">
        <v>1292.4735106999999</v>
      </c>
      <c r="J910">
        <v>1276.1677245999999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381.663253</v>
      </c>
      <c r="B911" s="1">
        <f>DATE(2011,5,17) + TIME(15,55,5)</f>
        <v>40680.663252314815</v>
      </c>
      <c r="C911">
        <v>90</v>
      </c>
      <c r="D911">
        <v>89.930900574000006</v>
      </c>
      <c r="E911">
        <v>60</v>
      </c>
      <c r="F911">
        <v>57.460872649999999</v>
      </c>
      <c r="G911">
        <v>1386.2651367000001</v>
      </c>
      <c r="H911">
        <v>1372.6435547000001</v>
      </c>
      <c r="I911">
        <v>1292.4619141000001</v>
      </c>
      <c r="J911">
        <v>1276.1530762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382.02588900000001</v>
      </c>
      <c r="B912" s="1">
        <f>DATE(2011,5,18) + TIME(0,37,16)</f>
        <v>40681.025879629633</v>
      </c>
      <c r="C912">
        <v>90</v>
      </c>
      <c r="D912">
        <v>89.930877686000002</v>
      </c>
      <c r="E912">
        <v>60</v>
      </c>
      <c r="F912">
        <v>57.416431426999999</v>
      </c>
      <c r="G912">
        <v>1386.2001952999999</v>
      </c>
      <c r="H912">
        <v>1372.5905762</v>
      </c>
      <c r="I912">
        <v>1292.4499512</v>
      </c>
      <c r="J912">
        <v>1276.1380615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382.398121</v>
      </c>
      <c r="B913" s="1">
        <f>DATE(2011,5,18) + TIME(9,33,17)</f>
        <v>40681.398113425923</v>
      </c>
      <c r="C913">
        <v>90</v>
      </c>
      <c r="D913">
        <v>89.930847168</v>
      </c>
      <c r="E913">
        <v>60</v>
      </c>
      <c r="F913">
        <v>57.371112822999997</v>
      </c>
      <c r="G913">
        <v>1386.1347656</v>
      </c>
      <c r="H913">
        <v>1372.5372314000001</v>
      </c>
      <c r="I913">
        <v>1292.4377440999999</v>
      </c>
      <c r="J913">
        <v>1276.1226807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382.77564799999999</v>
      </c>
      <c r="B914" s="1">
        <f>DATE(2011,5,18) + TIME(18,36,56)</f>
        <v>40681.775648148148</v>
      </c>
      <c r="C914">
        <v>90</v>
      </c>
      <c r="D914">
        <v>89.930816649999997</v>
      </c>
      <c r="E914">
        <v>60</v>
      </c>
      <c r="F914">
        <v>57.325267791999998</v>
      </c>
      <c r="G914">
        <v>1386.0687256000001</v>
      </c>
      <c r="H914">
        <v>1372.4833983999999</v>
      </c>
      <c r="I914">
        <v>1292.4250488</v>
      </c>
      <c r="J914">
        <v>1276.1066894999999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383.15411899999998</v>
      </c>
      <c r="B915" s="1">
        <f>DATE(2011,5,19) + TIME(3,41,55)</f>
        <v>40682.154108796298</v>
      </c>
      <c r="C915">
        <v>90</v>
      </c>
      <c r="D915">
        <v>89.930786132999998</v>
      </c>
      <c r="E915">
        <v>60</v>
      </c>
      <c r="F915">
        <v>57.279300689999999</v>
      </c>
      <c r="G915">
        <v>1386.0030518000001</v>
      </c>
      <c r="H915">
        <v>1372.4298096</v>
      </c>
      <c r="I915">
        <v>1292.4121094</v>
      </c>
      <c r="J915">
        <v>1276.0905762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383.53418499999998</v>
      </c>
      <c r="B916" s="1">
        <f>DATE(2011,5,19) + TIME(12,49,13)</f>
        <v>40682.534178240741</v>
      </c>
      <c r="C916">
        <v>90</v>
      </c>
      <c r="D916">
        <v>89.930755614999995</v>
      </c>
      <c r="E916">
        <v>60</v>
      </c>
      <c r="F916">
        <v>57.233226776000002</v>
      </c>
      <c r="G916">
        <v>1385.9382324000001</v>
      </c>
      <c r="H916">
        <v>1372.3770752</v>
      </c>
      <c r="I916">
        <v>1292.3991699000001</v>
      </c>
      <c r="J916">
        <v>1276.0743408000001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383.91647799999998</v>
      </c>
      <c r="B917" s="1">
        <f>DATE(2011,5,19) + TIME(21,59,43)</f>
        <v>40682.91646990741</v>
      </c>
      <c r="C917">
        <v>90</v>
      </c>
      <c r="D917">
        <v>89.930725097999996</v>
      </c>
      <c r="E917">
        <v>60</v>
      </c>
      <c r="F917">
        <v>57.187034607000001</v>
      </c>
      <c r="G917">
        <v>1385.8741454999999</v>
      </c>
      <c r="H917">
        <v>1372.3249512</v>
      </c>
      <c r="I917">
        <v>1292.3861084</v>
      </c>
      <c r="J917">
        <v>1276.0578613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384.301625</v>
      </c>
      <c r="B918" s="1">
        <f>DATE(2011,5,20) + TIME(7,14,20)</f>
        <v>40683.301620370374</v>
      </c>
      <c r="C918">
        <v>90</v>
      </c>
      <c r="D918">
        <v>89.930702209000003</v>
      </c>
      <c r="E918">
        <v>60</v>
      </c>
      <c r="F918">
        <v>57.140701294000003</v>
      </c>
      <c r="G918">
        <v>1385.8109131000001</v>
      </c>
      <c r="H918">
        <v>1372.2734375</v>
      </c>
      <c r="I918">
        <v>1292.3729248</v>
      </c>
      <c r="J918">
        <v>1276.0413818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384.690268</v>
      </c>
      <c r="B919" s="1">
        <f>DATE(2011,5,20) + TIME(16,33,59)</f>
        <v>40683.690266203703</v>
      </c>
      <c r="C919">
        <v>90</v>
      </c>
      <c r="D919">
        <v>89.930671692000004</v>
      </c>
      <c r="E919">
        <v>60</v>
      </c>
      <c r="F919">
        <v>57.094181061</v>
      </c>
      <c r="G919">
        <v>1385.7481689000001</v>
      </c>
      <c r="H919">
        <v>1372.2224120999999</v>
      </c>
      <c r="I919">
        <v>1292.3596190999999</v>
      </c>
      <c r="J919">
        <v>1276.0245361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385.083056</v>
      </c>
      <c r="B920" s="1">
        <f>DATE(2011,5,21) + TIME(1,59,36)</f>
        <v>40684.083055555559</v>
      </c>
      <c r="C920">
        <v>90</v>
      </c>
      <c r="D920">
        <v>89.930641174000002</v>
      </c>
      <c r="E920">
        <v>60</v>
      </c>
      <c r="F920">
        <v>57.047424315999997</v>
      </c>
      <c r="G920">
        <v>1385.6859131000001</v>
      </c>
      <c r="H920">
        <v>1372.1716309000001</v>
      </c>
      <c r="I920">
        <v>1292.3460693</v>
      </c>
      <c r="J920">
        <v>1276.0075684000001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385.48065200000002</v>
      </c>
      <c r="B921" s="1">
        <f>DATE(2011,5,21) + TIME(11,32,8)</f>
        <v>40684.48064814815</v>
      </c>
      <c r="C921">
        <v>90</v>
      </c>
      <c r="D921">
        <v>89.930618285999998</v>
      </c>
      <c r="E921">
        <v>60</v>
      </c>
      <c r="F921">
        <v>57.000370025999999</v>
      </c>
      <c r="G921">
        <v>1385.6240233999999</v>
      </c>
      <c r="H921">
        <v>1372.1213379000001</v>
      </c>
      <c r="I921">
        <v>1292.3323975000001</v>
      </c>
      <c r="J921">
        <v>1275.9903564000001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385.88394</v>
      </c>
      <c r="B922" s="1">
        <f>DATE(2011,5,21) + TIME(21,12,52)</f>
        <v>40684.883935185186</v>
      </c>
      <c r="C922">
        <v>90</v>
      </c>
      <c r="D922">
        <v>89.930587768999999</v>
      </c>
      <c r="E922">
        <v>60</v>
      </c>
      <c r="F922">
        <v>56.952941895000002</v>
      </c>
      <c r="G922">
        <v>1385.5623779</v>
      </c>
      <c r="H922">
        <v>1372.0711670000001</v>
      </c>
      <c r="I922">
        <v>1292.3184814000001</v>
      </c>
      <c r="J922">
        <v>1275.9729004000001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386.29357499999998</v>
      </c>
      <c r="B923" s="1">
        <f>DATE(2011,5,22) + TIME(7,2,44)</f>
        <v>40685.293564814812</v>
      </c>
      <c r="C923">
        <v>90</v>
      </c>
      <c r="D923">
        <v>89.930564880000006</v>
      </c>
      <c r="E923">
        <v>60</v>
      </c>
      <c r="F923">
        <v>56.905071259000003</v>
      </c>
      <c r="G923">
        <v>1385.5007324000001</v>
      </c>
      <c r="H923">
        <v>1372.0209961</v>
      </c>
      <c r="I923">
        <v>1292.3043213000001</v>
      </c>
      <c r="J923">
        <v>1275.9549560999999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386.71025100000003</v>
      </c>
      <c r="B924" s="1">
        <f>DATE(2011,5,22) + TIME(17,2,45)</f>
        <v>40685.710243055553</v>
      </c>
      <c r="C924">
        <v>90</v>
      </c>
      <c r="D924">
        <v>89.930541992000002</v>
      </c>
      <c r="E924">
        <v>60</v>
      </c>
      <c r="F924">
        <v>56.856693268000001</v>
      </c>
      <c r="G924">
        <v>1385.4392089999999</v>
      </c>
      <c r="H924">
        <v>1371.9709473</v>
      </c>
      <c r="I924">
        <v>1292.2899170000001</v>
      </c>
      <c r="J924">
        <v>1275.9367675999999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387.13479999999998</v>
      </c>
      <c r="B925" s="1">
        <f>DATE(2011,5,23) + TIME(3,14,6)</f>
        <v>40686.134791666664</v>
      </c>
      <c r="C925">
        <v>90</v>
      </c>
      <c r="D925">
        <v>89.930511475000003</v>
      </c>
      <c r="E925">
        <v>60</v>
      </c>
      <c r="F925">
        <v>56.807720183999997</v>
      </c>
      <c r="G925">
        <v>1385.3775635</v>
      </c>
      <c r="H925">
        <v>1371.9208983999999</v>
      </c>
      <c r="I925">
        <v>1292.2751464999999</v>
      </c>
      <c r="J925">
        <v>1275.9182129000001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387.56811800000003</v>
      </c>
      <c r="B926" s="1">
        <f>DATE(2011,5,23) + TIME(13,38,5)</f>
        <v>40686.568113425928</v>
      </c>
      <c r="C926">
        <v>90</v>
      </c>
      <c r="D926">
        <v>89.930488585999996</v>
      </c>
      <c r="E926">
        <v>60</v>
      </c>
      <c r="F926">
        <v>56.758075714</v>
      </c>
      <c r="G926">
        <v>1385.3157959</v>
      </c>
      <c r="H926">
        <v>1371.8706055</v>
      </c>
      <c r="I926">
        <v>1292.2600098</v>
      </c>
      <c r="J926">
        <v>1275.8991699000001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388.009657</v>
      </c>
      <c r="B927" s="1">
        <f>DATE(2011,5,24) + TIME(0,13,54)</f>
        <v>40687.009652777779</v>
      </c>
      <c r="C927">
        <v>90</v>
      </c>
      <c r="D927">
        <v>89.930465698000006</v>
      </c>
      <c r="E927">
        <v>60</v>
      </c>
      <c r="F927">
        <v>56.707778931</v>
      </c>
      <c r="G927">
        <v>1385.2536620999999</v>
      </c>
      <c r="H927">
        <v>1371.8200684000001</v>
      </c>
      <c r="I927">
        <v>1292.2445068</v>
      </c>
      <c r="J927">
        <v>1275.8796387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388.45689099999998</v>
      </c>
      <c r="B928" s="1">
        <f>DATE(2011,5,24) + TIME(10,57,55)</f>
        <v>40687.456886574073</v>
      </c>
      <c r="C928">
        <v>90</v>
      </c>
      <c r="D928">
        <v>89.930442810000002</v>
      </c>
      <c r="E928">
        <v>60</v>
      </c>
      <c r="F928">
        <v>56.657012938999998</v>
      </c>
      <c r="G928">
        <v>1385.1914062000001</v>
      </c>
      <c r="H928">
        <v>1371.7694091999999</v>
      </c>
      <c r="I928">
        <v>1292.2286377</v>
      </c>
      <c r="J928">
        <v>1275.8596190999999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388.910618</v>
      </c>
      <c r="B929" s="1">
        <f>DATE(2011,5,24) + TIME(21,51,17)</f>
        <v>40687.910613425927</v>
      </c>
      <c r="C929">
        <v>90</v>
      </c>
      <c r="D929">
        <v>89.930412292</v>
      </c>
      <c r="E929">
        <v>60</v>
      </c>
      <c r="F929">
        <v>56.605751038000001</v>
      </c>
      <c r="G929">
        <v>1385.1292725000001</v>
      </c>
      <c r="H929">
        <v>1371.7188721</v>
      </c>
      <c r="I929">
        <v>1292.2125243999999</v>
      </c>
      <c r="J929">
        <v>1275.8392334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389.371849</v>
      </c>
      <c r="B930" s="1">
        <f>DATE(2011,5,25) + TIME(8,55,27)</f>
        <v>40688.371840277781</v>
      </c>
      <c r="C930">
        <v>90</v>
      </c>
      <c r="D930">
        <v>89.930389403999996</v>
      </c>
      <c r="E930">
        <v>60</v>
      </c>
      <c r="F930">
        <v>56.553928374999998</v>
      </c>
      <c r="G930">
        <v>1385.0671387</v>
      </c>
      <c r="H930">
        <v>1371.668457</v>
      </c>
      <c r="I930">
        <v>1292.1960449000001</v>
      </c>
      <c r="J930">
        <v>1275.8184814000001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389.84135400000002</v>
      </c>
      <c r="B931" s="1">
        <f>DATE(2011,5,25) + TIME(20,11,33)</f>
        <v>40688.841354166667</v>
      </c>
      <c r="C931">
        <v>90</v>
      </c>
      <c r="D931">
        <v>89.930366516000007</v>
      </c>
      <c r="E931">
        <v>60</v>
      </c>
      <c r="F931">
        <v>56.501495361000003</v>
      </c>
      <c r="G931">
        <v>1385.0050048999999</v>
      </c>
      <c r="H931">
        <v>1371.6179199000001</v>
      </c>
      <c r="I931">
        <v>1292.1791992000001</v>
      </c>
      <c r="J931">
        <v>1275.7971190999999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390.31995899999998</v>
      </c>
      <c r="B932" s="1">
        <f>DATE(2011,5,26) + TIME(7,40,44)</f>
        <v>40689.319953703707</v>
      </c>
      <c r="C932">
        <v>90</v>
      </c>
      <c r="D932">
        <v>89.930343628000003</v>
      </c>
      <c r="E932">
        <v>60</v>
      </c>
      <c r="F932">
        <v>56.448379516999999</v>
      </c>
      <c r="G932">
        <v>1384.942749</v>
      </c>
      <c r="H932">
        <v>1371.5672606999999</v>
      </c>
      <c r="I932">
        <v>1292.1618652</v>
      </c>
      <c r="J932">
        <v>1275.7753906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390.80280099999999</v>
      </c>
      <c r="B933" s="1">
        <f>DATE(2011,5,26) + TIME(19,16,1)</f>
        <v>40689.802789351852</v>
      </c>
      <c r="C933">
        <v>90</v>
      </c>
      <c r="D933">
        <v>89.930328368999994</v>
      </c>
      <c r="E933">
        <v>60</v>
      </c>
      <c r="F933">
        <v>56.394916533999996</v>
      </c>
      <c r="G933">
        <v>1384.880249</v>
      </c>
      <c r="H933">
        <v>1371.5164795000001</v>
      </c>
      <c r="I933">
        <v>1292.1441649999999</v>
      </c>
      <c r="J933">
        <v>1275.7530518000001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391.28724599999998</v>
      </c>
      <c r="B934" s="1">
        <f>DATE(2011,5,27) + TIME(6,53,38)</f>
        <v>40690.287245370368</v>
      </c>
      <c r="C934">
        <v>90</v>
      </c>
      <c r="D934">
        <v>89.930305481000005</v>
      </c>
      <c r="E934">
        <v>60</v>
      </c>
      <c r="F934">
        <v>56.341350554999998</v>
      </c>
      <c r="G934">
        <v>1384.8182373</v>
      </c>
      <c r="H934">
        <v>1371.4659423999999</v>
      </c>
      <c r="I934">
        <v>1292.1262207</v>
      </c>
      <c r="J934">
        <v>1275.7303466999999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391.77412700000002</v>
      </c>
      <c r="B935" s="1">
        <f>DATE(2011,5,27) + TIME(18,34,44)</f>
        <v>40690.77412037037</v>
      </c>
      <c r="C935">
        <v>90</v>
      </c>
      <c r="D935">
        <v>89.930282593000001</v>
      </c>
      <c r="E935">
        <v>60</v>
      </c>
      <c r="F935">
        <v>56.287696838000002</v>
      </c>
      <c r="G935">
        <v>1384.7568358999999</v>
      </c>
      <c r="H935">
        <v>1371.4160156</v>
      </c>
      <c r="I935">
        <v>1292.1080322</v>
      </c>
      <c r="J935">
        <v>1275.7075195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392.26426199999997</v>
      </c>
      <c r="B936" s="1">
        <f>DATE(2011,5,28) + TIME(6,20,32)</f>
        <v>40691.26425925926</v>
      </c>
      <c r="C936">
        <v>90</v>
      </c>
      <c r="D936">
        <v>89.930259704999997</v>
      </c>
      <c r="E936">
        <v>60</v>
      </c>
      <c r="F936">
        <v>56.233936309999997</v>
      </c>
      <c r="G936">
        <v>1384.6960449000001</v>
      </c>
      <c r="H936">
        <v>1371.3665771000001</v>
      </c>
      <c r="I936">
        <v>1292.0897216999999</v>
      </c>
      <c r="J936">
        <v>1275.6843262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392.75848100000002</v>
      </c>
      <c r="B937" s="1">
        <f>DATE(2011,5,28) + TIME(18,12,12)</f>
        <v>40691.758472222224</v>
      </c>
      <c r="C937">
        <v>90</v>
      </c>
      <c r="D937">
        <v>89.930244446000003</v>
      </c>
      <c r="E937">
        <v>60</v>
      </c>
      <c r="F937">
        <v>56.180015564000001</v>
      </c>
      <c r="G937">
        <v>1384.6357422000001</v>
      </c>
      <c r="H937">
        <v>1371.3175048999999</v>
      </c>
      <c r="I937">
        <v>1292.0711670000001</v>
      </c>
      <c r="J937">
        <v>1275.6607666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393.25762900000001</v>
      </c>
      <c r="B938" s="1">
        <f>DATE(2011,5,29) + TIME(6,10,59)</f>
        <v>40692.257627314815</v>
      </c>
      <c r="C938">
        <v>90</v>
      </c>
      <c r="D938">
        <v>89.930221558</v>
      </c>
      <c r="E938">
        <v>60</v>
      </c>
      <c r="F938">
        <v>56.125881194999998</v>
      </c>
      <c r="G938">
        <v>1384.5758057</v>
      </c>
      <c r="H938">
        <v>1371.2687988</v>
      </c>
      <c r="I938">
        <v>1292.0522461</v>
      </c>
      <c r="J938">
        <v>1275.6368408000001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393.76256100000001</v>
      </c>
      <c r="B939" s="1">
        <f>DATE(2011,5,29) + TIME(18,18,5)</f>
        <v>40692.762557870374</v>
      </c>
      <c r="C939">
        <v>90</v>
      </c>
      <c r="D939">
        <v>89.930206299000005</v>
      </c>
      <c r="E939">
        <v>60</v>
      </c>
      <c r="F939">
        <v>56.071460723999998</v>
      </c>
      <c r="G939">
        <v>1384.5162353999999</v>
      </c>
      <c r="H939">
        <v>1371.2202147999999</v>
      </c>
      <c r="I939">
        <v>1292.0330810999999</v>
      </c>
      <c r="J939">
        <v>1275.6125488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394.27444200000002</v>
      </c>
      <c r="B940" s="1">
        <f>DATE(2011,5,30) + TIME(6,35,11)</f>
        <v>40693.27443287037</v>
      </c>
      <c r="C940">
        <v>90</v>
      </c>
      <c r="D940">
        <v>89.930191039999997</v>
      </c>
      <c r="E940">
        <v>60</v>
      </c>
      <c r="F940">
        <v>56.016651154000002</v>
      </c>
      <c r="G940">
        <v>1384.4567870999999</v>
      </c>
      <c r="H940">
        <v>1371.171875</v>
      </c>
      <c r="I940">
        <v>1292.0135498</v>
      </c>
      <c r="J940">
        <v>1275.5876464999999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394.794061</v>
      </c>
      <c r="B941" s="1">
        <f>DATE(2011,5,30) + TIME(19,3,26)</f>
        <v>40693.794050925928</v>
      </c>
      <c r="C941">
        <v>90</v>
      </c>
      <c r="D941">
        <v>89.930175781000003</v>
      </c>
      <c r="E941">
        <v>60</v>
      </c>
      <c r="F941">
        <v>55.961383820000002</v>
      </c>
      <c r="G941">
        <v>1384.3973389</v>
      </c>
      <c r="H941">
        <v>1371.1234131000001</v>
      </c>
      <c r="I941">
        <v>1291.9936522999999</v>
      </c>
      <c r="J941">
        <v>1275.5623779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395.32234599999998</v>
      </c>
      <c r="B942" s="1">
        <f>DATE(2011,5,31) + TIME(7,44,10)</f>
        <v>40694.322337962964</v>
      </c>
      <c r="C942">
        <v>90</v>
      </c>
      <c r="D942">
        <v>89.930160521999994</v>
      </c>
      <c r="E942">
        <v>60</v>
      </c>
      <c r="F942">
        <v>55.905567169000001</v>
      </c>
      <c r="G942">
        <v>1384.3378906</v>
      </c>
      <c r="H942">
        <v>1371.0750731999999</v>
      </c>
      <c r="I942">
        <v>1291.9732666</v>
      </c>
      <c r="J942">
        <v>1275.5363769999999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395.86037399999998</v>
      </c>
      <c r="B943" s="1">
        <f>DATE(2011,5,31) + TIME(20,38,56)</f>
        <v>40694.86037037037</v>
      </c>
      <c r="C943">
        <v>90</v>
      </c>
      <c r="D943">
        <v>89.930145264000004</v>
      </c>
      <c r="E943">
        <v>60</v>
      </c>
      <c r="F943">
        <v>55.849102019999997</v>
      </c>
      <c r="G943">
        <v>1384.2781981999999</v>
      </c>
      <c r="H943">
        <v>1371.0264893000001</v>
      </c>
      <c r="I943">
        <v>1291.9523925999999</v>
      </c>
      <c r="J943">
        <v>1275.5098877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396</v>
      </c>
      <c r="B944" s="1">
        <f>DATE(2011,6,1) + TIME(0,0,0)</f>
        <v>40695</v>
      </c>
      <c r="C944">
        <v>90</v>
      </c>
      <c r="D944">
        <v>89.930130004999995</v>
      </c>
      <c r="E944">
        <v>60</v>
      </c>
      <c r="F944">
        <v>55.828727721999996</v>
      </c>
      <c r="G944">
        <v>1384.21875</v>
      </c>
      <c r="H944">
        <v>1370.9780272999999</v>
      </c>
      <c r="I944">
        <v>1291.9283447</v>
      </c>
      <c r="J944">
        <v>1275.4857178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396.54892799999999</v>
      </c>
      <c r="B945" s="1">
        <f>DATE(2011,6,1) + TIME(13,10,27)</f>
        <v>40695.54892361111</v>
      </c>
      <c r="C945">
        <v>90</v>
      </c>
      <c r="D945">
        <v>89.930122374999996</v>
      </c>
      <c r="E945">
        <v>60</v>
      </c>
      <c r="F945">
        <v>55.773719788000001</v>
      </c>
      <c r="G945">
        <v>1384.2026367000001</v>
      </c>
      <c r="H945">
        <v>1370.9648437999999</v>
      </c>
      <c r="I945">
        <v>1291.9255370999999</v>
      </c>
      <c r="J945">
        <v>1275.4747314000001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397.11326500000001</v>
      </c>
      <c r="B946" s="1">
        <f>DATE(2011,6,2) + TIME(2,43,6)</f>
        <v>40696.113263888888</v>
      </c>
      <c r="C946">
        <v>90</v>
      </c>
      <c r="D946">
        <v>89.930107117000006</v>
      </c>
      <c r="E946">
        <v>60</v>
      </c>
      <c r="F946">
        <v>55.716846466</v>
      </c>
      <c r="G946">
        <v>1384.1429443</v>
      </c>
      <c r="H946">
        <v>1370.9162598</v>
      </c>
      <c r="I946">
        <v>1291.9035644999999</v>
      </c>
      <c r="J946">
        <v>1275.4468993999999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397.68948699999999</v>
      </c>
      <c r="B947" s="1">
        <f>DATE(2011,6,2) + TIME(16,32,51)</f>
        <v>40696.689479166664</v>
      </c>
      <c r="C947">
        <v>90</v>
      </c>
      <c r="D947">
        <v>89.930099487000007</v>
      </c>
      <c r="E947">
        <v>60</v>
      </c>
      <c r="F947">
        <v>55.658538817999997</v>
      </c>
      <c r="G947">
        <v>1384.0821533000001</v>
      </c>
      <c r="H947">
        <v>1370.8666992000001</v>
      </c>
      <c r="I947">
        <v>1291.8806152</v>
      </c>
      <c r="J947">
        <v>1275.4177245999999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398.27262300000001</v>
      </c>
      <c r="B948" s="1">
        <f>DATE(2011,6,3) + TIME(6,32,34)</f>
        <v>40697.272615740738</v>
      </c>
      <c r="C948">
        <v>90</v>
      </c>
      <c r="D948">
        <v>89.930084229000002</v>
      </c>
      <c r="E948">
        <v>60</v>
      </c>
      <c r="F948">
        <v>55.599292755</v>
      </c>
      <c r="G948">
        <v>1384.020874</v>
      </c>
      <c r="H948">
        <v>1370.8167725000001</v>
      </c>
      <c r="I948">
        <v>1291.8570557</v>
      </c>
      <c r="J948">
        <v>1275.3876952999999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398.86372899999998</v>
      </c>
      <c r="B949" s="1">
        <f>DATE(2011,6,3) + TIME(20,43,46)</f>
        <v>40697.863726851851</v>
      </c>
      <c r="C949">
        <v>90</v>
      </c>
      <c r="D949">
        <v>89.930076599000003</v>
      </c>
      <c r="E949">
        <v>60</v>
      </c>
      <c r="F949">
        <v>55.539253234999997</v>
      </c>
      <c r="G949">
        <v>1383.9598389</v>
      </c>
      <c r="H949">
        <v>1370.7668457</v>
      </c>
      <c r="I949">
        <v>1291.8328856999999</v>
      </c>
      <c r="J949">
        <v>1275.3569336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399.46301799999998</v>
      </c>
      <c r="B950" s="1">
        <f>DATE(2011,6,4) + TIME(11,6,44)</f>
        <v>40698.463009259256</v>
      </c>
      <c r="C950">
        <v>90</v>
      </c>
      <c r="D950">
        <v>89.930061339999995</v>
      </c>
      <c r="E950">
        <v>60</v>
      </c>
      <c r="F950">
        <v>55.478519439999999</v>
      </c>
      <c r="G950">
        <v>1383.8986815999999</v>
      </c>
      <c r="H950">
        <v>1370.7170410000001</v>
      </c>
      <c r="I950">
        <v>1291.8083495999999</v>
      </c>
      <c r="J950">
        <v>1275.3253173999999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400.06351999999998</v>
      </c>
      <c r="B951" s="1">
        <f>DATE(2011,6,5) + TIME(1,31,28)</f>
        <v>40699.063518518517</v>
      </c>
      <c r="C951">
        <v>90</v>
      </c>
      <c r="D951">
        <v>89.930053710999999</v>
      </c>
      <c r="E951">
        <v>60</v>
      </c>
      <c r="F951">
        <v>55.417583466000004</v>
      </c>
      <c r="G951">
        <v>1383.8376464999999</v>
      </c>
      <c r="H951">
        <v>1370.6672363</v>
      </c>
      <c r="I951">
        <v>1291.7830810999999</v>
      </c>
      <c r="J951">
        <v>1275.2929687999999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400.66628400000002</v>
      </c>
      <c r="B952" s="1">
        <f>DATE(2011,6,5) + TIME(15,59,26)</f>
        <v>40699.666273148148</v>
      </c>
      <c r="C952">
        <v>90</v>
      </c>
      <c r="D952">
        <v>89.930038452000005</v>
      </c>
      <c r="E952">
        <v>60</v>
      </c>
      <c r="F952">
        <v>55.356533051</v>
      </c>
      <c r="G952">
        <v>1383.7773437999999</v>
      </c>
      <c r="H952">
        <v>1370.6179199000001</v>
      </c>
      <c r="I952">
        <v>1291.7575684000001</v>
      </c>
      <c r="J952">
        <v>1275.2602539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401.27234399999998</v>
      </c>
      <c r="B953" s="1">
        <f>DATE(2011,6,6) + TIME(6,32,10)</f>
        <v>40700.272337962961</v>
      </c>
      <c r="C953">
        <v>90</v>
      </c>
      <c r="D953">
        <v>89.930030822999996</v>
      </c>
      <c r="E953">
        <v>60</v>
      </c>
      <c r="F953">
        <v>55.295375823999997</v>
      </c>
      <c r="G953">
        <v>1383.7176514</v>
      </c>
      <c r="H953">
        <v>1370.5690918</v>
      </c>
      <c r="I953">
        <v>1291.7316894999999</v>
      </c>
      <c r="J953">
        <v>1275.2269286999999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401.88274200000001</v>
      </c>
      <c r="B954" s="1">
        <f>DATE(2011,6,6) + TIME(21,11,8)</f>
        <v>40700.882731481484</v>
      </c>
      <c r="C954">
        <v>90</v>
      </c>
      <c r="D954">
        <v>89.930023192999997</v>
      </c>
      <c r="E954">
        <v>60</v>
      </c>
      <c r="F954">
        <v>55.234081267999997</v>
      </c>
      <c r="G954">
        <v>1383.6583252</v>
      </c>
      <c r="H954">
        <v>1370.5206298999999</v>
      </c>
      <c r="I954">
        <v>1291.7055664</v>
      </c>
      <c r="J954">
        <v>1275.1931152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402.49853100000001</v>
      </c>
      <c r="B955" s="1">
        <f>DATE(2011,6,7) + TIME(11,57,53)</f>
        <v>40701.498530092591</v>
      </c>
      <c r="C955">
        <v>90</v>
      </c>
      <c r="D955">
        <v>89.930015564000001</v>
      </c>
      <c r="E955">
        <v>60</v>
      </c>
      <c r="F955">
        <v>55.172576904000003</v>
      </c>
      <c r="G955">
        <v>1383.5994873</v>
      </c>
      <c r="H955">
        <v>1370.4725341999999</v>
      </c>
      <c r="I955">
        <v>1291.6788329999999</v>
      </c>
      <c r="J955">
        <v>1275.1585693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403.12080300000002</v>
      </c>
      <c r="B956" s="1">
        <f>DATE(2011,6,8) + TIME(2,53,57)</f>
        <v>40702.120798611111</v>
      </c>
      <c r="C956">
        <v>90</v>
      </c>
      <c r="D956">
        <v>89.930007935000006</v>
      </c>
      <c r="E956">
        <v>60</v>
      </c>
      <c r="F956">
        <v>55.110786437999998</v>
      </c>
      <c r="G956">
        <v>1383.5408935999999</v>
      </c>
      <c r="H956">
        <v>1370.4245605000001</v>
      </c>
      <c r="I956">
        <v>1291.6517334</v>
      </c>
      <c r="J956">
        <v>1275.1232910000001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403.750719</v>
      </c>
      <c r="B957" s="1">
        <f>DATE(2011,6,8) + TIME(18,1,2)</f>
        <v>40702.750717592593</v>
      </c>
      <c r="C957">
        <v>90</v>
      </c>
      <c r="D957">
        <v>89.930000304999993</v>
      </c>
      <c r="E957">
        <v>60</v>
      </c>
      <c r="F957">
        <v>55.048610687</v>
      </c>
      <c r="G957">
        <v>1383.4824219</v>
      </c>
      <c r="H957">
        <v>1370.3767089999999</v>
      </c>
      <c r="I957">
        <v>1291.6240233999999</v>
      </c>
      <c r="J957">
        <v>1275.0872803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404.388351</v>
      </c>
      <c r="B958" s="1">
        <f>DATE(2011,6,9) + TIME(9,19,13)</f>
        <v>40703.388344907406</v>
      </c>
      <c r="C958">
        <v>90</v>
      </c>
      <c r="D958">
        <v>89.930000304999993</v>
      </c>
      <c r="E958">
        <v>60</v>
      </c>
      <c r="F958">
        <v>54.986011505</v>
      </c>
      <c r="G958">
        <v>1383.4239502</v>
      </c>
      <c r="H958">
        <v>1370.3288574000001</v>
      </c>
      <c r="I958">
        <v>1291.5957031</v>
      </c>
      <c r="J958">
        <v>1275.0504149999999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405.03361000000001</v>
      </c>
      <c r="B959" s="1">
        <f>DATE(2011,6,10) + TIME(0,48,23)</f>
        <v>40704.033599537041</v>
      </c>
      <c r="C959">
        <v>90</v>
      </c>
      <c r="D959">
        <v>89.929992675999998</v>
      </c>
      <c r="E959">
        <v>60</v>
      </c>
      <c r="F959">
        <v>54.922966002999999</v>
      </c>
      <c r="G959">
        <v>1383.3656006000001</v>
      </c>
      <c r="H959">
        <v>1370.2810059000001</v>
      </c>
      <c r="I959">
        <v>1291.5666504000001</v>
      </c>
      <c r="J959">
        <v>1275.0125731999999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405.68787500000002</v>
      </c>
      <c r="B960" s="1">
        <f>DATE(2011,6,10) + TIME(16,30,32)</f>
        <v>40704.68787037037</v>
      </c>
      <c r="C960">
        <v>90</v>
      </c>
      <c r="D960">
        <v>89.929985045999999</v>
      </c>
      <c r="E960">
        <v>60</v>
      </c>
      <c r="F960">
        <v>54.859390259000001</v>
      </c>
      <c r="G960">
        <v>1383.3073730000001</v>
      </c>
      <c r="H960">
        <v>1370.2332764</v>
      </c>
      <c r="I960">
        <v>1291.5369873</v>
      </c>
      <c r="J960">
        <v>1274.9737548999999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406.35242399999998</v>
      </c>
      <c r="B961" s="1">
        <f>DATE(2011,6,11) + TIME(8,27,29)</f>
        <v>40705.352418981478</v>
      </c>
      <c r="C961">
        <v>90</v>
      </c>
      <c r="D961">
        <v>89.929985045999999</v>
      </c>
      <c r="E961">
        <v>60</v>
      </c>
      <c r="F961">
        <v>54.795177459999998</v>
      </c>
      <c r="G961">
        <v>1383.2490233999999</v>
      </c>
      <c r="H961">
        <v>1370.1854248</v>
      </c>
      <c r="I961">
        <v>1291.5065918</v>
      </c>
      <c r="J961">
        <v>1274.9339600000001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407.02833099999998</v>
      </c>
      <c r="B962" s="1">
        <f>DATE(2011,6,12) + TIME(0,40,47)</f>
        <v>40706.028321759259</v>
      </c>
      <c r="C962">
        <v>90</v>
      </c>
      <c r="D962">
        <v>89.929985045999999</v>
      </c>
      <c r="E962">
        <v>60</v>
      </c>
      <c r="F962">
        <v>54.730232239000003</v>
      </c>
      <c r="G962">
        <v>1383.1904297000001</v>
      </c>
      <c r="H962">
        <v>1370.1373291</v>
      </c>
      <c r="I962">
        <v>1291.4753418</v>
      </c>
      <c r="J962">
        <v>1274.8929443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407.71698800000001</v>
      </c>
      <c r="B963" s="1">
        <f>DATE(2011,6,12) + TIME(17,12,27)</f>
        <v>40706.716979166667</v>
      </c>
      <c r="C963">
        <v>90</v>
      </c>
      <c r="D963">
        <v>89.929985045999999</v>
      </c>
      <c r="E963">
        <v>60</v>
      </c>
      <c r="F963">
        <v>54.664436340000002</v>
      </c>
      <c r="G963">
        <v>1383.1317139</v>
      </c>
      <c r="H963">
        <v>1370.0891113</v>
      </c>
      <c r="I963">
        <v>1291.4432373</v>
      </c>
      <c r="J963">
        <v>1274.8507079999999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408.41990399999997</v>
      </c>
      <c r="B964" s="1">
        <f>DATE(2011,6,13) + TIME(10,4,39)</f>
        <v>40707.419895833336</v>
      </c>
      <c r="C964">
        <v>90</v>
      </c>
      <c r="D964">
        <v>89.929977417000003</v>
      </c>
      <c r="E964">
        <v>60</v>
      </c>
      <c r="F964">
        <v>54.597667694000002</v>
      </c>
      <c r="G964">
        <v>1383.0726318</v>
      </c>
      <c r="H964">
        <v>1370.0406493999999</v>
      </c>
      <c r="I964">
        <v>1291.4101562000001</v>
      </c>
      <c r="J964">
        <v>1274.8071289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409.12780400000003</v>
      </c>
      <c r="B965" s="1">
        <f>DATE(2011,6,14) + TIME(3,4,2)</f>
        <v>40708.127800925926</v>
      </c>
      <c r="C965">
        <v>90</v>
      </c>
      <c r="D965">
        <v>89.929977417000003</v>
      </c>
      <c r="E965">
        <v>60</v>
      </c>
      <c r="F965">
        <v>54.530357361</v>
      </c>
      <c r="G965">
        <v>1383.0130615</v>
      </c>
      <c r="H965">
        <v>1369.9916992000001</v>
      </c>
      <c r="I965">
        <v>1291.3758545000001</v>
      </c>
      <c r="J965">
        <v>1274.7619629000001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409.84115200000002</v>
      </c>
      <c r="B966" s="1">
        <f>DATE(2011,6,14) + TIME(20,11,15)</f>
        <v>40708.841145833336</v>
      </c>
      <c r="C966">
        <v>90</v>
      </c>
      <c r="D966">
        <v>89.929985045999999</v>
      </c>
      <c r="E966">
        <v>60</v>
      </c>
      <c r="F966">
        <v>54.462615966999998</v>
      </c>
      <c r="G966">
        <v>1382.9538574000001</v>
      </c>
      <c r="H966">
        <v>1369.9429932</v>
      </c>
      <c r="I966">
        <v>1291.3410644999999</v>
      </c>
      <c r="J966">
        <v>1274.7158202999999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410.56125200000002</v>
      </c>
      <c r="B967" s="1">
        <f>DATE(2011,6,15) + TIME(13,28,12)</f>
        <v>40709.561249999999</v>
      </c>
      <c r="C967">
        <v>90</v>
      </c>
      <c r="D967">
        <v>89.929985045999999</v>
      </c>
      <c r="E967">
        <v>60</v>
      </c>
      <c r="F967">
        <v>54.394447327000002</v>
      </c>
      <c r="G967">
        <v>1382.8950195</v>
      </c>
      <c r="H967">
        <v>1369.8945312000001</v>
      </c>
      <c r="I967">
        <v>1291.3054199000001</v>
      </c>
      <c r="J967">
        <v>1274.6687012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411.28987000000001</v>
      </c>
      <c r="B968" s="1">
        <f>DATE(2011,6,16) + TIME(6,57,24)</f>
        <v>40710.289861111109</v>
      </c>
      <c r="C968">
        <v>90</v>
      </c>
      <c r="D968">
        <v>89.929985045999999</v>
      </c>
      <c r="E968">
        <v>60</v>
      </c>
      <c r="F968">
        <v>54.325767517000003</v>
      </c>
      <c r="G968">
        <v>1382.8363036999999</v>
      </c>
      <c r="H968">
        <v>1369.8461914</v>
      </c>
      <c r="I968">
        <v>1291.269043</v>
      </c>
      <c r="J968">
        <v>1274.6203613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412.02356800000001</v>
      </c>
      <c r="B969" s="1">
        <f>DATE(2011,6,17) + TIME(0,33,56)</f>
        <v>40711.023564814815</v>
      </c>
      <c r="C969">
        <v>90</v>
      </c>
      <c r="D969">
        <v>89.929985045999999</v>
      </c>
      <c r="E969">
        <v>60</v>
      </c>
      <c r="F969">
        <v>54.256721497000001</v>
      </c>
      <c r="G969">
        <v>1382.7775879000001</v>
      </c>
      <c r="H969">
        <v>1369.7978516000001</v>
      </c>
      <c r="I969">
        <v>1291.2318115</v>
      </c>
      <c r="J969">
        <v>1274.5706786999999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412.76062899999999</v>
      </c>
      <c r="B970" s="1">
        <f>DATE(2011,6,17) + TIME(18,15,18)</f>
        <v>40711.760625000003</v>
      </c>
      <c r="C970">
        <v>90</v>
      </c>
      <c r="D970">
        <v>89.929992675999998</v>
      </c>
      <c r="E970">
        <v>60</v>
      </c>
      <c r="F970">
        <v>54.187442779999998</v>
      </c>
      <c r="G970">
        <v>1382.7192382999999</v>
      </c>
      <c r="H970">
        <v>1369.7497559000001</v>
      </c>
      <c r="I970">
        <v>1291.1938477000001</v>
      </c>
      <c r="J970">
        <v>1274.5198975000001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413.50228199999998</v>
      </c>
      <c r="B971" s="1">
        <f>DATE(2011,6,18) + TIME(12,3,17)</f>
        <v>40712.502280092594</v>
      </c>
      <c r="C971">
        <v>90</v>
      </c>
      <c r="D971">
        <v>89.929992675999998</v>
      </c>
      <c r="E971">
        <v>60</v>
      </c>
      <c r="F971">
        <v>54.117923736999998</v>
      </c>
      <c r="G971">
        <v>1382.6613769999999</v>
      </c>
      <c r="H971">
        <v>1369.7019043</v>
      </c>
      <c r="I971">
        <v>1291.1551514</v>
      </c>
      <c r="J971">
        <v>1274.4681396000001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414.24974500000002</v>
      </c>
      <c r="B972" s="1">
        <f>DATE(2011,6,19) + TIME(5,59,37)</f>
        <v>40713.2497337963</v>
      </c>
      <c r="C972">
        <v>90</v>
      </c>
      <c r="D972">
        <v>89.930000304999993</v>
      </c>
      <c r="E972">
        <v>60</v>
      </c>
      <c r="F972">
        <v>54.048095703000001</v>
      </c>
      <c r="G972">
        <v>1382.6037598</v>
      </c>
      <c r="H972">
        <v>1369.6544189000001</v>
      </c>
      <c r="I972">
        <v>1291.1157227000001</v>
      </c>
      <c r="J972">
        <v>1274.4152832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415.00430299999999</v>
      </c>
      <c r="B973" s="1">
        <f>DATE(2011,6,20) + TIME(0,6,11)</f>
        <v>40714.004293981481</v>
      </c>
      <c r="C973">
        <v>90</v>
      </c>
      <c r="D973">
        <v>89.930007935000006</v>
      </c>
      <c r="E973">
        <v>60</v>
      </c>
      <c r="F973">
        <v>53.977870940999999</v>
      </c>
      <c r="G973">
        <v>1382.5465088000001</v>
      </c>
      <c r="H973">
        <v>1369.6070557</v>
      </c>
      <c r="I973">
        <v>1291.0754394999999</v>
      </c>
      <c r="J973">
        <v>1274.3610839999999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415.76727</v>
      </c>
      <c r="B974" s="1">
        <f>DATE(2011,6,20) + TIME(18,24,52)</f>
        <v>40714.767268518517</v>
      </c>
      <c r="C974">
        <v>90</v>
      </c>
      <c r="D974">
        <v>89.930015564000001</v>
      </c>
      <c r="E974">
        <v>60</v>
      </c>
      <c r="F974">
        <v>53.907138824</v>
      </c>
      <c r="G974">
        <v>1382.4893798999999</v>
      </c>
      <c r="H974">
        <v>1369.5598144999999</v>
      </c>
      <c r="I974">
        <v>1291.0343018000001</v>
      </c>
      <c r="J974">
        <v>1274.3055420000001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416.54000500000001</v>
      </c>
      <c r="B975" s="1">
        <f>DATE(2011,6,21) + TIME(12,57,36)</f>
        <v>40715.54</v>
      </c>
      <c r="C975">
        <v>90</v>
      </c>
      <c r="D975">
        <v>89.930023192999997</v>
      </c>
      <c r="E975">
        <v>60</v>
      </c>
      <c r="F975">
        <v>53.835781097000002</v>
      </c>
      <c r="G975">
        <v>1382.432251</v>
      </c>
      <c r="H975">
        <v>1369.5125731999999</v>
      </c>
      <c r="I975">
        <v>1290.9921875</v>
      </c>
      <c r="J975">
        <v>1274.2485352000001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417.32444600000002</v>
      </c>
      <c r="B976" s="1">
        <f>DATE(2011,6,22) + TIME(7,47,12)</f>
        <v>40716.324444444443</v>
      </c>
      <c r="C976">
        <v>90</v>
      </c>
      <c r="D976">
        <v>89.930030822999996</v>
      </c>
      <c r="E976">
        <v>60</v>
      </c>
      <c r="F976">
        <v>53.763633728000002</v>
      </c>
      <c r="G976">
        <v>1382.3751221</v>
      </c>
      <c r="H976">
        <v>1369.465332</v>
      </c>
      <c r="I976">
        <v>1290.9489745999999</v>
      </c>
      <c r="J976">
        <v>1274.1898193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418.12171799999999</v>
      </c>
      <c r="B977" s="1">
        <f>DATE(2011,6,23) + TIME(2,55,16)</f>
        <v>40717.121712962966</v>
      </c>
      <c r="C977">
        <v>90</v>
      </c>
      <c r="D977">
        <v>89.930038452000005</v>
      </c>
      <c r="E977">
        <v>60</v>
      </c>
      <c r="F977">
        <v>53.690570831000002</v>
      </c>
      <c r="G977">
        <v>1382.317749</v>
      </c>
      <c r="H977">
        <v>1369.4178466999999</v>
      </c>
      <c r="I977">
        <v>1290.9044189000001</v>
      </c>
      <c r="J977">
        <v>1274.1292725000001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418.933423</v>
      </c>
      <c r="B978" s="1">
        <f>DATE(2011,6,23) + TIME(22,24,7)</f>
        <v>40717.93341435185</v>
      </c>
      <c r="C978">
        <v>90</v>
      </c>
      <c r="D978">
        <v>89.930053710999999</v>
      </c>
      <c r="E978">
        <v>60</v>
      </c>
      <c r="F978">
        <v>53.616443633999999</v>
      </c>
      <c r="G978">
        <v>1382.2601318</v>
      </c>
      <c r="H978">
        <v>1369.3701172000001</v>
      </c>
      <c r="I978">
        <v>1290.8586425999999</v>
      </c>
      <c r="J978">
        <v>1274.0667725000001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419.75606499999998</v>
      </c>
      <c r="B979" s="1">
        <f>DATE(2011,6,24) + TIME(18,8,44)</f>
        <v>40718.756064814814</v>
      </c>
      <c r="C979">
        <v>90</v>
      </c>
      <c r="D979">
        <v>89.930061339999995</v>
      </c>
      <c r="E979">
        <v>60</v>
      </c>
      <c r="F979">
        <v>53.541343689000001</v>
      </c>
      <c r="G979">
        <v>1382.2022704999999</v>
      </c>
      <c r="H979">
        <v>1369.3220214999999</v>
      </c>
      <c r="I979">
        <v>1290.8114014</v>
      </c>
      <c r="J979">
        <v>1274.0021973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420.58453200000002</v>
      </c>
      <c r="B980" s="1">
        <f>DATE(2011,6,25) + TIME(14,1,43)</f>
        <v>40719.58452546296</v>
      </c>
      <c r="C980">
        <v>90</v>
      </c>
      <c r="D980">
        <v>89.930076599000003</v>
      </c>
      <c r="E980">
        <v>60</v>
      </c>
      <c r="F980">
        <v>53.465538025000001</v>
      </c>
      <c r="G980">
        <v>1382.1441649999999</v>
      </c>
      <c r="H980">
        <v>1369.2738036999999</v>
      </c>
      <c r="I980">
        <v>1290.7626952999999</v>
      </c>
      <c r="J980">
        <v>1273.9356689000001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421.42035099999998</v>
      </c>
      <c r="B981" s="1">
        <f>DATE(2011,6,26) + TIME(10,5,18)</f>
        <v>40720.420347222222</v>
      </c>
      <c r="C981">
        <v>90</v>
      </c>
      <c r="D981">
        <v>89.930084229000002</v>
      </c>
      <c r="E981">
        <v>60</v>
      </c>
      <c r="F981">
        <v>53.389064789000003</v>
      </c>
      <c r="G981">
        <v>1382.0864257999999</v>
      </c>
      <c r="H981">
        <v>1369.2258300999999</v>
      </c>
      <c r="I981">
        <v>1290.7131348</v>
      </c>
      <c r="J981">
        <v>1273.8674315999999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422.26532400000002</v>
      </c>
      <c r="B982" s="1">
        <f>DATE(2011,6,27) + TIME(6,22,4)</f>
        <v>40721.265324074076</v>
      </c>
      <c r="C982">
        <v>90</v>
      </c>
      <c r="D982">
        <v>89.930099487000007</v>
      </c>
      <c r="E982">
        <v>60</v>
      </c>
      <c r="F982">
        <v>53.311866760000001</v>
      </c>
      <c r="G982">
        <v>1382.0289307</v>
      </c>
      <c r="H982">
        <v>1369.1779785000001</v>
      </c>
      <c r="I982">
        <v>1290.6623535000001</v>
      </c>
      <c r="J982">
        <v>1273.7974853999999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423.12114500000001</v>
      </c>
      <c r="B983" s="1">
        <f>DATE(2011,6,28) + TIME(2,54,26)</f>
        <v>40722.121134259258</v>
      </c>
      <c r="C983">
        <v>90</v>
      </c>
      <c r="D983">
        <v>89.930114746000001</v>
      </c>
      <c r="E983">
        <v>60</v>
      </c>
      <c r="F983">
        <v>53.233818053999997</v>
      </c>
      <c r="G983">
        <v>1381.9713135</v>
      </c>
      <c r="H983">
        <v>1369.1301269999999</v>
      </c>
      <c r="I983">
        <v>1290.6102295000001</v>
      </c>
      <c r="J983">
        <v>1273.7254639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423.98836699999998</v>
      </c>
      <c r="B984" s="1">
        <f>DATE(2011,6,28) + TIME(23,43,14)</f>
        <v>40722.988356481481</v>
      </c>
      <c r="C984">
        <v>90</v>
      </c>
      <c r="D984">
        <v>89.930130004999995</v>
      </c>
      <c r="E984">
        <v>60</v>
      </c>
      <c r="F984">
        <v>53.154830933</v>
      </c>
      <c r="G984">
        <v>1381.9136963000001</v>
      </c>
      <c r="H984">
        <v>1369.0821533000001</v>
      </c>
      <c r="I984">
        <v>1290.5568848</v>
      </c>
      <c r="J984">
        <v>1273.6513672000001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424.85879</v>
      </c>
      <c r="B985" s="1">
        <f>DATE(2011,6,29) + TIME(20,36,39)</f>
        <v>40723.858784722222</v>
      </c>
      <c r="C985">
        <v>90</v>
      </c>
      <c r="D985">
        <v>89.930145264000004</v>
      </c>
      <c r="E985">
        <v>60</v>
      </c>
      <c r="F985">
        <v>53.075229645</v>
      </c>
      <c r="G985">
        <v>1381.8560791</v>
      </c>
      <c r="H985">
        <v>1369.0340576000001</v>
      </c>
      <c r="I985">
        <v>1290.5018310999999</v>
      </c>
      <c r="J985">
        <v>1273.5751952999999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425.73484200000001</v>
      </c>
      <c r="B986" s="1">
        <f>DATE(2011,6,30) + TIME(17,38,10)</f>
        <v>40724.734837962962</v>
      </c>
      <c r="C986">
        <v>90</v>
      </c>
      <c r="D986">
        <v>89.930160521999994</v>
      </c>
      <c r="E986">
        <v>60</v>
      </c>
      <c r="F986">
        <v>52.995044708000002</v>
      </c>
      <c r="G986">
        <v>1381.7988281</v>
      </c>
      <c r="H986">
        <v>1368.9863281</v>
      </c>
      <c r="I986">
        <v>1290.4459228999999</v>
      </c>
      <c r="J986">
        <v>1273.4971923999999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426</v>
      </c>
      <c r="B987" s="1">
        <f>DATE(2011,7,1) + TIME(0,0,0)</f>
        <v>40725</v>
      </c>
      <c r="C987">
        <v>90</v>
      </c>
      <c r="D987">
        <v>89.930152892999999</v>
      </c>
      <c r="E987">
        <v>60</v>
      </c>
      <c r="F987">
        <v>52.957893372000001</v>
      </c>
      <c r="G987">
        <v>1381.7419434000001</v>
      </c>
      <c r="H987">
        <v>1368.9388428</v>
      </c>
      <c r="I987">
        <v>1290.3889160000001</v>
      </c>
      <c r="J987">
        <v>1273.4281006000001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426.883152</v>
      </c>
      <c r="B988" s="1">
        <f>DATE(2011,7,1) + TIME(21,11,44)</f>
        <v>40725.883148148147</v>
      </c>
      <c r="C988">
        <v>90</v>
      </c>
      <c r="D988">
        <v>89.930183411000002</v>
      </c>
      <c r="E988">
        <v>60</v>
      </c>
      <c r="F988">
        <v>52.883327483999999</v>
      </c>
      <c r="G988">
        <v>1381.7243652</v>
      </c>
      <c r="H988">
        <v>1368.9240723</v>
      </c>
      <c r="I988">
        <v>1290.3704834</v>
      </c>
      <c r="J988">
        <v>1273.3900146000001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427.777961</v>
      </c>
      <c r="B989" s="1">
        <f>DATE(2011,7,2) + TIME(18,40,15)</f>
        <v>40726.777951388889</v>
      </c>
      <c r="C989">
        <v>90</v>
      </c>
      <c r="D989">
        <v>89.930206299000005</v>
      </c>
      <c r="E989">
        <v>60</v>
      </c>
      <c r="F989">
        <v>52.804763794000003</v>
      </c>
      <c r="G989">
        <v>1381.6680908000001</v>
      </c>
      <c r="H989">
        <v>1368.8770752</v>
      </c>
      <c r="I989">
        <v>1290.3123779</v>
      </c>
      <c r="J989">
        <v>1273.3092041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428.68345099999999</v>
      </c>
      <c r="B990" s="1">
        <f>DATE(2011,7,3) + TIME(16,24,10)</f>
        <v>40727.683449074073</v>
      </c>
      <c r="C990">
        <v>90</v>
      </c>
      <c r="D990">
        <v>89.930221558</v>
      </c>
      <c r="E990">
        <v>60</v>
      </c>
      <c r="F990">
        <v>52.723625183000003</v>
      </c>
      <c r="G990">
        <v>1381.6114502</v>
      </c>
      <c r="H990">
        <v>1368.8297118999999</v>
      </c>
      <c r="I990">
        <v>1290.2524414</v>
      </c>
      <c r="J990">
        <v>1273.2252197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429.60137500000002</v>
      </c>
      <c r="B991" s="1">
        <f>DATE(2011,7,4) + TIME(14,25,58)</f>
        <v>40728.601365740738</v>
      </c>
      <c r="C991">
        <v>90</v>
      </c>
      <c r="D991">
        <v>89.930244446000003</v>
      </c>
      <c r="E991">
        <v>60</v>
      </c>
      <c r="F991">
        <v>52.640556334999999</v>
      </c>
      <c r="G991">
        <v>1381.5546875</v>
      </c>
      <c r="H991">
        <v>1368.7822266000001</v>
      </c>
      <c r="I991">
        <v>1290.1906738</v>
      </c>
      <c r="J991">
        <v>1273.1384277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430.53409299999998</v>
      </c>
      <c r="B992" s="1">
        <f>DATE(2011,7,5) + TIME(12,49,5)</f>
        <v>40729.534085648149</v>
      </c>
      <c r="C992">
        <v>90</v>
      </c>
      <c r="D992">
        <v>89.930267334000007</v>
      </c>
      <c r="E992">
        <v>60</v>
      </c>
      <c r="F992">
        <v>52.555767058999997</v>
      </c>
      <c r="G992">
        <v>1381.4978027</v>
      </c>
      <c r="H992">
        <v>1368.7344971</v>
      </c>
      <c r="I992">
        <v>1290.1273193</v>
      </c>
      <c r="J992">
        <v>1273.0487060999999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431.47971200000001</v>
      </c>
      <c r="B993" s="1">
        <f>DATE(2011,7,6) + TIME(11,30,47)</f>
        <v>40730.479710648149</v>
      </c>
      <c r="C993">
        <v>90</v>
      </c>
      <c r="D993">
        <v>89.930290221999996</v>
      </c>
      <c r="E993">
        <v>60</v>
      </c>
      <c r="F993">
        <v>52.469417571999998</v>
      </c>
      <c r="G993">
        <v>1381.4406738</v>
      </c>
      <c r="H993">
        <v>1368.6866454999999</v>
      </c>
      <c r="I993">
        <v>1290.0618896000001</v>
      </c>
      <c r="J993">
        <v>1272.9560547000001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432.43157200000002</v>
      </c>
      <c r="B994" s="1">
        <f>DATE(2011,7,7) + TIME(10,21,27)</f>
        <v>40731.431562500002</v>
      </c>
      <c r="C994">
        <v>90</v>
      </c>
      <c r="D994">
        <v>89.93031311</v>
      </c>
      <c r="E994">
        <v>60</v>
      </c>
      <c r="F994">
        <v>52.381885529000002</v>
      </c>
      <c r="G994">
        <v>1381.3833007999999</v>
      </c>
      <c r="H994">
        <v>1368.6385498</v>
      </c>
      <c r="I994">
        <v>1289.9946289</v>
      </c>
      <c r="J994">
        <v>1272.8604736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433.39140700000002</v>
      </c>
      <c r="B995" s="1">
        <f>DATE(2011,7,8) + TIME(9,23,37)</f>
        <v>40732.391400462962</v>
      </c>
      <c r="C995">
        <v>90</v>
      </c>
      <c r="D995">
        <v>89.930335998999993</v>
      </c>
      <c r="E995">
        <v>60</v>
      </c>
      <c r="F995">
        <v>52.293277740000001</v>
      </c>
      <c r="G995">
        <v>1381.3262939000001</v>
      </c>
      <c r="H995">
        <v>1368.5905762</v>
      </c>
      <c r="I995">
        <v>1289.9260254000001</v>
      </c>
      <c r="J995">
        <v>1272.7625731999999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434.36097799999999</v>
      </c>
      <c r="B996" s="1">
        <f>DATE(2011,7,9) + TIME(8,39,48)</f>
        <v>40733.360972222225</v>
      </c>
      <c r="C996">
        <v>90</v>
      </c>
      <c r="D996">
        <v>89.930366516000007</v>
      </c>
      <c r="E996">
        <v>60</v>
      </c>
      <c r="F996">
        <v>52.203544616999999</v>
      </c>
      <c r="G996">
        <v>1381.2692870999999</v>
      </c>
      <c r="H996">
        <v>1368.5427245999999</v>
      </c>
      <c r="I996">
        <v>1289.8558350000001</v>
      </c>
      <c r="J996">
        <v>1272.6621094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435.34219000000002</v>
      </c>
      <c r="B997" s="1">
        <f>DATE(2011,7,10) + TIME(8,12,45)</f>
        <v>40734.342187499999</v>
      </c>
      <c r="C997">
        <v>90</v>
      </c>
      <c r="D997">
        <v>89.930389403999996</v>
      </c>
      <c r="E997">
        <v>60</v>
      </c>
      <c r="F997">
        <v>52.112556458</v>
      </c>
      <c r="G997">
        <v>1381.2125243999999</v>
      </c>
      <c r="H997">
        <v>1368.4948730000001</v>
      </c>
      <c r="I997">
        <v>1289.7840576000001</v>
      </c>
      <c r="J997">
        <v>1272.5588379000001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436.33221600000002</v>
      </c>
      <c r="B998" s="1">
        <f>DATE(2011,7,11) + TIME(7,58,23)</f>
        <v>40735.33221064815</v>
      </c>
      <c r="C998">
        <v>90</v>
      </c>
      <c r="D998">
        <v>89.930412292</v>
      </c>
      <c r="E998">
        <v>60</v>
      </c>
      <c r="F998">
        <v>52.020355225000003</v>
      </c>
      <c r="G998">
        <v>1381.1555175999999</v>
      </c>
      <c r="H998">
        <v>1368.4468993999999</v>
      </c>
      <c r="I998">
        <v>1289.7103271000001</v>
      </c>
      <c r="J998">
        <v>1272.4527588000001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437.33286199999998</v>
      </c>
      <c r="B999" s="1">
        <f>DATE(2011,7,12) + TIME(7,59,19)</f>
        <v>40736.332858796297</v>
      </c>
      <c r="C999">
        <v>90</v>
      </c>
      <c r="D999">
        <v>89.930442810000002</v>
      </c>
      <c r="E999">
        <v>60</v>
      </c>
      <c r="F999">
        <v>51.926864623999997</v>
      </c>
      <c r="G999">
        <v>1381.0987548999999</v>
      </c>
      <c r="H999">
        <v>1368.3990478999999</v>
      </c>
      <c r="I999">
        <v>1289.6348877</v>
      </c>
      <c r="J999">
        <v>1272.3438721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438.34650599999998</v>
      </c>
      <c r="B1000" s="1">
        <f>DATE(2011,7,13) + TIME(8,18,58)</f>
        <v>40737.346504629626</v>
      </c>
      <c r="C1000">
        <v>90</v>
      </c>
      <c r="D1000">
        <v>89.930473328000005</v>
      </c>
      <c r="E1000">
        <v>60</v>
      </c>
      <c r="F1000">
        <v>51.831924438000001</v>
      </c>
      <c r="G1000">
        <v>1381.0418701000001</v>
      </c>
      <c r="H1000">
        <v>1368.3510742000001</v>
      </c>
      <c r="I1000">
        <v>1289.5577393000001</v>
      </c>
      <c r="J1000">
        <v>1272.2319336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439.37278300000003</v>
      </c>
      <c r="B1001" s="1">
        <f>DATE(2011,7,14) + TIME(8,56,48)</f>
        <v>40738.372777777775</v>
      </c>
      <c r="C1001">
        <v>90</v>
      </c>
      <c r="D1001">
        <v>89.930503845000004</v>
      </c>
      <c r="E1001">
        <v>60</v>
      </c>
      <c r="F1001">
        <v>51.735435486</v>
      </c>
      <c r="G1001">
        <v>1380.9849853999999</v>
      </c>
      <c r="H1001">
        <v>1368.3029785000001</v>
      </c>
      <c r="I1001">
        <v>1289.4783935999999</v>
      </c>
      <c r="J1001">
        <v>1272.1168213000001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440.40745500000003</v>
      </c>
      <c r="B1002" s="1">
        <f>DATE(2011,7,15) + TIME(9,46,44)</f>
        <v>40739.407453703701</v>
      </c>
      <c r="C1002">
        <v>90</v>
      </c>
      <c r="D1002">
        <v>89.930534363000007</v>
      </c>
      <c r="E1002">
        <v>60</v>
      </c>
      <c r="F1002">
        <v>51.637512207</v>
      </c>
      <c r="G1002">
        <v>1380.9278564000001</v>
      </c>
      <c r="H1002">
        <v>1368.2547606999999</v>
      </c>
      <c r="I1002">
        <v>1289.3970947</v>
      </c>
      <c r="J1002">
        <v>1271.9984131000001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441.452519</v>
      </c>
      <c r="B1003" s="1">
        <f>DATE(2011,7,16) + TIME(10,51,37)</f>
        <v>40740.452511574076</v>
      </c>
      <c r="C1003">
        <v>90</v>
      </c>
      <c r="D1003">
        <v>89.930564880000006</v>
      </c>
      <c r="E1003">
        <v>60</v>
      </c>
      <c r="F1003">
        <v>51.538135529000002</v>
      </c>
      <c r="G1003">
        <v>1380.8709716999999</v>
      </c>
      <c r="H1003">
        <v>1368.2066649999999</v>
      </c>
      <c r="I1003">
        <v>1289.3140868999999</v>
      </c>
      <c r="J1003">
        <v>1271.8769531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442.50989099999998</v>
      </c>
      <c r="B1004" s="1">
        <f>DATE(2011,7,17) + TIME(12,14,14)</f>
        <v>40741.509884259256</v>
      </c>
      <c r="C1004">
        <v>90</v>
      </c>
      <c r="D1004">
        <v>89.930595397999994</v>
      </c>
      <c r="E1004">
        <v>60</v>
      </c>
      <c r="F1004">
        <v>51.437171935999999</v>
      </c>
      <c r="G1004">
        <v>1380.8140868999999</v>
      </c>
      <c r="H1004">
        <v>1368.1584473</v>
      </c>
      <c r="I1004">
        <v>1289.229126</v>
      </c>
      <c r="J1004">
        <v>1271.7523193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443.58158300000002</v>
      </c>
      <c r="B1005" s="1">
        <f>DATE(2011,7,18) + TIME(13,57,28)</f>
        <v>40742.581574074073</v>
      </c>
      <c r="C1005">
        <v>90</v>
      </c>
      <c r="D1005">
        <v>89.930625915999997</v>
      </c>
      <c r="E1005">
        <v>60</v>
      </c>
      <c r="F1005">
        <v>51.334430695000002</v>
      </c>
      <c r="G1005">
        <v>1380.7570800999999</v>
      </c>
      <c r="H1005">
        <v>1368.1101074000001</v>
      </c>
      <c r="I1005">
        <v>1289.1420897999999</v>
      </c>
      <c r="J1005">
        <v>1271.6242675999999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444.65980500000001</v>
      </c>
      <c r="B1006" s="1">
        <f>DATE(2011,7,19) + TIME(15,50,7)</f>
        <v>40743.659803240742</v>
      </c>
      <c r="C1006">
        <v>90</v>
      </c>
      <c r="D1006">
        <v>89.930664062000005</v>
      </c>
      <c r="E1006">
        <v>60</v>
      </c>
      <c r="F1006">
        <v>51.230129241999997</v>
      </c>
      <c r="G1006">
        <v>1380.6999512</v>
      </c>
      <c r="H1006">
        <v>1368.0616454999999</v>
      </c>
      <c r="I1006">
        <v>1289.0527344</v>
      </c>
      <c r="J1006">
        <v>1271.4925536999999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445.74541900000003</v>
      </c>
      <c r="B1007" s="1">
        <f>DATE(2011,7,20) + TIME(17,53,24)</f>
        <v>40744.745416666665</v>
      </c>
      <c r="C1007">
        <v>90</v>
      </c>
      <c r="D1007">
        <v>89.930694579999994</v>
      </c>
      <c r="E1007">
        <v>60</v>
      </c>
      <c r="F1007">
        <v>51.124370575</v>
      </c>
      <c r="G1007">
        <v>1380.6430664</v>
      </c>
      <c r="H1007">
        <v>1368.0133057</v>
      </c>
      <c r="I1007">
        <v>1288.9616699000001</v>
      </c>
      <c r="J1007">
        <v>1271.3579102000001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446.83862900000003</v>
      </c>
      <c r="B1008" s="1">
        <f>DATE(2011,7,21) + TIME(20,7,37)</f>
        <v>40745.838622685187</v>
      </c>
      <c r="C1008">
        <v>90</v>
      </c>
      <c r="D1008">
        <v>89.930732727000006</v>
      </c>
      <c r="E1008">
        <v>60</v>
      </c>
      <c r="F1008">
        <v>51.017169952000003</v>
      </c>
      <c r="G1008">
        <v>1380.5863036999999</v>
      </c>
      <c r="H1008">
        <v>1367.9650879000001</v>
      </c>
      <c r="I1008">
        <v>1288.8690185999999</v>
      </c>
      <c r="J1008">
        <v>1271.2202147999999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447.93826999999999</v>
      </c>
      <c r="B1009" s="1">
        <f>DATE(2011,7,22) + TIME(22,31,6)</f>
        <v>40746.938263888886</v>
      </c>
      <c r="C1009">
        <v>90</v>
      </c>
      <c r="D1009">
        <v>89.930770874000004</v>
      </c>
      <c r="E1009">
        <v>60</v>
      </c>
      <c r="F1009">
        <v>50.908561706999997</v>
      </c>
      <c r="G1009">
        <v>1380.5297852000001</v>
      </c>
      <c r="H1009">
        <v>1367.9169922000001</v>
      </c>
      <c r="I1009">
        <v>1288.7744141000001</v>
      </c>
      <c r="J1009">
        <v>1271.0793457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449.04624999999999</v>
      </c>
      <c r="B1010" s="1">
        <f>DATE(2011,7,24) + TIME(1,6,35)</f>
        <v>40748.046238425923</v>
      </c>
      <c r="C1010">
        <v>90</v>
      </c>
      <c r="D1010">
        <v>89.930809021000002</v>
      </c>
      <c r="E1010">
        <v>60</v>
      </c>
      <c r="F1010">
        <v>50.798469543000003</v>
      </c>
      <c r="G1010">
        <v>1380.4735106999999</v>
      </c>
      <c r="H1010">
        <v>1367.8690185999999</v>
      </c>
      <c r="I1010">
        <v>1288.6782227000001</v>
      </c>
      <c r="J1010">
        <v>1270.9356689000001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450.16450600000002</v>
      </c>
      <c r="B1011" s="1">
        <f>DATE(2011,7,25) + TIME(3,56,53)</f>
        <v>40749.164502314816</v>
      </c>
      <c r="C1011">
        <v>90</v>
      </c>
      <c r="D1011">
        <v>89.930847168</v>
      </c>
      <c r="E1011">
        <v>60</v>
      </c>
      <c r="F1011">
        <v>50.686737061000002</v>
      </c>
      <c r="G1011">
        <v>1380.4173584</v>
      </c>
      <c r="H1011">
        <v>1367.8210449000001</v>
      </c>
      <c r="I1011">
        <v>1288.5803223</v>
      </c>
      <c r="J1011">
        <v>1270.7886963000001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451.29504400000002</v>
      </c>
      <c r="B1012" s="1">
        <f>DATE(2011,7,26) + TIME(7,4,51)</f>
        <v>40750.295034722221</v>
      </c>
      <c r="C1012">
        <v>90</v>
      </c>
      <c r="D1012">
        <v>89.930885314999998</v>
      </c>
      <c r="E1012">
        <v>60</v>
      </c>
      <c r="F1012">
        <v>50.573158264</v>
      </c>
      <c r="G1012">
        <v>1380.3612060999999</v>
      </c>
      <c r="H1012">
        <v>1367.7731934000001</v>
      </c>
      <c r="I1012">
        <v>1288.4803466999999</v>
      </c>
      <c r="J1012">
        <v>1270.6383057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452.44048099999998</v>
      </c>
      <c r="B1013" s="1">
        <f>DATE(2011,7,27) + TIME(10,34,17)</f>
        <v>40751.440474537034</v>
      </c>
      <c r="C1013">
        <v>90</v>
      </c>
      <c r="D1013">
        <v>89.930923461999996</v>
      </c>
      <c r="E1013">
        <v>60</v>
      </c>
      <c r="F1013">
        <v>50.457485198999997</v>
      </c>
      <c r="G1013">
        <v>1380.3049315999999</v>
      </c>
      <c r="H1013">
        <v>1367.7250977000001</v>
      </c>
      <c r="I1013">
        <v>1288.3781738</v>
      </c>
      <c r="J1013">
        <v>1270.4841309000001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453.60297300000002</v>
      </c>
      <c r="B1014" s="1">
        <f>DATE(2011,7,28) + TIME(14,28,16)</f>
        <v>40752.602962962963</v>
      </c>
      <c r="C1014">
        <v>90</v>
      </c>
      <c r="D1014">
        <v>89.930961608999993</v>
      </c>
      <c r="E1014">
        <v>60</v>
      </c>
      <c r="F1014">
        <v>50.339462279999999</v>
      </c>
      <c r="G1014">
        <v>1380.2485352000001</v>
      </c>
      <c r="H1014">
        <v>1367.6768798999999</v>
      </c>
      <c r="I1014">
        <v>1288.2735596</v>
      </c>
      <c r="J1014">
        <v>1270.3256836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454.777041</v>
      </c>
      <c r="B1015" s="1">
        <f>DATE(2011,7,29) + TIME(18,38,56)</f>
        <v>40753.777037037034</v>
      </c>
      <c r="C1015">
        <v>90</v>
      </c>
      <c r="D1015">
        <v>89.931007385000001</v>
      </c>
      <c r="E1015">
        <v>60</v>
      </c>
      <c r="F1015">
        <v>50.219146729000002</v>
      </c>
      <c r="G1015">
        <v>1380.1917725000001</v>
      </c>
      <c r="H1015">
        <v>1367.6282959</v>
      </c>
      <c r="I1015">
        <v>1288.1663818</v>
      </c>
      <c r="J1015">
        <v>1270.1630858999999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455.95948600000003</v>
      </c>
      <c r="B1016" s="1">
        <f>DATE(2011,7,30) + TIME(23,1,39)</f>
        <v>40754.959479166668</v>
      </c>
      <c r="C1016">
        <v>90</v>
      </c>
      <c r="D1016">
        <v>89.931053161999998</v>
      </c>
      <c r="E1016">
        <v>60</v>
      </c>
      <c r="F1016">
        <v>50.096755981000001</v>
      </c>
      <c r="G1016">
        <v>1380.1350098</v>
      </c>
      <c r="H1016">
        <v>1367.5797118999999</v>
      </c>
      <c r="I1016">
        <v>1288.0571289</v>
      </c>
      <c r="J1016">
        <v>1269.9964600000001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457</v>
      </c>
      <c r="B1017" s="1">
        <f>DATE(2011,8,1) + TIME(0,0,0)</f>
        <v>40756</v>
      </c>
      <c r="C1017">
        <v>90</v>
      </c>
      <c r="D1017">
        <v>89.931083678999997</v>
      </c>
      <c r="E1017">
        <v>60</v>
      </c>
      <c r="F1017">
        <v>49.979614257999998</v>
      </c>
      <c r="G1017">
        <v>1380.0783690999999</v>
      </c>
      <c r="H1017">
        <v>1367.5310059000001</v>
      </c>
      <c r="I1017">
        <v>1287.9462891000001</v>
      </c>
      <c r="J1017">
        <v>1269.8294678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458.19298700000002</v>
      </c>
      <c r="B1018" s="1">
        <f>DATE(2011,8,2) + TIME(4,37,54)</f>
        <v>40757.192986111113</v>
      </c>
      <c r="C1018">
        <v>90</v>
      </c>
      <c r="D1018">
        <v>89.931129455999994</v>
      </c>
      <c r="E1018">
        <v>60</v>
      </c>
      <c r="F1018">
        <v>49.858585357999999</v>
      </c>
      <c r="G1018">
        <v>1380.0290527</v>
      </c>
      <c r="H1018">
        <v>1367.4886475000001</v>
      </c>
      <c r="I1018">
        <v>1287.8461914</v>
      </c>
      <c r="J1018">
        <v>1269.6722411999999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459.41281900000001</v>
      </c>
      <c r="B1019" s="1">
        <f>DATE(2011,8,3) + TIME(9,54,27)</f>
        <v>40758.412812499999</v>
      </c>
      <c r="C1019">
        <v>90</v>
      </c>
      <c r="D1019">
        <v>89.931175232000001</v>
      </c>
      <c r="E1019">
        <v>60</v>
      </c>
      <c r="F1019">
        <v>49.732227324999997</v>
      </c>
      <c r="G1019">
        <v>1379.9729004000001</v>
      </c>
      <c r="H1019">
        <v>1367.4404297000001</v>
      </c>
      <c r="I1019">
        <v>1287.7326660000001</v>
      </c>
      <c r="J1019">
        <v>1269.4979248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460.64156300000002</v>
      </c>
      <c r="B1020" s="1">
        <f>DATE(2011,8,4) + TIME(15,23,51)</f>
        <v>40759.641562500001</v>
      </c>
      <c r="C1020">
        <v>90</v>
      </c>
      <c r="D1020">
        <v>89.931221007999994</v>
      </c>
      <c r="E1020">
        <v>60</v>
      </c>
      <c r="F1020">
        <v>49.602127074999999</v>
      </c>
      <c r="G1020">
        <v>1379.9160156</v>
      </c>
      <c r="H1020">
        <v>1367.3914795000001</v>
      </c>
      <c r="I1020">
        <v>1287.6153564000001</v>
      </c>
      <c r="J1020">
        <v>1269.3171387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461.87377099999998</v>
      </c>
      <c r="B1021" s="1">
        <f>DATE(2011,8,5) + TIME(20,58,13)</f>
        <v>40760.873761574076</v>
      </c>
      <c r="C1021">
        <v>90</v>
      </c>
      <c r="D1021">
        <v>89.931266785000005</v>
      </c>
      <c r="E1021">
        <v>60</v>
      </c>
      <c r="F1021">
        <v>49.469543457</v>
      </c>
      <c r="G1021">
        <v>1379.8592529</v>
      </c>
      <c r="H1021">
        <v>1367.3425293</v>
      </c>
      <c r="I1021">
        <v>1287.4960937999999</v>
      </c>
      <c r="J1021">
        <v>1269.1324463000001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463.11183499999999</v>
      </c>
      <c r="B1022" s="1">
        <f>DATE(2011,8,7) + TIME(2,41,2)</f>
        <v>40762.111828703702</v>
      </c>
      <c r="C1022">
        <v>90</v>
      </c>
      <c r="D1022">
        <v>89.931320189999994</v>
      </c>
      <c r="E1022">
        <v>60</v>
      </c>
      <c r="F1022">
        <v>49.33499527</v>
      </c>
      <c r="G1022">
        <v>1379.8027344</v>
      </c>
      <c r="H1022">
        <v>1367.2938231999999</v>
      </c>
      <c r="I1022">
        <v>1287.3754882999999</v>
      </c>
      <c r="J1022">
        <v>1268.9448242000001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464.36016000000001</v>
      </c>
      <c r="B1023" s="1">
        <f>DATE(2011,8,8) + TIME(8,38,37)</f>
        <v>40763.360150462962</v>
      </c>
      <c r="C1023">
        <v>90</v>
      </c>
      <c r="D1023">
        <v>89.931365967000005</v>
      </c>
      <c r="E1023">
        <v>60</v>
      </c>
      <c r="F1023">
        <v>49.198478698999999</v>
      </c>
      <c r="G1023">
        <v>1379.746582</v>
      </c>
      <c r="H1023">
        <v>1367.2452393000001</v>
      </c>
      <c r="I1023">
        <v>1287.253418</v>
      </c>
      <c r="J1023">
        <v>1268.7539062000001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465.62098700000001</v>
      </c>
      <c r="B1024" s="1">
        <f>DATE(2011,8,9) + TIME(14,54,13)</f>
        <v>40764.620983796296</v>
      </c>
      <c r="C1024">
        <v>90</v>
      </c>
      <c r="D1024">
        <v>89.931411742999998</v>
      </c>
      <c r="E1024">
        <v>60</v>
      </c>
      <c r="F1024">
        <v>49.059822083</v>
      </c>
      <c r="G1024">
        <v>1379.6903076000001</v>
      </c>
      <c r="H1024">
        <v>1367.1966553</v>
      </c>
      <c r="I1024">
        <v>1287.1295166</v>
      </c>
      <c r="J1024">
        <v>1268.5595702999999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466.896591</v>
      </c>
      <c r="B1025" s="1">
        <f>DATE(2011,8,10) + TIME(21,31,5)</f>
        <v>40765.896585648145</v>
      </c>
      <c r="C1025">
        <v>90</v>
      </c>
      <c r="D1025">
        <v>89.931465149000005</v>
      </c>
      <c r="E1025">
        <v>60</v>
      </c>
      <c r="F1025">
        <v>48.918796538999999</v>
      </c>
      <c r="G1025">
        <v>1379.6340332</v>
      </c>
      <c r="H1025">
        <v>1367.1479492000001</v>
      </c>
      <c r="I1025">
        <v>1287.0036620999999</v>
      </c>
      <c r="J1025">
        <v>1268.3613281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468.18848300000002</v>
      </c>
      <c r="B1026" s="1">
        <f>DATE(2011,8,12) + TIME(4,31,24)</f>
        <v>40767.188472222224</v>
      </c>
      <c r="C1026">
        <v>90</v>
      </c>
      <c r="D1026">
        <v>89.931518554999997</v>
      </c>
      <c r="E1026">
        <v>60</v>
      </c>
      <c r="F1026">
        <v>48.775218963999997</v>
      </c>
      <c r="G1026">
        <v>1379.5775146000001</v>
      </c>
      <c r="H1026">
        <v>1367.098999</v>
      </c>
      <c r="I1026">
        <v>1286.8757324000001</v>
      </c>
      <c r="J1026">
        <v>1268.1589355000001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469.48775499999999</v>
      </c>
      <c r="B1027" s="1">
        <f>DATE(2011,8,13) + TIME(11,42,22)</f>
        <v>40768.487754629627</v>
      </c>
      <c r="C1027">
        <v>90</v>
      </c>
      <c r="D1027">
        <v>89.931564331000004</v>
      </c>
      <c r="E1027">
        <v>60</v>
      </c>
      <c r="F1027">
        <v>48.629402161000002</v>
      </c>
      <c r="G1027">
        <v>1379.5207519999999</v>
      </c>
      <c r="H1027">
        <v>1367.0496826000001</v>
      </c>
      <c r="I1027">
        <v>1286.7454834</v>
      </c>
      <c r="J1027">
        <v>1267.9523925999999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470.79678000000001</v>
      </c>
      <c r="B1028" s="1">
        <f>DATE(2011,8,14) + TIME(19,7,21)</f>
        <v>40769.796770833331</v>
      </c>
      <c r="C1028">
        <v>90</v>
      </c>
      <c r="D1028">
        <v>89.931617736999996</v>
      </c>
      <c r="E1028">
        <v>60</v>
      </c>
      <c r="F1028">
        <v>48.481601714999996</v>
      </c>
      <c r="G1028">
        <v>1379.4641113</v>
      </c>
      <c r="H1028">
        <v>1367.0004882999999</v>
      </c>
      <c r="I1028">
        <v>1286.6138916</v>
      </c>
      <c r="J1028">
        <v>1267.7426757999999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472.11793599999999</v>
      </c>
      <c r="B1029" s="1">
        <f>DATE(2011,8,16) + TIME(2,49,49)</f>
        <v>40771.117928240739</v>
      </c>
      <c r="C1029">
        <v>90</v>
      </c>
      <c r="D1029">
        <v>89.931671143000003</v>
      </c>
      <c r="E1029">
        <v>60</v>
      </c>
      <c r="F1029">
        <v>48.331813812</v>
      </c>
      <c r="G1029">
        <v>1379.4074707</v>
      </c>
      <c r="H1029">
        <v>1366.9512939000001</v>
      </c>
      <c r="I1029">
        <v>1286.4808350000001</v>
      </c>
      <c r="J1029">
        <v>1267.5296631000001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473.45139899999998</v>
      </c>
      <c r="B1030" s="1">
        <f>DATE(2011,8,17) + TIME(10,50,0)</f>
        <v>40772.451388888891</v>
      </c>
      <c r="C1030">
        <v>90</v>
      </c>
      <c r="D1030">
        <v>89.931724548000005</v>
      </c>
      <c r="E1030">
        <v>60</v>
      </c>
      <c r="F1030">
        <v>48.180023192999997</v>
      </c>
      <c r="G1030">
        <v>1379.3508300999999</v>
      </c>
      <c r="H1030">
        <v>1366.9019774999999</v>
      </c>
      <c r="I1030">
        <v>1286.3460693</v>
      </c>
      <c r="J1030">
        <v>1267.3131103999999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474.79060199999998</v>
      </c>
      <c r="B1031" s="1">
        <f>DATE(2011,8,18) + TIME(18,58,28)</f>
        <v>40773.790601851855</v>
      </c>
      <c r="C1031">
        <v>90</v>
      </c>
      <c r="D1031">
        <v>89.931777953999998</v>
      </c>
      <c r="E1031">
        <v>60</v>
      </c>
      <c r="F1031">
        <v>48.026576996000003</v>
      </c>
      <c r="G1031">
        <v>1379.2940673999999</v>
      </c>
      <c r="H1031">
        <v>1366.8525391000001</v>
      </c>
      <c r="I1031">
        <v>1286.2098389</v>
      </c>
      <c r="J1031">
        <v>1267.0933838000001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476.13906100000003</v>
      </c>
      <c r="B1032" s="1">
        <f>DATE(2011,8,20) + TIME(3,20,14)</f>
        <v>40775.139050925929</v>
      </c>
      <c r="C1032">
        <v>90</v>
      </c>
      <c r="D1032">
        <v>89.931838988999999</v>
      </c>
      <c r="E1032">
        <v>60</v>
      </c>
      <c r="F1032">
        <v>47.871707915999998</v>
      </c>
      <c r="G1032">
        <v>1379.2374268000001</v>
      </c>
      <c r="H1032">
        <v>1366.8031006000001</v>
      </c>
      <c r="I1032">
        <v>1286.0727539</v>
      </c>
      <c r="J1032">
        <v>1266.8710937999999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477.49958800000002</v>
      </c>
      <c r="B1033" s="1">
        <f>DATE(2011,8,21) + TIME(11,59,24)</f>
        <v>40776.499583333331</v>
      </c>
      <c r="C1033">
        <v>90</v>
      </c>
      <c r="D1033">
        <v>89.931892395000006</v>
      </c>
      <c r="E1033">
        <v>60</v>
      </c>
      <c r="F1033">
        <v>47.715396880999997</v>
      </c>
      <c r="G1033">
        <v>1379.1807861</v>
      </c>
      <c r="H1033">
        <v>1366.7536620999999</v>
      </c>
      <c r="I1033">
        <v>1285.9346923999999</v>
      </c>
      <c r="J1033">
        <v>1266.6459961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478.87370199999998</v>
      </c>
      <c r="B1034" s="1">
        <f>DATE(2011,8,22) + TIME(20,58,7)</f>
        <v>40777.873692129629</v>
      </c>
      <c r="C1034">
        <v>90</v>
      </c>
      <c r="D1034">
        <v>89.931953429999993</v>
      </c>
      <c r="E1034">
        <v>60</v>
      </c>
      <c r="F1034">
        <v>47.557544708000002</v>
      </c>
      <c r="G1034">
        <v>1379.1241454999999</v>
      </c>
      <c r="H1034">
        <v>1366.7041016000001</v>
      </c>
      <c r="I1034">
        <v>1285.7952881000001</v>
      </c>
      <c r="J1034">
        <v>1266.4179687999999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480.25446099999999</v>
      </c>
      <c r="B1035" s="1">
        <f>DATE(2011,8,24) + TIME(6,6,25)</f>
        <v>40779.25445601852</v>
      </c>
      <c r="C1035">
        <v>90</v>
      </c>
      <c r="D1035">
        <v>89.932006835999999</v>
      </c>
      <c r="E1035">
        <v>60</v>
      </c>
      <c r="F1035">
        <v>47.398475646999998</v>
      </c>
      <c r="G1035">
        <v>1379.0672606999999</v>
      </c>
      <c r="H1035">
        <v>1366.6542969</v>
      </c>
      <c r="I1035">
        <v>1285.6547852000001</v>
      </c>
      <c r="J1035">
        <v>1266.1871338000001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481.65033199999999</v>
      </c>
      <c r="B1036" s="1">
        <f>DATE(2011,8,25) + TIME(15,36,28)</f>
        <v>40780.650324074071</v>
      </c>
      <c r="C1036">
        <v>90</v>
      </c>
      <c r="D1036">
        <v>89.932067871000001</v>
      </c>
      <c r="E1036">
        <v>60</v>
      </c>
      <c r="F1036">
        <v>47.238239288000003</v>
      </c>
      <c r="G1036">
        <v>1379.0104980000001</v>
      </c>
      <c r="H1036">
        <v>1366.6044922000001</v>
      </c>
      <c r="I1036">
        <v>1285.5136719</v>
      </c>
      <c r="J1036">
        <v>1265.9541016000001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483.06429900000001</v>
      </c>
      <c r="B1037" s="1">
        <f>DATE(2011,8,27) + TIME(1,32,35)</f>
        <v>40782.064293981479</v>
      </c>
      <c r="C1037">
        <v>90</v>
      </c>
      <c r="D1037">
        <v>89.932128906000003</v>
      </c>
      <c r="E1037">
        <v>60</v>
      </c>
      <c r="F1037">
        <v>47.076633452999999</v>
      </c>
      <c r="G1037">
        <v>1378.9534911999999</v>
      </c>
      <c r="H1037">
        <v>1366.5544434000001</v>
      </c>
      <c r="I1037">
        <v>1285.371582</v>
      </c>
      <c r="J1037">
        <v>1265.7181396000001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484.48368299999998</v>
      </c>
      <c r="B1038" s="1">
        <f>DATE(2011,8,28) + TIME(11,36,30)</f>
        <v>40783.483680555553</v>
      </c>
      <c r="C1038">
        <v>90</v>
      </c>
      <c r="D1038">
        <v>89.932189941000004</v>
      </c>
      <c r="E1038">
        <v>60</v>
      </c>
      <c r="F1038">
        <v>46.914203643999997</v>
      </c>
      <c r="G1038">
        <v>1378.8961182</v>
      </c>
      <c r="H1038">
        <v>1366.5040283000001</v>
      </c>
      <c r="I1038">
        <v>1285.2282714999999</v>
      </c>
      <c r="J1038">
        <v>1265.4793701000001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485.90849600000001</v>
      </c>
      <c r="B1039" s="1">
        <f>DATE(2011,8,29) + TIME(21,48,14)</f>
        <v>40784.908495370371</v>
      </c>
      <c r="C1039">
        <v>90</v>
      </c>
      <c r="D1039">
        <v>89.932243346999996</v>
      </c>
      <c r="E1039">
        <v>60</v>
      </c>
      <c r="F1039">
        <v>46.751689911</v>
      </c>
      <c r="G1039">
        <v>1378.8388672000001</v>
      </c>
      <c r="H1039">
        <v>1366.4536132999999</v>
      </c>
      <c r="I1039">
        <v>1285.0849608999999</v>
      </c>
      <c r="J1039">
        <v>1265.2393798999999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487.34215499999999</v>
      </c>
      <c r="B1040" s="1">
        <f>DATE(2011,8,31) + TIME(8,12,42)</f>
        <v>40786.342152777775</v>
      </c>
      <c r="C1040">
        <v>90</v>
      </c>
      <c r="D1040">
        <v>89.932312011999997</v>
      </c>
      <c r="E1040">
        <v>60</v>
      </c>
      <c r="F1040">
        <v>46.589431763</v>
      </c>
      <c r="G1040">
        <v>1378.7817382999999</v>
      </c>
      <c r="H1040">
        <v>1366.4033202999999</v>
      </c>
      <c r="I1040">
        <v>1284.9420166</v>
      </c>
      <c r="J1040">
        <v>1264.9986572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488</v>
      </c>
      <c r="B1041" s="1">
        <f>DATE(2011,9,1) + TIME(0,0,0)</f>
        <v>40787</v>
      </c>
      <c r="C1041">
        <v>90</v>
      </c>
      <c r="D1041">
        <v>89.932327271000005</v>
      </c>
      <c r="E1041">
        <v>60</v>
      </c>
      <c r="F1041">
        <v>46.477340697999999</v>
      </c>
      <c r="G1041">
        <v>1378.7244873</v>
      </c>
      <c r="H1041">
        <v>1366.3526611</v>
      </c>
      <c r="I1041">
        <v>1284.8046875</v>
      </c>
      <c r="J1041">
        <v>1264.7840576000001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489.44570599999997</v>
      </c>
      <c r="B1042" s="1">
        <f>DATE(2011,9,2) + TIME(10,41,48)</f>
        <v>40788.445694444446</v>
      </c>
      <c r="C1042">
        <v>90</v>
      </c>
      <c r="D1042">
        <v>89.932395935000002</v>
      </c>
      <c r="E1042">
        <v>60</v>
      </c>
      <c r="F1042">
        <v>46.340068817000002</v>
      </c>
      <c r="G1042">
        <v>1378.6983643000001</v>
      </c>
      <c r="H1042">
        <v>1366.3295897999999</v>
      </c>
      <c r="I1042">
        <v>1284.729126</v>
      </c>
      <c r="J1042">
        <v>1264.6329346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490.906384</v>
      </c>
      <c r="B1043" s="1">
        <f>DATE(2011,9,3) + TIME(21,45,11)</f>
        <v>40789.906377314815</v>
      </c>
      <c r="C1043">
        <v>90</v>
      </c>
      <c r="D1043">
        <v>89.932464600000003</v>
      </c>
      <c r="E1043">
        <v>60</v>
      </c>
      <c r="F1043">
        <v>46.188507080000001</v>
      </c>
      <c r="G1043">
        <v>1378.6414795000001</v>
      </c>
      <c r="H1043">
        <v>1366.2792969</v>
      </c>
      <c r="I1043">
        <v>1284.590332</v>
      </c>
      <c r="J1043">
        <v>1264.3994141000001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492.37549200000001</v>
      </c>
      <c r="B1044" s="1">
        <f>DATE(2011,9,5) + TIME(9,0,42)</f>
        <v>40791.375486111108</v>
      </c>
      <c r="C1044">
        <v>90</v>
      </c>
      <c r="D1044">
        <v>89.932525635000005</v>
      </c>
      <c r="E1044">
        <v>60</v>
      </c>
      <c r="F1044">
        <v>46.032558440999999</v>
      </c>
      <c r="G1044">
        <v>1378.5839844</v>
      </c>
      <c r="H1044">
        <v>1366.2283935999999</v>
      </c>
      <c r="I1044">
        <v>1284.4494629000001</v>
      </c>
      <c r="J1044">
        <v>1264.1594238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493.85661599999997</v>
      </c>
      <c r="B1045" s="1">
        <f>DATE(2011,9,6) + TIME(20,33,31)</f>
        <v>40792.856608796297</v>
      </c>
      <c r="C1045">
        <v>90</v>
      </c>
      <c r="D1045">
        <v>89.932586670000006</v>
      </c>
      <c r="E1045">
        <v>60</v>
      </c>
      <c r="F1045">
        <v>45.876327515</v>
      </c>
      <c r="G1045">
        <v>1378.5266113</v>
      </c>
      <c r="H1045">
        <v>1366.1774902</v>
      </c>
      <c r="I1045">
        <v>1284.3087158000001</v>
      </c>
      <c r="J1045">
        <v>1263.9174805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494.60485399999999</v>
      </c>
      <c r="B1046" s="1">
        <f>DATE(2011,9,7) + TIME(14,30,59)</f>
        <v>40793.604849537034</v>
      </c>
      <c r="C1046">
        <v>90</v>
      </c>
      <c r="D1046">
        <v>89.932609557999996</v>
      </c>
      <c r="E1046">
        <v>60</v>
      </c>
      <c r="F1046">
        <v>45.762531281000001</v>
      </c>
      <c r="G1046">
        <v>1378.46875</v>
      </c>
      <c r="H1046">
        <v>1366.1260986</v>
      </c>
      <c r="I1046">
        <v>1284.1740723</v>
      </c>
      <c r="J1046">
        <v>1263.6993408000001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495.353092</v>
      </c>
      <c r="B1047" s="1">
        <f>DATE(2011,9,8) + TIME(8,28,27)</f>
        <v>40794.353090277778</v>
      </c>
      <c r="C1047">
        <v>90</v>
      </c>
      <c r="D1047">
        <v>89.932640075999998</v>
      </c>
      <c r="E1047">
        <v>60</v>
      </c>
      <c r="F1047">
        <v>45.666812897</v>
      </c>
      <c r="G1047">
        <v>1378.4393310999999</v>
      </c>
      <c r="H1047">
        <v>1366.0998535000001</v>
      </c>
      <c r="I1047">
        <v>1284.0982666</v>
      </c>
      <c r="J1047">
        <v>1263.5610352000001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496.10133000000002</v>
      </c>
      <c r="B1048" s="1">
        <f>DATE(2011,9,9) + TIME(2,25,54)</f>
        <v>40795.101319444446</v>
      </c>
      <c r="C1048">
        <v>90</v>
      </c>
      <c r="D1048">
        <v>89.932670592999997</v>
      </c>
      <c r="E1048">
        <v>60</v>
      </c>
      <c r="F1048">
        <v>45.581264496000003</v>
      </c>
      <c r="G1048">
        <v>1378.4104004000001</v>
      </c>
      <c r="H1048">
        <v>1366.0740966999999</v>
      </c>
      <c r="I1048">
        <v>1284.026001</v>
      </c>
      <c r="J1048">
        <v>1263.4316406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496.84956799999998</v>
      </c>
      <c r="B1049" s="1">
        <f>DATE(2011,9,9) + TIME(20,23,22)</f>
        <v>40795.849560185183</v>
      </c>
      <c r="C1049">
        <v>90</v>
      </c>
      <c r="D1049">
        <v>89.932701111</v>
      </c>
      <c r="E1049">
        <v>60</v>
      </c>
      <c r="F1049">
        <v>45.501724242999998</v>
      </c>
      <c r="G1049">
        <v>1378.3814697</v>
      </c>
      <c r="H1049">
        <v>1366.0483397999999</v>
      </c>
      <c r="I1049">
        <v>1283.9559326000001</v>
      </c>
      <c r="J1049">
        <v>1263.307251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497.59780599999999</v>
      </c>
      <c r="B1050" s="1">
        <f>DATE(2011,9,10) + TIME(14,20,50)</f>
        <v>40796.597800925927</v>
      </c>
      <c r="C1050">
        <v>90</v>
      </c>
      <c r="D1050">
        <v>89.932739257999998</v>
      </c>
      <c r="E1050">
        <v>60</v>
      </c>
      <c r="F1050">
        <v>45.426029204999999</v>
      </c>
      <c r="G1050">
        <v>1378.3526611</v>
      </c>
      <c r="H1050">
        <v>1366.0227050999999</v>
      </c>
      <c r="I1050">
        <v>1283.8870850000001</v>
      </c>
      <c r="J1050">
        <v>1263.1857910000001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498.34604400000001</v>
      </c>
      <c r="B1051" s="1">
        <f>DATE(2011,9,11) + TIME(8,18,18)</f>
        <v>40797.346041666664</v>
      </c>
      <c r="C1051">
        <v>90</v>
      </c>
      <c r="D1051">
        <v>89.932769774999997</v>
      </c>
      <c r="E1051">
        <v>60</v>
      </c>
      <c r="F1051">
        <v>45.353061676000003</v>
      </c>
      <c r="G1051">
        <v>1378.3239745999999</v>
      </c>
      <c r="H1051">
        <v>1365.9969481999999</v>
      </c>
      <c r="I1051">
        <v>1283.8193358999999</v>
      </c>
      <c r="J1051">
        <v>1263.0664062000001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499.09428300000002</v>
      </c>
      <c r="B1052" s="1">
        <f>DATE(2011,9,12) + TIME(2,15,46)</f>
        <v>40798.094282407408</v>
      </c>
      <c r="C1052">
        <v>90</v>
      </c>
      <c r="D1052">
        <v>89.932800293</v>
      </c>
      <c r="E1052">
        <v>60</v>
      </c>
      <c r="F1052">
        <v>45.282272339000002</v>
      </c>
      <c r="G1052">
        <v>1378.2952881000001</v>
      </c>
      <c r="H1052">
        <v>1365.9714355000001</v>
      </c>
      <c r="I1052">
        <v>1283.7525635</v>
      </c>
      <c r="J1052">
        <v>1262.9486084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499.84252099999998</v>
      </c>
      <c r="B1053" s="1">
        <f>DATE(2011,9,12) + TIME(20,13,13)</f>
        <v>40798.842511574076</v>
      </c>
      <c r="C1053">
        <v>90</v>
      </c>
      <c r="D1053">
        <v>89.932838439999998</v>
      </c>
      <c r="E1053">
        <v>60</v>
      </c>
      <c r="F1053">
        <v>45.213413238999998</v>
      </c>
      <c r="G1053">
        <v>1378.2666016000001</v>
      </c>
      <c r="H1053">
        <v>1365.9458007999999</v>
      </c>
      <c r="I1053">
        <v>1283.6865233999999</v>
      </c>
      <c r="J1053">
        <v>1262.8321533000001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501.33899700000001</v>
      </c>
      <c r="B1054" s="1">
        <f>DATE(2011,9,14) + TIME(8,8,9)</f>
        <v>40800.338993055557</v>
      </c>
      <c r="C1054">
        <v>90</v>
      </c>
      <c r="D1054">
        <v>89.932914733999993</v>
      </c>
      <c r="E1054">
        <v>60</v>
      </c>
      <c r="F1054">
        <v>45.122310638000002</v>
      </c>
      <c r="G1054">
        <v>1378.2384033000001</v>
      </c>
      <c r="H1054">
        <v>1365.9206543</v>
      </c>
      <c r="I1054">
        <v>1283.6170654</v>
      </c>
      <c r="J1054">
        <v>1262.7006836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502.84099600000002</v>
      </c>
      <c r="B1055" s="1">
        <f>DATE(2011,9,15) + TIME(20,11,2)</f>
        <v>40801.840995370374</v>
      </c>
      <c r="C1055">
        <v>90</v>
      </c>
      <c r="D1055">
        <v>89.932983398000005</v>
      </c>
      <c r="E1055">
        <v>60</v>
      </c>
      <c r="F1055">
        <v>45.008644103999998</v>
      </c>
      <c r="G1055">
        <v>1378.1817627</v>
      </c>
      <c r="H1055">
        <v>1365.8699951000001</v>
      </c>
      <c r="I1055">
        <v>1283.4948730000001</v>
      </c>
      <c r="J1055">
        <v>1262.4899902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504.36569300000002</v>
      </c>
      <c r="B1056" s="1">
        <f>DATE(2011,9,17) + TIME(8,46,35)</f>
        <v>40803.365682870368</v>
      </c>
      <c r="C1056">
        <v>90</v>
      </c>
      <c r="D1056">
        <v>89.933052063000005</v>
      </c>
      <c r="E1056">
        <v>60</v>
      </c>
      <c r="F1056">
        <v>44.891010283999996</v>
      </c>
      <c r="G1056">
        <v>1378.1247559000001</v>
      </c>
      <c r="H1056">
        <v>1365.8190918</v>
      </c>
      <c r="I1056">
        <v>1283.3706055</v>
      </c>
      <c r="J1056">
        <v>1262.2713623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505.91659800000002</v>
      </c>
      <c r="B1057" s="1">
        <f>DATE(2011,9,18) + TIME(21,59,54)</f>
        <v>40804.916597222225</v>
      </c>
      <c r="C1057">
        <v>90</v>
      </c>
      <c r="D1057">
        <v>89.933120728000006</v>
      </c>
      <c r="E1057">
        <v>60</v>
      </c>
      <c r="F1057">
        <v>44.776218413999999</v>
      </c>
      <c r="G1057">
        <v>1378.0673827999999</v>
      </c>
      <c r="H1057">
        <v>1365.7674560999999</v>
      </c>
      <c r="I1057">
        <v>1283.2463379000001</v>
      </c>
      <c r="J1057">
        <v>1262.0505370999999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507.498468</v>
      </c>
      <c r="B1058" s="1">
        <f>DATE(2011,9,20) + TIME(11,57,47)</f>
        <v>40806.498460648145</v>
      </c>
      <c r="C1058">
        <v>90</v>
      </c>
      <c r="D1058">
        <v>89.933197020999998</v>
      </c>
      <c r="E1058">
        <v>60</v>
      </c>
      <c r="F1058">
        <v>44.667293549</v>
      </c>
      <c r="G1058">
        <v>1378.0090332</v>
      </c>
      <c r="H1058">
        <v>1365.7152100000001</v>
      </c>
      <c r="I1058">
        <v>1283.1228027</v>
      </c>
      <c r="J1058">
        <v>1261.8303223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508.30154299999998</v>
      </c>
      <c r="B1059" s="1">
        <f>DATE(2011,9,21) + TIME(7,14,13)</f>
        <v>40807.301539351851</v>
      </c>
      <c r="C1059">
        <v>90</v>
      </c>
      <c r="D1059">
        <v>89.933219910000005</v>
      </c>
      <c r="E1059">
        <v>60</v>
      </c>
      <c r="F1059">
        <v>44.591876984000002</v>
      </c>
      <c r="G1059">
        <v>1377.9498291</v>
      </c>
      <c r="H1059">
        <v>1365.6619873</v>
      </c>
      <c r="I1059">
        <v>1283.0078125</v>
      </c>
      <c r="J1059">
        <v>1261.6342772999999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509.10461800000002</v>
      </c>
      <c r="B1060" s="1">
        <f>DATE(2011,9,22) + TIME(2,30,38)</f>
        <v>40808.10460648148</v>
      </c>
      <c r="C1060">
        <v>90</v>
      </c>
      <c r="D1060">
        <v>89.933250427000004</v>
      </c>
      <c r="E1060">
        <v>60</v>
      </c>
      <c r="F1060">
        <v>44.532363891999999</v>
      </c>
      <c r="G1060">
        <v>1377.9194336</v>
      </c>
      <c r="H1060">
        <v>1365.6345214999999</v>
      </c>
      <c r="I1060">
        <v>1282.9414062000001</v>
      </c>
      <c r="J1060">
        <v>1261.5109863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509.90769299999999</v>
      </c>
      <c r="B1061" s="1">
        <f>DATE(2011,9,22) + TIME(21,47,4)</f>
        <v>40808.907685185186</v>
      </c>
      <c r="C1061">
        <v>90</v>
      </c>
      <c r="D1061">
        <v>89.933288574000002</v>
      </c>
      <c r="E1061">
        <v>60</v>
      </c>
      <c r="F1061">
        <v>44.482467651</v>
      </c>
      <c r="G1061">
        <v>1377.8895264</v>
      </c>
      <c r="H1061">
        <v>1365.6075439000001</v>
      </c>
      <c r="I1061">
        <v>1282.8791504000001</v>
      </c>
      <c r="J1061">
        <v>1261.3972168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510.71076799999997</v>
      </c>
      <c r="B1062" s="1">
        <f>DATE(2011,9,23) + TIME(17,3,30)</f>
        <v>40809.710763888892</v>
      </c>
      <c r="C1062">
        <v>90</v>
      </c>
      <c r="D1062">
        <v>89.933326721</v>
      </c>
      <c r="E1062">
        <v>60</v>
      </c>
      <c r="F1062">
        <v>44.439033508000001</v>
      </c>
      <c r="G1062">
        <v>1377.8597411999999</v>
      </c>
      <c r="H1062">
        <v>1365.5806885</v>
      </c>
      <c r="I1062">
        <v>1282.8193358999999</v>
      </c>
      <c r="J1062">
        <v>1261.2891846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511.51384200000001</v>
      </c>
      <c r="B1063" s="1">
        <f>DATE(2011,9,24) + TIME(12,19,55)</f>
        <v>40810.513831018521</v>
      </c>
      <c r="C1063">
        <v>90</v>
      </c>
      <c r="D1063">
        <v>89.933357239000003</v>
      </c>
      <c r="E1063">
        <v>60</v>
      </c>
      <c r="F1063">
        <v>44.400501251000001</v>
      </c>
      <c r="G1063">
        <v>1377.8299560999999</v>
      </c>
      <c r="H1063">
        <v>1365.5538329999999</v>
      </c>
      <c r="I1063">
        <v>1282.7614745999999</v>
      </c>
      <c r="J1063">
        <v>1261.1850586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512.31691699999999</v>
      </c>
      <c r="B1064" s="1">
        <f>DATE(2011,9,25) + TIME(7,36,21)</f>
        <v>40811.31690972222</v>
      </c>
      <c r="C1064">
        <v>90</v>
      </c>
      <c r="D1064">
        <v>89.933395386000001</v>
      </c>
      <c r="E1064">
        <v>60</v>
      </c>
      <c r="F1064">
        <v>44.366130828999999</v>
      </c>
      <c r="G1064">
        <v>1377.800293</v>
      </c>
      <c r="H1064">
        <v>1365.5269774999999</v>
      </c>
      <c r="I1064">
        <v>1282.7050781</v>
      </c>
      <c r="J1064">
        <v>1261.0839844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513.11999200000002</v>
      </c>
      <c r="B1065" s="1">
        <f>DATE(2011,9,26) + TIME(2,52,47)</f>
        <v>40812.119988425926</v>
      </c>
      <c r="C1065">
        <v>90</v>
      </c>
      <c r="D1065">
        <v>89.933433532999999</v>
      </c>
      <c r="E1065">
        <v>60</v>
      </c>
      <c r="F1065">
        <v>44.335571289000001</v>
      </c>
      <c r="G1065">
        <v>1377.7706298999999</v>
      </c>
      <c r="H1065">
        <v>1365.5002440999999</v>
      </c>
      <c r="I1065">
        <v>1282.6500243999999</v>
      </c>
      <c r="J1065">
        <v>1260.9853516000001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513.92306699999995</v>
      </c>
      <c r="B1066" s="1">
        <f>DATE(2011,9,26) + TIME(22,9,12)</f>
        <v>40812.923055555555</v>
      </c>
      <c r="C1066">
        <v>90</v>
      </c>
      <c r="D1066">
        <v>89.933471679999997</v>
      </c>
      <c r="E1066">
        <v>60</v>
      </c>
      <c r="F1066">
        <v>44.308677672999998</v>
      </c>
      <c r="G1066">
        <v>1377.7410889</v>
      </c>
      <c r="H1066">
        <v>1365.4735106999999</v>
      </c>
      <c r="I1066">
        <v>1282.5960693</v>
      </c>
      <c r="J1066">
        <v>1260.8890381000001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515.52921600000002</v>
      </c>
      <c r="B1067" s="1">
        <f>DATE(2011,9,28) + TIME(12,42,4)</f>
        <v>40814.52921296296</v>
      </c>
      <c r="C1067">
        <v>90</v>
      </c>
      <c r="D1067">
        <v>89.933555603000002</v>
      </c>
      <c r="E1067">
        <v>60</v>
      </c>
      <c r="F1067">
        <v>44.277534484999997</v>
      </c>
      <c r="G1067">
        <v>1377.7117920000001</v>
      </c>
      <c r="H1067">
        <v>1365.4471435999999</v>
      </c>
      <c r="I1067">
        <v>1282.5372314000001</v>
      </c>
      <c r="J1067">
        <v>1260.7814940999999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517.13870099999997</v>
      </c>
      <c r="B1068" s="1">
        <f>DATE(2011,9,30) + TIME(3,19,43)</f>
        <v>40816.138692129629</v>
      </c>
      <c r="C1068">
        <v>90</v>
      </c>
      <c r="D1068">
        <v>89.933624268000003</v>
      </c>
      <c r="E1068">
        <v>60</v>
      </c>
      <c r="F1068">
        <v>44.246200561999999</v>
      </c>
      <c r="G1068">
        <v>1377.6533202999999</v>
      </c>
      <c r="H1068">
        <v>1365.3941649999999</v>
      </c>
      <c r="I1068">
        <v>1282.4406738</v>
      </c>
      <c r="J1068">
        <v>1260.6120605000001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518</v>
      </c>
      <c r="B1069" s="1">
        <f>DATE(2011,10,1) + TIME(0,0,0)</f>
        <v>40817</v>
      </c>
      <c r="C1069">
        <v>90</v>
      </c>
      <c r="D1069">
        <v>89.933654785000002</v>
      </c>
      <c r="E1069">
        <v>60</v>
      </c>
      <c r="F1069">
        <v>44.229587555000002</v>
      </c>
      <c r="G1069">
        <v>1377.5946045000001</v>
      </c>
      <c r="H1069">
        <v>1365.3410644999999</v>
      </c>
      <c r="I1069">
        <v>1282.3519286999999</v>
      </c>
      <c r="J1069">
        <v>1260.4575195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519.63928899999996</v>
      </c>
      <c r="B1070" s="1">
        <f>DATE(2011,10,2) + TIME(15,20,34)</f>
        <v>40818.639282407406</v>
      </c>
      <c r="C1070">
        <v>90</v>
      </c>
      <c r="D1070">
        <v>89.933738708000007</v>
      </c>
      <c r="E1070">
        <v>60</v>
      </c>
      <c r="F1070">
        <v>44.218444824000002</v>
      </c>
      <c r="G1070">
        <v>1377.5631103999999</v>
      </c>
      <c r="H1070">
        <v>1365.3125</v>
      </c>
      <c r="I1070">
        <v>1282.2882079999999</v>
      </c>
      <c r="J1070">
        <v>1260.34375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521.32861300000002</v>
      </c>
      <c r="B1071" s="1">
        <f>DATE(2011,10,4) + TIME(7,53,12)</f>
        <v>40820.328611111108</v>
      </c>
      <c r="C1071">
        <v>90</v>
      </c>
      <c r="D1071">
        <v>89.933822632000002</v>
      </c>
      <c r="E1071">
        <v>60</v>
      </c>
      <c r="F1071">
        <v>44.219463347999998</v>
      </c>
      <c r="G1071">
        <v>1377.5041504000001</v>
      </c>
      <c r="H1071">
        <v>1365.2589111</v>
      </c>
      <c r="I1071">
        <v>1282.1970214999999</v>
      </c>
      <c r="J1071">
        <v>1260.1850586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523.02334900000005</v>
      </c>
      <c r="B1072" s="1">
        <f>DATE(2011,10,6) + TIME(0,33,37)</f>
        <v>40822.023344907408</v>
      </c>
      <c r="C1072">
        <v>90</v>
      </c>
      <c r="D1072">
        <v>89.933898925999998</v>
      </c>
      <c r="E1072">
        <v>60</v>
      </c>
      <c r="F1072">
        <v>44.235893249999997</v>
      </c>
      <c r="G1072">
        <v>1377.4433594</v>
      </c>
      <c r="H1072">
        <v>1365.2037353999999</v>
      </c>
      <c r="I1072">
        <v>1282.1057129000001</v>
      </c>
      <c r="J1072">
        <v>1260.0273437999999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524.72537699999998</v>
      </c>
      <c r="B1073" s="1">
        <f>DATE(2011,10,7) + TIME(17,24,32)</f>
        <v>40823.725370370368</v>
      </c>
      <c r="C1073">
        <v>90</v>
      </c>
      <c r="D1073">
        <v>89.933975219999994</v>
      </c>
      <c r="E1073">
        <v>60</v>
      </c>
      <c r="F1073">
        <v>44.268947601000001</v>
      </c>
      <c r="G1073">
        <v>1377.3826904</v>
      </c>
      <c r="H1073">
        <v>1365.1486815999999</v>
      </c>
      <c r="I1073">
        <v>1282.0175781</v>
      </c>
      <c r="J1073">
        <v>1259.8770752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526.43925300000001</v>
      </c>
      <c r="B1074" s="1">
        <f>DATE(2011,10,9) + TIME(10,32,31)</f>
        <v>40825.439247685186</v>
      </c>
      <c r="C1074">
        <v>90</v>
      </c>
      <c r="D1074">
        <v>89.934051514000004</v>
      </c>
      <c r="E1074">
        <v>60</v>
      </c>
      <c r="F1074">
        <v>44.319053650000001</v>
      </c>
      <c r="G1074">
        <v>1377.3222656</v>
      </c>
      <c r="H1074">
        <v>1365.0936279</v>
      </c>
      <c r="I1074">
        <v>1281.9331055</v>
      </c>
      <c r="J1074">
        <v>1259.7353516000001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528.16937900000005</v>
      </c>
      <c r="B1075" s="1">
        <f>DATE(2011,10,11) + TIME(4,3,54)</f>
        <v>40827.169374999998</v>
      </c>
      <c r="C1075">
        <v>90</v>
      </c>
      <c r="D1075">
        <v>89.934127808</v>
      </c>
      <c r="E1075">
        <v>60</v>
      </c>
      <c r="F1075">
        <v>44.386322020999998</v>
      </c>
      <c r="G1075">
        <v>1377.2617187999999</v>
      </c>
      <c r="H1075">
        <v>1365.0384521000001</v>
      </c>
      <c r="I1075">
        <v>1281.8525391000001</v>
      </c>
      <c r="J1075">
        <v>1259.6024170000001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529.92013299999996</v>
      </c>
      <c r="B1076" s="1">
        <f>DATE(2011,10,12) + TIME(22,4,59)</f>
        <v>40828.920127314814</v>
      </c>
      <c r="C1076">
        <v>90</v>
      </c>
      <c r="D1076">
        <v>89.934211731000005</v>
      </c>
      <c r="E1076">
        <v>60</v>
      </c>
      <c r="F1076">
        <v>44.470817566000001</v>
      </c>
      <c r="G1076">
        <v>1377.2010498</v>
      </c>
      <c r="H1076">
        <v>1364.9831543</v>
      </c>
      <c r="I1076">
        <v>1281.7755127</v>
      </c>
      <c r="J1076">
        <v>1259.4781493999999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531.685924</v>
      </c>
      <c r="B1077" s="1">
        <f>DATE(2011,10,14) + TIME(16,27,43)</f>
        <v>40830.685914351852</v>
      </c>
      <c r="C1077">
        <v>90</v>
      </c>
      <c r="D1077">
        <v>89.934288025000001</v>
      </c>
      <c r="E1077">
        <v>60</v>
      </c>
      <c r="F1077">
        <v>44.572341919000003</v>
      </c>
      <c r="G1077">
        <v>1377.1400146000001</v>
      </c>
      <c r="H1077">
        <v>1364.9274902</v>
      </c>
      <c r="I1077">
        <v>1281.7021483999999</v>
      </c>
      <c r="J1077">
        <v>1259.3625488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533.469065</v>
      </c>
      <c r="B1078" s="1">
        <f>DATE(2011,10,16) + TIME(11,15,27)</f>
        <v>40832.4690625</v>
      </c>
      <c r="C1078">
        <v>90</v>
      </c>
      <c r="D1078">
        <v>89.934371948000006</v>
      </c>
      <c r="E1078">
        <v>60</v>
      </c>
      <c r="F1078">
        <v>44.690338134999998</v>
      </c>
      <c r="G1078">
        <v>1377.0789795000001</v>
      </c>
      <c r="H1078">
        <v>1364.8718262</v>
      </c>
      <c r="I1078">
        <v>1281.6323242000001</v>
      </c>
      <c r="J1078">
        <v>1259.2557373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534.37051299999996</v>
      </c>
      <c r="B1079" s="1">
        <f>DATE(2011,10,17) + TIME(8,53,32)</f>
        <v>40833.370509259257</v>
      </c>
      <c r="C1079">
        <v>90</v>
      </c>
      <c r="D1079">
        <v>89.934402465999995</v>
      </c>
      <c r="E1079">
        <v>60</v>
      </c>
      <c r="F1079">
        <v>44.793151854999998</v>
      </c>
      <c r="G1079">
        <v>1377.0179443</v>
      </c>
      <c r="H1079">
        <v>1364.8160399999999</v>
      </c>
      <c r="I1079">
        <v>1281.5793457</v>
      </c>
      <c r="J1079">
        <v>1259.1680908000001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535.27196000000004</v>
      </c>
      <c r="B1080" s="1">
        <f>DATE(2011,10,18) + TIME(6,31,37)</f>
        <v>40834.271956018521</v>
      </c>
      <c r="C1080">
        <v>90</v>
      </c>
      <c r="D1080">
        <v>89.934440613000007</v>
      </c>
      <c r="E1080">
        <v>60</v>
      </c>
      <c r="F1080">
        <v>44.882232666</v>
      </c>
      <c r="G1080">
        <v>1376.9866943</v>
      </c>
      <c r="H1080">
        <v>1364.7874756000001</v>
      </c>
      <c r="I1080">
        <v>1281.5407714999999</v>
      </c>
      <c r="J1080">
        <v>1259.1168213000001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536.17340799999999</v>
      </c>
      <c r="B1081" s="1">
        <f>DATE(2011,10,19) + TIME(4,9,42)</f>
        <v>40835.173402777778</v>
      </c>
      <c r="C1081">
        <v>90</v>
      </c>
      <c r="D1081">
        <v>89.934478760000005</v>
      </c>
      <c r="E1081">
        <v>60</v>
      </c>
      <c r="F1081">
        <v>44.96648407</v>
      </c>
      <c r="G1081">
        <v>1376.9561768000001</v>
      </c>
      <c r="H1081">
        <v>1364.7595214999999</v>
      </c>
      <c r="I1081">
        <v>1281.5069579999999</v>
      </c>
      <c r="J1081">
        <v>1259.0710449000001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537.97630300000003</v>
      </c>
      <c r="B1082" s="1">
        <f>DATE(2011,10,20) + TIME(23,25,52)</f>
        <v>40836.9762962963</v>
      </c>
      <c r="C1082">
        <v>90</v>
      </c>
      <c r="D1082">
        <v>89.934570312000005</v>
      </c>
      <c r="E1082">
        <v>60</v>
      </c>
      <c r="F1082">
        <v>45.075099944999998</v>
      </c>
      <c r="G1082">
        <v>1376.9259033000001</v>
      </c>
      <c r="H1082">
        <v>1364.7318115</v>
      </c>
      <c r="I1082">
        <v>1281.4666748</v>
      </c>
      <c r="J1082">
        <v>1259.0227050999999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539.78072399999996</v>
      </c>
      <c r="B1083" s="1">
        <f>DATE(2011,10,22) + TIME(18,44,14)</f>
        <v>40838.780717592592</v>
      </c>
      <c r="C1083">
        <v>90</v>
      </c>
      <c r="D1083">
        <v>89.934654236</v>
      </c>
      <c r="E1083">
        <v>60</v>
      </c>
      <c r="F1083">
        <v>45.227527618000003</v>
      </c>
      <c r="G1083">
        <v>1376.8658447</v>
      </c>
      <c r="H1083">
        <v>1364.6768798999999</v>
      </c>
      <c r="I1083">
        <v>1281.4157714999999</v>
      </c>
      <c r="J1083">
        <v>1258.9503173999999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541.60196299999996</v>
      </c>
      <c r="B1084" s="1">
        <f>DATE(2011,10,24) + TIME(14,26,49)</f>
        <v>40840.601956018516</v>
      </c>
      <c r="C1084">
        <v>90</v>
      </c>
      <c r="D1084">
        <v>89.934738159000005</v>
      </c>
      <c r="E1084">
        <v>60</v>
      </c>
      <c r="F1084">
        <v>45.400512695000003</v>
      </c>
      <c r="G1084">
        <v>1376.8059082</v>
      </c>
      <c r="H1084">
        <v>1364.6220702999999</v>
      </c>
      <c r="I1084">
        <v>1281.364624</v>
      </c>
      <c r="J1084">
        <v>1258.8836670000001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543.44347900000002</v>
      </c>
      <c r="B1085" s="1">
        <f>DATE(2011,10,26) + TIME(10,38,36)</f>
        <v>40842.443472222221</v>
      </c>
      <c r="C1085">
        <v>90</v>
      </c>
      <c r="D1085">
        <v>89.934822083</v>
      </c>
      <c r="E1085">
        <v>60</v>
      </c>
      <c r="F1085">
        <v>45.586784363</v>
      </c>
      <c r="G1085">
        <v>1376.7462158000001</v>
      </c>
      <c r="H1085">
        <v>1364.5672606999999</v>
      </c>
      <c r="I1085">
        <v>1281.3154297000001</v>
      </c>
      <c r="J1085">
        <v>1258.8232422000001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545.30891199999996</v>
      </c>
      <c r="B1086" s="1">
        <f>DATE(2011,10,28) + TIME(7,24,50)</f>
        <v>40844.308912037035</v>
      </c>
      <c r="C1086">
        <v>90</v>
      </c>
      <c r="D1086">
        <v>89.934906006000006</v>
      </c>
      <c r="E1086">
        <v>60</v>
      </c>
      <c r="F1086">
        <v>45.783554076999998</v>
      </c>
      <c r="G1086">
        <v>1376.6862793</v>
      </c>
      <c r="H1086">
        <v>1364.5124512</v>
      </c>
      <c r="I1086">
        <v>1281.269043</v>
      </c>
      <c r="J1086">
        <v>1258.7695312000001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547.20470499999999</v>
      </c>
      <c r="B1087" s="1">
        <f>DATE(2011,10,30) + TIME(4,54,46)</f>
        <v>40846.204699074071</v>
      </c>
      <c r="C1087">
        <v>90</v>
      </c>
      <c r="D1087">
        <v>89.934997558999996</v>
      </c>
      <c r="E1087">
        <v>60</v>
      </c>
      <c r="F1087">
        <v>45.989318848000003</v>
      </c>
      <c r="G1087">
        <v>1376.6264647999999</v>
      </c>
      <c r="H1087">
        <v>1364.4575195</v>
      </c>
      <c r="I1087">
        <v>1281.2254639</v>
      </c>
      <c r="J1087">
        <v>1258.7222899999999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549</v>
      </c>
      <c r="B1088" s="1">
        <f>DATE(2011,11,1) + TIME(0,0,0)</f>
        <v>40848</v>
      </c>
      <c r="C1088">
        <v>90</v>
      </c>
      <c r="D1088">
        <v>89.935073853000006</v>
      </c>
      <c r="E1088">
        <v>60</v>
      </c>
      <c r="F1088">
        <v>46.198764801000003</v>
      </c>
      <c r="G1088">
        <v>1376.5661620999999</v>
      </c>
      <c r="H1088">
        <v>1364.4023437999999</v>
      </c>
      <c r="I1088">
        <v>1281.1859131000001</v>
      </c>
      <c r="J1088">
        <v>1258.6816406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549.000001</v>
      </c>
      <c r="B1089" s="1">
        <f>DATE(2011,11,1) + TIME(0,0,0)</f>
        <v>40848</v>
      </c>
      <c r="C1089">
        <v>90</v>
      </c>
      <c r="D1089">
        <v>89.934944153000004</v>
      </c>
      <c r="E1089">
        <v>60</v>
      </c>
      <c r="F1089">
        <v>46.19890213</v>
      </c>
      <c r="G1089">
        <v>1363.5314940999999</v>
      </c>
      <c r="H1089">
        <v>1353.0837402</v>
      </c>
      <c r="I1089">
        <v>1304.7813721</v>
      </c>
      <c r="J1089">
        <v>1282.1563721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549.00000399999999</v>
      </c>
      <c r="B1090" s="1">
        <f>DATE(2011,11,1) + TIME(0,0,0)</f>
        <v>40848</v>
      </c>
      <c r="C1090">
        <v>90</v>
      </c>
      <c r="D1090">
        <v>89.934631347999996</v>
      </c>
      <c r="E1090">
        <v>60</v>
      </c>
      <c r="F1090">
        <v>46.199279785000002</v>
      </c>
      <c r="G1090">
        <v>1361.371582</v>
      </c>
      <c r="H1090">
        <v>1350.9230957</v>
      </c>
      <c r="I1090">
        <v>1307.1950684000001</v>
      </c>
      <c r="J1090">
        <v>1284.7589111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549.00001299999997</v>
      </c>
      <c r="B1091" s="1">
        <f>DATE(2011,11,1) + TIME(0,0,1)</f>
        <v>40848.000011574077</v>
      </c>
      <c r="C1091">
        <v>90</v>
      </c>
      <c r="D1091">
        <v>89.934005737000007</v>
      </c>
      <c r="E1091">
        <v>60</v>
      </c>
      <c r="F1091">
        <v>46.200176239000001</v>
      </c>
      <c r="G1091">
        <v>1357.1508789</v>
      </c>
      <c r="H1091">
        <v>1346.7019043</v>
      </c>
      <c r="I1091">
        <v>1312.7951660000001</v>
      </c>
      <c r="J1091">
        <v>1290.6713867000001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549.00004000000001</v>
      </c>
      <c r="B1092" s="1">
        <f>DATE(2011,11,1) + TIME(0,0,3)</f>
        <v>40848.000034722223</v>
      </c>
      <c r="C1092">
        <v>90</v>
      </c>
      <c r="D1092">
        <v>89.933128357000001</v>
      </c>
      <c r="E1092">
        <v>60</v>
      </c>
      <c r="F1092">
        <v>46.201892852999997</v>
      </c>
      <c r="G1092">
        <v>1351.2041016000001</v>
      </c>
      <c r="H1092">
        <v>1340.7579346</v>
      </c>
      <c r="I1092">
        <v>1322.6062012</v>
      </c>
      <c r="J1092">
        <v>1300.6920166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549.00012100000004</v>
      </c>
      <c r="B1093" s="1">
        <f>DATE(2011,11,1) + TIME(0,0,10)</f>
        <v>40848.000115740739</v>
      </c>
      <c r="C1093">
        <v>90</v>
      </c>
      <c r="D1093">
        <v>89.932151794000006</v>
      </c>
      <c r="E1093">
        <v>60</v>
      </c>
      <c r="F1093">
        <v>46.204872131000002</v>
      </c>
      <c r="G1093">
        <v>1344.7192382999999</v>
      </c>
      <c r="H1093">
        <v>1334.2795410000001</v>
      </c>
      <c r="I1093">
        <v>1335.1428223</v>
      </c>
      <c r="J1093">
        <v>1313.2253418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549.00036399999999</v>
      </c>
      <c r="B1094" s="1">
        <f>DATE(2011,11,1) + TIME(0,0,31)</f>
        <v>40848.000358796293</v>
      </c>
      <c r="C1094">
        <v>90</v>
      </c>
      <c r="D1094">
        <v>89.931129455999994</v>
      </c>
      <c r="E1094">
        <v>60</v>
      </c>
      <c r="F1094">
        <v>46.210800171000002</v>
      </c>
      <c r="G1094">
        <v>1338.2167969</v>
      </c>
      <c r="H1094">
        <v>1327.7819824000001</v>
      </c>
      <c r="I1094">
        <v>1348.4383545000001</v>
      </c>
      <c r="J1094">
        <v>1326.4787598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549.00109299999997</v>
      </c>
      <c r="B1095" s="1">
        <f>DATE(2011,11,1) + TIME(0,1,34)</f>
        <v>40848.001087962963</v>
      </c>
      <c r="C1095">
        <v>90</v>
      </c>
      <c r="D1095">
        <v>89.929939270000006</v>
      </c>
      <c r="E1095">
        <v>60</v>
      </c>
      <c r="F1095">
        <v>46.225364685000002</v>
      </c>
      <c r="G1095">
        <v>1331.6102295000001</v>
      </c>
      <c r="H1095">
        <v>1321.1329346</v>
      </c>
      <c r="I1095">
        <v>1362.09375</v>
      </c>
      <c r="J1095">
        <v>1340.0936279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549.00328000000002</v>
      </c>
      <c r="B1096" s="1">
        <f>DATE(2011,11,1) + TIME(0,4,43)</f>
        <v>40848.003275462965</v>
      </c>
      <c r="C1096">
        <v>90</v>
      </c>
      <c r="D1096">
        <v>89.928222656000003</v>
      </c>
      <c r="E1096">
        <v>60</v>
      </c>
      <c r="F1096">
        <v>46.265804291000002</v>
      </c>
      <c r="G1096">
        <v>1324.4996338000001</v>
      </c>
      <c r="H1096">
        <v>1313.8713379000001</v>
      </c>
      <c r="I1096">
        <v>1376.1329346</v>
      </c>
      <c r="J1096">
        <v>1354.0341797000001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549.00984100000005</v>
      </c>
      <c r="B1097" s="1">
        <f>DATE(2011,11,1) + TIME(0,14,10)</f>
        <v>40848.009837962964</v>
      </c>
      <c r="C1097">
        <v>90</v>
      </c>
      <c r="D1097">
        <v>89.925086974999999</v>
      </c>
      <c r="E1097">
        <v>60</v>
      </c>
      <c r="F1097">
        <v>46.383598327999998</v>
      </c>
      <c r="G1097">
        <v>1316.9005127</v>
      </c>
      <c r="H1097">
        <v>1306.1035156</v>
      </c>
      <c r="I1097">
        <v>1389.3029785000001</v>
      </c>
      <c r="J1097">
        <v>1367.0509033000001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549.02952400000004</v>
      </c>
      <c r="B1098" s="1">
        <f>DATE(2011,11,1) + TIME(0,42,30)</f>
        <v>40848.029513888891</v>
      </c>
      <c r="C1098">
        <v>90</v>
      </c>
      <c r="D1098">
        <v>89.918144225999995</v>
      </c>
      <c r="E1098">
        <v>60</v>
      </c>
      <c r="F1098">
        <v>46.727226256999998</v>
      </c>
      <c r="G1098">
        <v>1310.3742675999999</v>
      </c>
      <c r="H1098">
        <v>1299.4949951000001</v>
      </c>
      <c r="I1098">
        <v>1398.5910644999999</v>
      </c>
      <c r="J1098">
        <v>1376.2929687999999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549.06428600000004</v>
      </c>
      <c r="B1099" s="1">
        <f>DATE(2011,11,1) + TIME(1,32,34)</f>
        <v>40848.064282407409</v>
      </c>
      <c r="C1099">
        <v>90</v>
      </c>
      <c r="D1099">
        <v>89.907348632999998</v>
      </c>
      <c r="E1099">
        <v>60</v>
      </c>
      <c r="F1099">
        <v>47.307796478</v>
      </c>
      <c r="G1099">
        <v>1307.3468018000001</v>
      </c>
      <c r="H1099">
        <v>1296.4451904</v>
      </c>
      <c r="I1099">
        <v>1401.7904053</v>
      </c>
      <c r="J1099">
        <v>1379.6478271000001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549.10021099999994</v>
      </c>
      <c r="B1100" s="1">
        <f>DATE(2011,11,1) + TIME(2,24,18)</f>
        <v>40848.100208333337</v>
      </c>
      <c r="C1100">
        <v>90</v>
      </c>
      <c r="D1100">
        <v>89.896644592000001</v>
      </c>
      <c r="E1100">
        <v>60</v>
      </c>
      <c r="F1100">
        <v>47.880981445000003</v>
      </c>
      <c r="G1100">
        <v>1306.390625</v>
      </c>
      <c r="H1100">
        <v>1295.4836425999999</v>
      </c>
      <c r="I1100">
        <v>1402.2900391000001</v>
      </c>
      <c r="J1100">
        <v>1380.3449707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549.13719500000002</v>
      </c>
      <c r="B1101" s="1">
        <f>DATE(2011,11,1) + TIME(3,17,33)</f>
        <v>40848.137187499997</v>
      </c>
      <c r="C1101">
        <v>90</v>
      </c>
      <c r="D1101">
        <v>89.885848999000004</v>
      </c>
      <c r="E1101">
        <v>60</v>
      </c>
      <c r="F1101">
        <v>48.443763732999997</v>
      </c>
      <c r="G1101">
        <v>1306.0612793</v>
      </c>
      <c r="H1101">
        <v>1295.1523437999999</v>
      </c>
      <c r="I1101">
        <v>1402.1246338000001</v>
      </c>
      <c r="J1101">
        <v>1380.3842772999999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549.17526399999997</v>
      </c>
      <c r="B1102" s="1">
        <f>DATE(2011,11,1) + TIME(4,12,22)</f>
        <v>40848.175254629627</v>
      </c>
      <c r="C1102">
        <v>90</v>
      </c>
      <c r="D1102">
        <v>89.874923706000004</v>
      </c>
      <c r="E1102">
        <v>60</v>
      </c>
      <c r="F1102">
        <v>48.99546814</v>
      </c>
      <c r="G1102">
        <v>1305.9385986</v>
      </c>
      <c r="H1102">
        <v>1295.0288086</v>
      </c>
      <c r="I1102">
        <v>1401.8045654</v>
      </c>
      <c r="J1102">
        <v>1380.2655029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549.21448999999996</v>
      </c>
      <c r="B1103" s="1">
        <f>DATE(2011,11,1) + TIME(5,8,51)</f>
        <v>40848.214479166665</v>
      </c>
      <c r="C1103">
        <v>90</v>
      </c>
      <c r="D1103">
        <v>89.863822936999995</v>
      </c>
      <c r="E1103">
        <v>60</v>
      </c>
      <c r="F1103">
        <v>49.536045074</v>
      </c>
      <c r="G1103">
        <v>1305.8891602000001</v>
      </c>
      <c r="H1103">
        <v>1294.9787598</v>
      </c>
      <c r="I1103">
        <v>1401.4609375</v>
      </c>
      <c r="J1103">
        <v>1380.1168213000001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549.25495699999999</v>
      </c>
      <c r="B1104" s="1">
        <f>DATE(2011,11,1) + TIME(6,7,8)</f>
        <v>40848.254953703705</v>
      </c>
      <c r="C1104">
        <v>90</v>
      </c>
      <c r="D1104">
        <v>89.852531432999996</v>
      </c>
      <c r="E1104">
        <v>60</v>
      </c>
      <c r="F1104">
        <v>50.065494536999999</v>
      </c>
      <c r="G1104">
        <v>1305.8673096</v>
      </c>
      <c r="H1104">
        <v>1294.9564209</v>
      </c>
      <c r="I1104">
        <v>1401.125</v>
      </c>
      <c r="J1104">
        <v>1379.9688721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549.29676199999994</v>
      </c>
      <c r="B1105" s="1">
        <f>DATE(2011,11,1) + TIME(7,7,20)</f>
        <v>40848.296759259261</v>
      </c>
      <c r="C1105">
        <v>90</v>
      </c>
      <c r="D1105">
        <v>89.841018676999994</v>
      </c>
      <c r="E1105">
        <v>60</v>
      </c>
      <c r="F1105">
        <v>50.583683014000002</v>
      </c>
      <c r="G1105">
        <v>1305.8566894999999</v>
      </c>
      <c r="H1105">
        <v>1294.9453125</v>
      </c>
      <c r="I1105">
        <v>1400.8018798999999</v>
      </c>
      <c r="J1105">
        <v>1379.8269043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549.340012</v>
      </c>
      <c r="B1106" s="1">
        <f>DATE(2011,11,1) + TIME(8,9,37)</f>
        <v>40848.340011574073</v>
      </c>
      <c r="C1106">
        <v>90</v>
      </c>
      <c r="D1106">
        <v>89.829277039000004</v>
      </c>
      <c r="E1106">
        <v>60</v>
      </c>
      <c r="F1106">
        <v>51.090877532999997</v>
      </c>
      <c r="G1106">
        <v>1305.8508300999999</v>
      </c>
      <c r="H1106">
        <v>1294.9389647999999</v>
      </c>
      <c r="I1106">
        <v>1400.4912108999999</v>
      </c>
      <c r="J1106">
        <v>1379.6907959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549.38482999999997</v>
      </c>
      <c r="B1107" s="1">
        <f>DATE(2011,11,1) + TIME(9,14,9)</f>
        <v>40848.384826388887</v>
      </c>
      <c r="C1107">
        <v>90</v>
      </c>
      <c r="D1107">
        <v>89.817276000999996</v>
      </c>
      <c r="E1107">
        <v>60</v>
      </c>
      <c r="F1107">
        <v>51.587108612000002</v>
      </c>
      <c r="G1107">
        <v>1305.8469238</v>
      </c>
      <c r="H1107">
        <v>1294.9346923999999</v>
      </c>
      <c r="I1107">
        <v>1400.1914062000001</v>
      </c>
      <c r="J1107">
        <v>1379.5593262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549.43134999999995</v>
      </c>
      <c r="B1108" s="1">
        <f>DATE(2011,11,1) + TIME(10,21,8)</f>
        <v>40848.431342592594</v>
      </c>
      <c r="C1108">
        <v>90</v>
      </c>
      <c r="D1108">
        <v>89.804985045999999</v>
      </c>
      <c r="E1108">
        <v>60</v>
      </c>
      <c r="F1108">
        <v>52.072391510000003</v>
      </c>
      <c r="G1108">
        <v>1305.8439940999999</v>
      </c>
      <c r="H1108">
        <v>1294.9312743999999</v>
      </c>
      <c r="I1108">
        <v>1399.9014893000001</v>
      </c>
      <c r="J1108">
        <v>1379.4316406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549.47972500000003</v>
      </c>
      <c r="B1109" s="1">
        <f>DATE(2011,11,1) + TIME(11,30,48)</f>
        <v>40848.479722222219</v>
      </c>
      <c r="C1109">
        <v>90</v>
      </c>
      <c r="D1109">
        <v>89.792388915999993</v>
      </c>
      <c r="E1109">
        <v>60</v>
      </c>
      <c r="F1109">
        <v>52.546726227000001</v>
      </c>
      <c r="G1109">
        <v>1305.8413086</v>
      </c>
      <c r="H1109">
        <v>1294.9282227000001</v>
      </c>
      <c r="I1109">
        <v>1399.6204834</v>
      </c>
      <c r="J1109">
        <v>1379.3071289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549.53012999999999</v>
      </c>
      <c r="B1110" s="1">
        <f>DATE(2011,11,1) + TIME(12,43,23)</f>
        <v>40848.530127314814</v>
      </c>
      <c r="C1110">
        <v>90</v>
      </c>
      <c r="D1110">
        <v>89.779441833000007</v>
      </c>
      <c r="E1110">
        <v>60</v>
      </c>
      <c r="F1110">
        <v>53.010089874000002</v>
      </c>
      <c r="G1110">
        <v>1305.8388672000001</v>
      </c>
      <c r="H1110">
        <v>1294.9251709</v>
      </c>
      <c r="I1110">
        <v>1399.3476562000001</v>
      </c>
      <c r="J1110">
        <v>1379.1851807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549.58275800000001</v>
      </c>
      <c r="B1111" s="1">
        <f>DATE(2011,11,1) + TIME(13,59,10)</f>
        <v>40848.582754629628</v>
      </c>
      <c r="C1111">
        <v>90</v>
      </c>
      <c r="D1111">
        <v>89.766120911000002</v>
      </c>
      <c r="E1111">
        <v>60</v>
      </c>
      <c r="F1111">
        <v>53.462413787999999</v>
      </c>
      <c r="G1111">
        <v>1305.8363036999999</v>
      </c>
      <c r="H1111">
        <v>1294.9221190999999</v>
      </c>
      <c r="I1111">
        <v>1399.0827637</v>
      </c>
      <c r="J1111">
        <v>1379.0656738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549.63782700000002</v>
      </c>
      <c r="B1112" s="1">
        <f>DATE(2011,11,1) + TIME(15,18,28)</f>
        <v>40848.637824074074</v>
      </c>
      <c r="C1112">
        <v>90</v>
      </c>
      <c r="D1112">
        <v>89.752380371000001</v>
      </c>
      <c r="E1112">
        <v>60</v>
      </c>
      <c r="F1112">
        <v>53.903568268000001</v>
      </c>
      <c r="G1112">
        <v>1305.8336182</v>
      </c>
      <c r="H1112">
        <v>1294.9189452999999</v>
      </c>
      <c r="I1112">
        <v>1398.8250731999999</v>
      </c>
      <c r="J1112">
        <v>1378.9482422000001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549.695604</v>
      </c>
      <c r="B1113" s="1">
        <f>DATE(2011,11,1) + TIME(16,41,40)</f>
        <v>40848.695601851854</v>
      </c>
      <c r="C1113">
        <v>90</v>
      </c>
      <c r="D1113">
        <v>89.738166809000006</v>
      </c>
      <c r="E1113">
        <v>60</v>
      </c>
      <c r="F1113">
        <v>54.333530426000003</v>
      </c>
      <c r="G1113">
        <v>1305.8308105000001</v>
      </c>
      <c r="H1113">
        <v>1294.9156493999999</v>
      </c>
      <c r="I1113">
        <v>1398.5743408000001</v>
      </c>
      <c r="J1113">
        <v>1378.8326416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549.756393</v>
      </c>
      <c r="B1114" s="1">
        <f>DATE(2011,11,1) + TIME(18,9,12)</f>
        <v>40848.756388888891</v>
      </c>
      <c r="C1114">
        <v>90</v>
      </c>
      <c r="D1114">
        <v>89.723442078000005</v>
      </c>
      <c r="E1114">
        <v>60</v>
      </c>
      <c r="F1114">
        <v>54.752182007000002</v>
      </c>
      <c r="G1114">
        <v>1305.8278809000001</v>
      </c>
      <c r="H1114">
        <v>1294.9121094</v>
      </c>
      <c r="I1114">
        <v>1398.3299560999999</v>
      </c>
      <c r="J1114">
        <v>1378.7185059000001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549.82054400000004</v>
      </c>
      <c r="B1115" s="1">
        <f>DATE(2011,11,1) + TIME(19,41,34)</f>
        <v>40848.820532407408</v>
      </c>
      <c r="C1115">
        <v>90</v>
      </c>
      <c r="D1115">
        <v>89.708129882999998</v>
      </c>
      <c r="E1115">
        <v>60</v>
      </c>
      <c r="F1115">
        <v>55.159362793</v>
      </c>
      <c r="G1115">
        <v>1305.824707</v>
      </c>
      <c r="H1115">
        <v>1294.9084473</v>
      </c>
      <c r="I1115">
        <v>1398.0915527</v>
      </c>
      <c r="J1115">
        <v>1378.6058350000001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549.88847299999998</v>
      </c>
      <c r="B1116" s="1">
        <f>DATE(2011,11,1) + TIME(21,19,24)</f>
        <v>40848.888472222221</v>
      </c>
      <c r="C1116">
        <v>90</v>
      </c>
      <c r="D1116">
        <v>89.692161560000002</v>
      </c>
      <c r="E1116">
        <v>60</v>
      </c>
      <c r="F1116">
        <v>55.554889678999999</v>
      </c>
      <c r="G1116">
        <v>1305.8214111</v>
      </c>
      <c r="H1116">
        <v>1294.9045410000001</v>
      </c>
      <c r="I1116">
        <v>1397.8588867000001</v>
      </c>
      <c r="J1116">
        <v>1378.4942627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549.96067300000004</v>
      </c>
      <c r="B1117" s="1">
        <f>DATE(2011,11,1) + TIME(23,3,22)</f>
        <v>40848.9606712963</v>
      </c>
      <c r="C1117">
        <v>90</v>
      </c>
      <c r="D1117">
        <v>89.675460814999994</v>
      </c>
      <c r="E1117">
        <v>60</v>
      </c>
      <c r="F1117">
        <v>55.938526154000002</v>
      </c>
      <c r="G1117">
        <v>1305.8179932</v>
      </c>
      <c r="H1117">
        <v>1294.9005127</v>
      </c>
      <c r="I1117">
        <v>1397.6314697</v>
      </c>
      <c r="J1117">
        <v>1378.3834228999999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550.03773799999999</v>
      </c>
      <c r="B1118" s="1">
        <f>DATE(2011,11,2) + TIME(0,54,20)</f>
        <v>40849.037731481483</v>
      </c>
      <c r="C1118">
        <v>90</v>
      </c>
      <c r="D1118">
        <v>89.657913207999997</v>
      </c>
      <c r="E1118">
        <v>60</v>
      </c>
      <c r="F1118">
        <v>56.310001372999999</v>
      </c>
      <c r="G1118">
        <v>1305.8142089999999</v>
      </c>
      <c r="H1118">
        <v>1294.8961182</v>
      </c>
      <c r="I1118">
        <v>1397.4089355000001</v>
      </c>
      <c r="J1118">
        <v>1378.2731934000001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550.12038900000005</v>
      </c>
      <c r="B1119" s="1">
        <f>DATE(2011,11,2) + TIME(2,53,21)</f>
        <v>40849.120381944442</v>
      </c>
      <c r="C1119">
        <v>90</v>
      </c>
      <c r="D1119">
        <v>89.639411925999994</v>
      </c>
      <c r="E1119">
        <v>60</v>
      </c>
      <c r="F1119">
        <v>56.668991089000002</v>
      </c>
      <c r="G1119">
        <v>1305.8103027</v>
      </c>
      <c r="H1119">
        <v>1294.8914795000001</v>
      </c>
      <c r="I1119">
        <v>1397.1907959</v>
      </c>
      <c r="J1119">
        <v>1378.1630858999999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550.20951400000001</v>
      </c>
      <c r="B1120" s="1">
        <f>DATE(2011,11,2) + TIME(5,1,42)</f>
        <v>40849.209513888891</v>
      </c>
      <c r="C1120">
        <v>90</v>
      </c>
      <c r="D1120">
        <v>89.619789123999993</v>
      </c>
      <c r="E1120">
        <v>60</v>
      </c>
      <c r="F1120">
        <v>57.015113831000001</v>
      </c>
      <c r="G1120">
        <v>1305.8060303</v>
      </c>
      <c r="H1120">
        <v>1294.8864745999999</v>
      </c>
      <c r="I1120">
        <v>1396.9765625</v>
      </c>
      <c r="J1120">
        <v>1378.0528564000001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550.30622300000005</v>
      </c>
      <c r="B1121" s="1">
        <f>DATE(2011,11,2) + TIME(7,20,57)</f>
        <v>40849.306215277778</v>
      </c>
      <c r="C1121">
        <v>90</v>
      </c>
      <c r="D1121">
        <v>89.598884583</v>
      </c>
      <c r="E1121">
        <v>60</v>
      </c>
      <c r="F1121">
        <v>57.347915649000001</v>
      </c>
      <c r="G1121">
        <v>1305.8015137</v>
      </c>
      <c r="H1121">
        <v>1294.8812256000001</v>
      </c>
      <c r="I1121">
        <v>1396.7659911999999</v>
      </c>
      <c r="J1121">
        <v>1377.9421387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550.41195300000004</v>
      </c>
      <c r="B1122" s="1">
        <f>DATE(2011,11,2) + TIME(9,53,12)</f>
        <v>40849.411944444444</v>
      </c>
      <c r="C1122">
        <v>90</v>
      </c>
      <c r="D1122">
        <v>89.576446532999995</v>
      </c>
      <c r="E1122">
        <v>60</v>
      </c>
      <c r="F1122">
        <v>57.666923523000001</v>
      </c>
      <c r="G1122">
        <v>1305.7965088000001</v>
      </c>
      <c r="H1122">
        <v>1294.8754882999999</v>
      </c>
      <c r="I1122">
        <v>1396.5583495999999</v>
      </c>
      <c r="J1122">
        <v>1377.8304443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550.52854000000002</v>
      </c>
      <c r="B1123" s="1">
        <f>DATE(2011,11,2) + TIME(12,41,5)</f>
        <v>40849.52853009259</v>
      </c>
      <c r="C1123">
        <v>90</v>
      </c>
      <c r="D1123">
        <v>89.552192688000005</v>
      </c>
      <c r="E1123">
        <v>60</v>
      </c>
      <c r="F1123">
        <v>57.971492767000001</v>
      </c>
      <c r="G1123">
        <v>1305.7911377</v>
      </c>
      <c r="H1123">
        <v>1294.8691406</v>
      </c>
      <c r="I1123">
        <v>1396.3531493999999</v>
      </c>
      <c r="J1123">
        <v>1377.7172852000001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550.65838699999995</v>
      </c>
      <c r="B1124" s="1">
        <f>DATE(2011,11,2) + TIME(15,48,4)</f>
        <v>40849.658379629633</v>
      </c>
      <c r="C1124">
        <v>90</v>
      </c>
      <c r="D1124">
        <v>89.525741577000005</v>
      </c>
      <c r="E1124">
        <v>60</v>
      </c>
      <c r="F1124">
        <v>58.260780334000003</v>
      </c>
      <c r="G1124">
        <v>1305.7852783000001</v>
      </c>
      <c r="H1124">
        <v>1294.8623047000001</v>
      </c>
      <c r="I1124">
        <v>1396.1496582</v>
      </c>
      <c r="J1124">
        <v>1377.6019286999999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550.73042199999998</v>
      </c>
      <c r="B1125" s="1">
        <f>DATE(2011,11,2) + TIME(17,31,48)</f>
        <v>40849.730416666665</v>
      </c>
      <c r="C1125">
        <v>90</v>
      </c>
      <c r="D1125">
        <v>89.510231017999999</v>
      </c>
      <c r="E1125">
        <v>60</v>
      </c>
      <c r="F1125">
        <v>58.407276154000002</v>
      </c>
      <c r="G1125">
        <v>1305.7785644999999</v>
      </c>
      <c r="H1125">
        <v>1294.8554687999999</v>
      </c>
      <c r="I1125">
        <v>1396.0275879000001</v>
      </c>
      <c r="J1125">
        <v>1377.5217285000001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550.87449200000003</v>
      </c>
      <c r="B1126" s="1">
        <f>DATE(2011,11,2) + TIME(20,59,16)</f>
        <v>40849.874490740738</v>
      </c>
      <c r="C1126">
        <v>90</v>
      </c>
      <c r="D1126">
        <v>89.481712341000005</v>
      </c>
      <c r="E1126">
        <v>60</v>
      </c>
      <c r="F1126">
        <v>58.653167725000003</v>
      </c>
      <c r="G1126">
        <v>1305.7750243999999</v>
      </c>
      <c r="H1126">
        <v>1294.8504639</v>
      </c>
      <c r="I1126">
        <v>1395.8543701000001</v>
      </c>
      <c r="J1126">
        <v>1377.4272461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551.01860899999997</v>
      </c>
      <c r="B1127" s="1">
        <f>DATE(2011,11,3) + TIME(0,26,47)</f>
        <v>40850.018599537034</v>
      </c>
      <c r="C1127">
        <v>90</v>
      </c>
      <c r="D1127">
        <v>89.453292847</v>
      </c>
      <c r="E1127">
        <v>60</v>
      </c>
      <c r="F1127">
        <v>58.859642029</v>
      </c>
      <c r="G1127">
        <v>1305.7678223</v>
      </c>
      <c r="H1127">
        <v>1294.8424072</v>
      </c>
      <c r="I1127">
        <v>1395.6816406</v>
      </c>
      <c r="J1127">
        <v>1377.3194579999999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551.16450799999996</v>
      </c>
      <c r="B1128" s="1">
        <f>DATE(2011,11,3) + TIME(3,56,53)</f>
        <v>40850.164502314816</v>
      </c>
      <c r="C1128">
        <v>90</v>
      </c>
      <c r="D1128">
        <v>89.424682617000002</v>
      </c>
      <c r="E1128">
        <v>60</v>
      </c>
      <c r="F1128">
        <v>59.034778594999999</v>
      </c>
      <c r="G1128">
        <v>1305.7604980000001</v>
      </c>
      <c r="H1128">
        <v>1294.8341064000001</v>
      </c>
      <c r="I1128">
        <v>1395.5241699000001</v>
      </c>
      <c r="J1128">
        <v>1377.2185059000001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551.31285100000002</v>
      </c>
      <c r="B1129" s="1">
        <f>DATE(2011,11,3) + TIME(7,30,30)</f>
        <v>40850.312847222223</v>
      </c>
      <c r="C1129">
        <v>90</v>
      </c>
      <c r="D1129">
        <v>89.395782471000004</v>
      </c>
      <c r="E1129">
        <v>60</v>
      </c>
      <c r="F1129">
        <v>59.183597564999999</v>
      </c>
      <c r="G1129">
        <v>1305.7531738</v>
      </c>
      <c r="H1129">
        <v>1294.8258057</v>
      </c>
      <c r="I1129">
        <v>1395.3792725000001</v>
      </c>
      <c r="J1129">
        <v>1377.1230469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551.46434599999998</v>
      </c>
      <c r="B1130" s="1">
        <f>DATE(2011,11,3) + TIME(11,8,39)</f>
        <v>40850.46434027778</v>
      </c>
      <c r="C1130">
        <v>90</v>
      </c>
      <c r="D1130">
        <v>89.366470336999996</v>
      </c>
      <c r="E1130">
        <v>60</v>
      </c>
      <c r="F1130">
        <v>59.310192108000003</v>
      </c>
      <c r="G1130">
        <v>1305.7458495999999</v>
      </c>
      <c r="H1130">
        <v>1294.8173827999999</v>
      </c>
      <c r="I1130">
        <v>1395.244751</v>
      </c>
      <c r="J1130">
        <v>1377.0322266000001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551.61969299999998</v>
      </c>
      <c r="B1131" s="1">
        <f>DATE(2011,11,3) + TIME(14,52,21)</f>
        <v>40850.619687500002</v>
      </c>
      <c r="C1131">
        <v>90</v>
      </c>
      <c r="D1131">
        <v>89.336647033999995</v>
      </c>
      <c r="E1131">
        <v>60</v>
      </c>
      <c r="F1131">
        <v>59.417888640999998</v>
      </c>
      <c r="G1131">
        <v>1305.7382812000001</v>
      </c>
      <c r="H1131">
        <v>1294.8088379000001</v>
      </c>
      <c r="I1131">
        <v>1395.1191406</v>
      </c>
      <c r="J1131">
        <v>1376.9451904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551.77962400000001</v>
      </c>
      <c r="B1132" s="1">
        <f>DATE(2011,11,3) + TIME(18,42,39)</f>
        <v>40850.779618055552</v>
      </c>
      <c r="C1132">
        <v>90</v>
      </c>
      <c r="D1132">
        <v>89.306182860999996</v>
      </c>
      <c r="E1132">
        <v>60</v>
      </c>
      <c r="F1132">
        <v>59.509433745999999</v>
      </c>
      <c r="G1132">
        <v>1305.7304687999999</v>
      </c>
      <c r="H1132">
        <v>1294.8000488</v>
      </c>
      <c r="I1132">
        <v>1395.0010986</v>
      </c>
      <c r="J1132">
        <v>1376.8614502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551.94496200000003</v>
      </c>
      <c r="B1133" s="1">
        <f>DATE(2011,11,3) + TIME(22,40,44)</f>
        <v>40850.944953703707</v>
      </c>
      <c r="C1133">
        <v>90</v>
      </c>
      <c r="D1133">
        <v>89.274963378999999</v>
      </c>
      <c r="E1133">
        <v>60</v>
      </c>
      <c r="F1133">
        <v>59.587142944</v>
      </c>
      <c r="G1133">
        <v>1305.7226562000001</v>
      </c>
      <c r="H1133">
        <v>1294.7910156</v>
      </c>
      <c r="I1133">
        <v>1394.8891602000001</v>
      </c>
      <c r="J1133">
        <v>1376.7802733999999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552.11658499999999</v>
      </c>
      <c r="B1134" s="1">
        <f>DATE(2011,11,4) + TIME(2,47,52)</f>
        <v>40851.116574074076</v>
      </c>
      <c r="C1134">
        <v>90</v>
      </c>
      <c r="D1134">
        <v>89.242835998999993</v>
      </c>
      <c r="E1134">
        <v>60</v>
      </c>
      <c r="F1134">
        <v>59.652954102000002</v>
      </c>
      <c r="G1134">
        <v>1305.7144774999999</v>
      </c>
      <c r="H1134">
        <v>1294.7817382999999</v>
      </c>
      <c r="I1134">
        <v>1394.7824707</v>
      </c>
      <c r="J1134">
        <v>1376.7012939000001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552.295478</v>
      </c>
      <c r="B1135" s="1">
        <f>DATE(2011,11,4) + TIME(7,5,29)</f>
        <v>40851.295474537037</v>
      </c>
      <c r="C1135">
        <v>90</v>
      </c>
      <c r="D1135">
        <v>89.209671021000005</v>
      </c>
      <c r="E1135">
        <v>60</v>
      </c>
      <c r="F1135">
        <v>59.708515167000002</v>
      </c>
      <c r="G1135">
        <v>1305.7060547000001</v>
      </c>
      <c r="H1135">
        <v>1294.7720947</v>
      </c>
      <c r="I1135">
        <v>1394.6800536999999</v>
      </c>
      <c r="J1135">
        <v>1376.6240233999999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552.48276499999997</v>
      </c>
      <c r="B1136" s="1">
        <f>DATE(2011,11,4) + TIME(11,35,10)</f>
        <v>40851.482754629629</v>
      </c>
      <c r="C1136">
        <v>90</v>
      </c>
      <c r="D1136">
        <v>89.175285338999998</v>
      </c>
      <c r="E1136">
        <v>60</v>
      </c>
      <c r="F1136">
        <v>59.75522995</v>
      </c>
      <c r="G1136">
        <v>1305.6972656</v>
      </c>
      <c r="H1136">
        <v>1294.7620850000001</v>
      </c>
      <c r="I1136">
        <v>1394.5811768000001</v>
      </c>
      <c r="J1136">
        <v>1376.5479736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552.67974900000002</v>
      </c>
      <c r="B1137" s="1">
        <f>DATE(2011,11,4) + TIME(16,18,50)</f>
        <v>40851.679745370369</v>
      </c>
      <c r="C1137">
        <v>90</v>
      </c>
      <c r="D1137">
        <v>89.139495850000003</v>
      </c>
      <c r="E1137">
        <v>60</v>
      </c>
      <c r="F1137">
        <v>59.794322968000003</v>
      </c>
      <c r="G1137">
        <v>1305.6879882999999</v>
      </c>
      <c r="H1137">
        <v>1294.7515868999999</v>
      </c>
      <c r="I1137">
        <v>1394.4849853999999</v>
      </c>
      <c r="J1137">
        <v>1376.4727783000001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552.88796400000001</v>
      </c>
      <c r="B1138" s="1">
        <f>DATE(2011,11,4) + TIME(21,18,40)</f>
        <v>40851.887962962966</v>
      </c>
      <c r="C1138">
        <v>90</v>
      </c>
      <c r="D1138">
        <v>89.102081299000005</v>
      </c>
      <c r="E1138">
        <v>60</v>
      </c>
      <c r="F1138">
        <v>59.826847076</v>
      </c>
      <c r="G1138">
        <v>1305.6784668</v>
      </c>
      <c r="H1138">
        <v>1294.7407227000001</v>
      </c>
      <c r="I1138">
        <v>1394.3908690999999</v>
      </c>
      <c r="J1138">
        <v>1376.3980713000001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553.10924599999998</v>
      </c>
      <c r="B1139" s="1">
        <f>DATE(2011,11,5) + TIME(2,37,18)</f>
        <v>40852.109236111108</v>
      </c>
      <c r="C1139">
        <v>90</v>
      </c>
      <c r="D1139">
        <v>89.062774657999995</v>
      </c>
      <c r="E1139">
        <v>60</v>
      </c>
      <c r="F1139">
        <v>59.853721618999998</v>
      </c>
      <c r="G1139">
        <v>1305.6683350000001</v>
      </c>
      <c r="H1139">
        <v>1294.729126</v>
      </c>
      <c r="I1139">
        <v>1394.2980957</v>
      </c>
      <c r="J1139">
        <v>1376.3233643000001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553.34421799999996</v>
      </c>
      <c r="B1140" s="1">
        <f>DATE(2011,11,5) + TIME(8,15,40)</f>
        <v>40852.344212962962</v>
      </c>
      <c r="C1140">
        <v>90</v>
      </c>
      <c r="D1140">
        <v>89.021484375</v>
      </c>
      <c r="E1140">
        <v>60</v>
      </c>
      <c r="F1140">
        <v>59.875637054000002</v>
      </c>
      <c r="G1140">
        <v>1305.6574707</v>
      </c>
      <c r="H1140">
        <v>1294.7167969</v>
      </c>
      <c r="I1140">
        <v>1394.2060547000001</v>
      </c>
      <c r="J1140">
        <v>1376.2484131000001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553.59242400000005</v>
      </c>
      <c r="B1141" s="1">
        <f>DATE(2011,11,5) + TIME(14,13,5)</f>
        <v>40852.592418981483</v>
      </c>
      <c r="C1141">
        <v>90</v>
      </c>
      <c r="D1141">
        <v>88.978263854999994</v>
      </c>
      <c r="E1141">
        <v>60</v>
      </c>
      <c r="F1141">
        <v>59.893211364999999</v>
      </c>
      <c r="G1141">
        <v>1305.6461182</v>
      </c>
      <c r="H1141">
        <v>1294.7038574000001</v>
      </c>
      <c r="I1141">
        <v>1394.114624</v>
      </c>
      <c r="J1141">
        <v>1376.1730957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553.85607300000004</v>
      </c>
      <c r="B1142" s="1">
        <f>DATE(2011,11,5) + TIME(20,32,44)</f>
        <v>40852.856064814812</v>
      </c>
      <c r="C1142">
        <v>90</v>
      </c>
      <c r="D1142">
        <v>88.932830811000002</v>
      </c>
      <c r="E1142">
        <v>60</v>
      </c>
      <c r="F1142">
        <v>59.907207489000001</v>
      </c>
      <c r="G1142">
        <v>1305.6340332</v>
      </c>
      <c r="H1142">
        <v>1294.6900635</v>
      </c>
      <c r="I1142">
        <v>1394.0239257999999</v>
      </c>
      <c r="J1142">
        <v>1376.0977783000001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554.13764200000003</v>
      </c>
      <c r="B1143" s="1">
        <f>DATE(2011,11,6) + TIME(3,18,12)</f>
        <v>40853.137638888889</v>
      </c>
      <c r="C1143">
        <v>90</v>
      </c>
      <c r="D1143">
        <v>88.884857178000004</v>
      </c>
      <c r="E1143">
        <v>60</v>
      </c>
      <c r="F1143">
        <v>59.918251038000001</v>
      </c>
      <c r="G1143">
        <v>1305.6212158000001</v>
      </c>
      <c r="H1143">
        <v>1294.6755370999999</v>
      </c>
      <c r="I1143">
        <v>1393.9333495999999</v>
      </c>
      <c r="J1143">
        <v>1376.0219727000001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554.42907400000001</v>
      </c>
      <c r="B1144" s="1">
        <f>DATE(2011,11,6) + TIME(10,17,52)</f>
        <v>40853.429074074076</v>
      </c>
      <c r="C1144">
        <v>90</v>
      </c>
      <c r="D1144">
        <v>88.835334778000004</v>
      </c>
      <c r="E1144">
        <v>60</v>
      </c>
      <c r="F1144">
        <v>59.926647185999997</v>
      </c>
      <c r="G1144">
        <v>1305.6075439000001</v>
      </c>
      <c r="H1144">
        <v>1294.6600341999999</v>
      </c>
      <c r="I1144">
        <v>1393.8424072</v>
      </c>
      <c r="J1144">
        <v>1375.9453125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554.722621</v>
      </c>
      <c r="B1145" s="1">
        <f>DATE(2011,11,6) + TIME(17,20,34)</f>
        <v>40853.722615740742</v>
      </c>
      <c r="C1145">
        <v>90</v>
      </c>
      <c r="D1145">
        <v>88.785293578999998</v>
      </c>
      <c r="E1145">
        <v>60</v>
      </c>
      <c r="F1145">
        <v>59.932872772000003</v>
      </c>
      <c r="G1145">
        <v>1305.5933838000001</v>
      </c>
      <c r="H1145">
        <v>1294.644043</v>
      </c>
      <c r="I1145">
        <v>1393.7536620999999</v>
      </c>
      <c r="J1145">
        <v>1375.8702393000001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555.02000099999998</v>
      </c>
      <c r="B1146" s="1">
        <f>DATE(2011,11,7) + TIME(0,28,48)</f>
        <v>40854.019999999997</v>
      </c>
      <c r="C1146">
        <v>90</v>
      </c>
      <c r="D1146">
        <v>88.734657287999994</v>
      </c>
      <c r="E1146">
        <v>60</v>
      </c>
      <c r="F1146">
        <v>59.937515259000001</v>
      </c>
      <c r="G1146">
        <v>1305.5791016000001</v>
      </c>
      <c r="H1146">
        <v>1294.6279297000001</v>
      </c>
      <c r="I1146">
        <v>1393.6688231999999</v>
      </c>
      <c r="J1146">
        <v>1375.7983397999999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555.32289100000003</v>
      </c>
      <c r="B1147" s="1">
        <f>DATE(2011,11,7) + TIME(7,44,57)</f>
        <v>40854.322881944441</v>
      </c>
      <c r="C1147">
        <v>90</v>
      </c>
      <c r="D1147">
        <v>88.683296204000001</v>
      </c>
      <c r="E1147">
        <v>60</v>
      </c>
      <c r="F1147">
        <v>59.940998077000003</v>
      </c>
      <c r="G1147">
        <v>1305.5646973</v>
      </c>
      <c r="H1147">
        <v>1294.6115723</v>
      </c>
      <c r="I1147">
        <v>1393.5871582</v>
      </c>
      <c r="J1147">
        <v>1375.7288818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555.632972</v>
      </c>
      <c r="B1148" s="1">
        <f>DATE(2011,11,7) + TIME(15,11,28)</f>
        <v>40854.632962962962</v>
      </c>
      <c r="C1148">
        <v>90</v>
      </c>
      <c r="D1148">
        <v>88.631050110000004</v>
      </c>
      <c r="E1148">
        <v>60</v>
      </c>
      <c r="F1148">
        <v>59.943626404</v>
      </c>
      <c r="G1148">
        <v>1305.5500488</v>
      </c>
      <c r="H1148">
        <v>1294.5948486</v>
      </c>
      <c r="I1148">
        <v>1393.5079346</v>
      </c>
      <c r="J1148">
        <v>1375.661499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555.95196699999997</v>
      </c>
      <c r="B1149" s="1">
        <f>DATE(2011,11,7) + TIME(22,50,49)</f>
        <v>40854.951956018522</v>
      </c>
      <c r="C1149">
        <v>90</v>
      </c>
      <c r="D1149">
        <v>88.577720642000003</v>
      </c>
      <c r="E1149">
        <v>60</v>
      </c>
      <c r="F1149">
        <v>59.945617675999998</v>
      </c>
      <c r="G1149">
        <v>1305.5350341999999</v>
      </c>
      <c r="H1149">
        <v>1294.5777588000001</v>
      </c>
      <c r="I1149">
        <v>1393.4304199000001</v>
      </c>
      <c r="J1149">
        <v>1375.5955810999999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556.28173000000004</v>
      </c>
      <c r="B1150" s="1">
        <f>DATE(2011,11,8) + TIME(6,45,41)</f>
        <v>40855.281724537039</v>
      </c>
      <c r="C1150">
        <v>90</v>
      </c>
      <c r="D1150">
        <v>88.523109435999999</v>
      </c>
      <c r="E1150">
        <v>60</v>
      </c>
      <c r="F1150">
        <v>59.947135924999998</v>
      </c>
      <c r="G1150">
        <v>1305.5196533000001</v>
      </c>
      <c r="H1150">
        <v>1294.5601807</v>
      </c>
      <c r="I1150">
        <v>1393.354126</v>
      </c>
      <c r="J1150">
        <v>1375.5307617000001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556.62432100000001</v>
      </c>
      <c r="B1151" s="1">
        <f>DATE(2011,11,8) + TIME(14,59,1)</f>
        <v>40855.62431712963</v>
      </c>
      <c r="C1151">
        <v>90</v>
      </c>
      <c r="D1151">
        <v>88.466949463000006</v>
      </c>
      <c r="E1151">
        <v>60</v>
      </c>
      <c r="F1151">
        <v>59.948295592999997</v>
      </c>
      <c r="G1151">
        <v>1305.5036620999999</v>
      </c>
      <c r="H1151">
        <v>1294.5419922000001</v>
      </c>
      <c r="I1151">
        <v>1393.2786865</v>
      </c>
      <c r="J1151">
        <v>1375.4665527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556.98208299999999</v>
      </c>
      <c r="B1152" s="1">
        <f>DATE(2011,11,8) + TIME(23,34,11)</f>
        <v>40855.982071759259</v>
      </c>
      <c r="C1152">
        <v>90</v>
      </c>
      <c r="D1152">
        <v>88.408958435000002</v>
      </c>
      <c r="E1152">
        <v>60</v>
      </c>
      <c r="F1152">
        <v>59.949188231999997</v>
      </c>
      <c r="G1152">
        <v>1305.4871826000001</v>
      </c>
      <c r="H1152">
        <v>1294.5230713000001</v>
      </c>
      <c r="I1152">
        <v>1393.2036132999999</v>
      </c>
      <c r="J1152">
        <v>1375.402832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557.35458400000005</v>
      </c>
      <c r="B1153" s="1">
        <f>DATE(2011,11,9) + TIME(8,30,36)</f>
        <v>40856.354583333334</v>
      </c>
      <c r="C1153">
        <v>90</v>
      </c>
      <c r="D1153">
        <v>88.349151610999996</v>
      </c>
      <c r="E1153">
        <v>60</v>
      </c>
      <c r="F1153">
        <v>59.949874878000003</v>
      </c>
      <c r="G1153">
        <v>1305.4698486</v>
      </c>
      <c r="H1153">
        <v>1294.5032959</v>
      </c>
      <c r="I1153">
        <v>1393.1285399999999</v>
      </c>
      <c r="J1153">
        <v>1375.3389893000001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557.74015299999996</v>
      </c>
      <c r="B1154" s="1">
        <f>DATE(2011,11,9) + TIME(17,45,49)</f>
        <v>40856.74015046296</v>
      </c>
      <c r="C1154">
        <v>90</v>
      </c>
      <c r="D1154">
        <v>88.287689209000007</v>
      </c>
      <c r="E1154">
        <v>60</v>
      </c>
      <c r="F1154">
        <v>59.950405121000003</v>
      </c>
      <c r="G1154">
        <v>1305.4517822</v>
      </c>
      <c r="H1154">
        <v>1294.4826660000001</v>
      </c>
      <c r="I1154">
        <v>1393.0534668</v>
      </c>
      <c r="J1154">
        <v>1375.2752685999999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558.14112799999998</v>
      </c>
      <c r="B1155" s="1">
        <f>DATE(2011,11,10) + TIME(3,23,13)</f>
        <v>40857.141122685185</v>
      </c>
      <c r="C1155">
        <v>90</v>
      </c>
      <c r="D1155">
        <v>88.224357604999994</v>
      </c>
      <c r="E1155">
        <v>60</v>
      </c>
      <c r="F1155">
        <v>59.950813293000003</v>
      </c>
      <c r="G1155">
        <v>1305.4331055</v>
      </c>
      <c r="H1155">
        <v>1294.4613036999999</v>
      </c>
      <c r="I1155">
        <v>1392.9790039</v>
      </c>
      <c r="J1155">
        <v>1375.2121582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558.56005700000003</v>
      </c>
      <c r="B1156" s="1">
        <f>DATE(2011,11,10) + TIME(13,26,28)</f>
        <v>40857.560046296298</v>
      </c>
      <c r="C1156">
        <v>90</v>
      </c>
      <c r="D1156">
        <v>88.158866881999998</v>
      </c>
      <c r="E1156">
        <v>60</v>
      </c>
      <c r="F1156">
        <v>59.951137543000002</v>
      </c>
      <c r="G1156">
        <v>1305.4136963000001</v>
      </c>
      <c r="H1156">
        <v>1294.4390868999999</v>
      </c>
      <c r="I1156">
        <v>1392.9047852000001</v>
      </c>
      <c r="J1156">
        <v>1375.1491699000001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558.99991899999998</v>
      </c>
      <c r="B1157" s="1">
        <f>DATE(2011,11,10) + TIME(23,59,52)</f>
        <v>40857.999907407408</v>
      </c>
      <c r="C1157">
        <v>90</v>
      </c>
      <c r="D1157">
        <v>88.090896606000001</v>
      </c>
      <c r="E1157">
        <v>60</v>
      </c>
      <c r="F1157">
        <v>59.951393127000003</v>
      </c>
      <c r="G1157">
        <v>1305.3933105000001</v>
      </c>
      <c r="H1157">
        <v>1294.4157714999999</v>
      </c>
      <c r="I1157">
        <v>1392.8302002</v>
      </c>
      <c r="J1157">
        <v>1375.0861815999999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559.462626</v>
      </c>
      <c r="B1158" s="1">
        <f>DATE(2011,11,11) + TIME(11,6,10)</f>
        <v>40858.46261574074</v>
      </c>
      <c r="C1158">
        <v>90</v>
      </c>
      <c r="D1158">
        <v>88.020210266000007</v>
      </c>
      <c r="E1158">
        <v>60</v>
      </c>
      <c r="F1158">
        <v>59.951599121000001</v>
      </c>
      <c r="G1158">
        <v>1305.3719481999999</v>
      </c>
      <c r="H1158">
        <v>1294.3912353999999</v>
      </c>
      <c r="I1158">
        <v>1392.7551269999999</v>
      </c>
      <c r="J1158">
        <v>1375.0227050999999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559.92968199999996</v>
      </c>
      <c r="B1159" s="1">
        <f>DATE(2011,11,11) + TIME(22,18,44)</f>
        <v>40858.929675925923</v>
      </c>
      <c r="C1159">
        <v>90</v>
      </c>
      <c r="D1159">
        <v>87.948554993000002</v>
      </c>
      <c r="E1159">
        <v>60</v>
      </c>
      <c r="F1159">
        <v>59.951755523999999</v>
      </c>
      <c r="G1159">
        <v>1305.3493652</v>
      </c>
      <c r="H1159">
        <v>1294.3654785000001</v>
      </c>
      <c r="I1159">
        <v>1392.6793213000001</v>
      </c>
      <c r="J1159">
        <v>1374.9587402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560.40281100000004</v>
      </c>
      <c r="B1160" s="1">
        <f>DATE(2011,11,12) + TIME(9,40,2)</f>
        <v>40859.402800925927</v>
      </c>
      <c r="C1160">
        <v>90</v>
      </c>
      <c r="D1160">
        <v>87.876083374000004</v>
      </c>
      <c r="E1160">
        <v>60</v>
      </c>
      <c r="F1160">
        <v>59.951881409000002</v>
      </c>
      <c r="G1160">
        <v>1305.3264160000001</v>
      </c>
      <c r="H1160">
        <v>1294.3392334</v>
      </c>
      <c r="I1160">
        <v>1392.605957</v>
      </c>
      <c r="J1160">
        <v>1374.8968506000001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560.88369399999999</v>
      </c>
      <c r="B1161" s="1">
        <f>DATE(2011,11,12) + TIME(21,12,31)</f>
        <v>40859.883692129632</v>
      </c>
      <c r="C1161">
        <v>90</v>
      </c>
      <c r="D1161">
        <v>87.802818298000005</v>
      </c>
      <c r="E1161">
        <v>60</v>
      </c>
      <c r="F1161">
        <v>59.951980591000002</v>
      </c>
      <c r="G1161">
        <v>1305.3032227000001</v>
      </c>
      <c r="H1161">
        <v>1294.3126221</v>
      </c>
      <c r="I1161">
        <v>1392.5344238</v>
      </c>
      <c r="J1161">
        <v>1374.8366699000001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561.37500499999999</v>
      </c>
      <c r="B1162" s="1">
        <f>DATE(2011,11,13) + TIME(9,0,0)</f>
        <v>40860.375</v>
      </c>
      <c r="C1162">
        <v>90</v>
      </c>
      <c r="D1162">
        <v>87.728584290000001</v>
      </c>
      <c r="E1162">
        <v>60</v>
      </c>
      <c r="F1162">
        <v>59.952060699</v>
      </c>
      <c r="G1162">
        <v>1305.2795410000001</v>
      </c>
      <c r="H1162">
        <v>1294.2854004000001</v>
      </c>
      <c r="I1162">
        <v>1392.4645995999999</v>
      </c>
      <c r="J1162">
        <v>1374.7779541</v>
      </c>
      <c r="K1162">
        <v>0</v>
      </c>
      <c r="L1162">
        <v>2400</v>
      </c>
      <c r="M1162">
        <v>2400</v>
      </c>
      <c r="N1162">
        <v>0</v>
      </c>
    </row>
    <row r="1163" spans="1:14" x14ac:dyDescent="0.25">
      <c r="A1163">
        <v>561.87945100000002</v>
      </c>
      <c r="B1163" s="1">
        <f>DATE(2011,11,13) + TIME(21,6,24)</f>
        <v>40860.879444444443</v>
      </c>
      <c r="C1163">
        <v>90</v>
      </c>
      <c r="D1163">
        <v>87.653144835999996</v>
      </c>
      <c r="E1163">
        <v>60</v>
      </c>
      <c r="F1163">
        <v>59.952125549000002</v>
      </c>
      <c r="G1163">
        <v>1305.255249</v>
      </c>
      <c r="H1163">
        <v>1294.2574463000001</v>
      </c>
      <c r="I1163">
        <v>1392.395874</v>
      </c>
      <c r="J1163">
        <v>1374.7202147999999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562.39995299999998</v>
      </c>
      <c r="B1164" s="1">
        <f>DATE(2011,11,14) + TIME(9,35,55)</f>
        <v>40861.399942129632</v>
      </c>
      <c r="C1164">
        <v>90</v>
      </c>
      <c r="D1164">
        <v>87.576210021999998</v>
      </c>
      <c r="E1164">
        <v>60</v>
      </c>
      <c r="F1164">
        <v>59.952178955000001</v>
      </c>
      <c r="G1164">
        <v>1305.2302245999999</v>
      </c>
      <c r="H1164">
        <v>1294.2286377</v>
      </c>
      <c r="I1164">
        <v>1392.3278809000001</v>
      </c>
      <c r="J1164">
        <v>1374.6630858999999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562.93974800000001</v>
      </c>
      <c r="B1165" s="1">
        <f>DATE(2011,11,14) + TIME(22,33,14)</f>
        <v>40861.939745370371</v>
      </c>
      <c r="C1165">
        <v>90</v>
      </c>
      <c r="D1165">
        <v>87.497421265</v>
      </c>
      <c r="E1165">
        <v>60</v>
      </c>
      <c r="F1165">
        <v>59.952224731000001</v>
      </c>
      <c r="G1165">
        <v>1305.2044678</v>
      </c>
      <c r="H1165">
        <v>1294.1987305</v>
      </c>
      <c r="I1165">
        <v>1392.2602539</v>
      </c>
      <c r="J1165">
        <v>1374.6063231999999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563.50252</v>
      </c>
      <c r="B1166" s="1">
        <f>DATE(2011,11,15) + TIME(12,3,37)</f>
        <v>40862.502511574072</v>
      </c>
      <c r="C1166">
        <v>90</v>
      </c>
      <c r="D1166">
        <v>87.416374207000004</v>
      </c>
      <c r="E1166">
        <v>60</v>
      </c>
      <c r="F1166">
        <v>59.952262877999999</v>
      </c>
      <c r="G1166">
        <v>1305.1774902</v>
      </c>
      <c r="H1166">
        <v>1294.1674805</v>
      </c>
      <c r="I1166">
        <v>1392.1926269999999</v>
      </c>
      <c r="J1166">
        <v>1374.5496826000001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564.08561699999996</v>
      </c>
      <c r="B1167" s="1">
        <f>DATE(2011,11,16) + TIME(2,3,17)</f>
        <v>40863.085613425923</v>
      </c>
      <c r="C1167">
        <v>90</v>
      </c>
      <c r="D1167">
        <v>87.333190918</v>
      </c>
      <c r="E1167">
        <v>60</v>
      </c>
      <c r="F1167">
        <v>59.952297211000001</v>
      </c>
      <c r="G1167">
        <v>1305.1492920000001</v>
      </c>
      <c r="H1167">
        <v>1294.1348877</v>
      </c>
      <c r="I1167">
        <v>1392.1246338000001</v>
      </c>
      <c r="J1167">
        <v>1374.4927978999999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564.68376499999999</v>
      </c>
      <c r="B1168" s="1">
        <f>DATE(2011,11,16) + TIME(16,24,37)</f>
        <v>40863.683761574073</v>
      </c>
      <c r="C1168">
        <v>90</v>
      </c>
      <c r="D1168">
        <v>87.248321532999995</v>
      </c>
      <c r="E1168">
        <v>60</v>
      </c>
      <c r="F1168">
        <v>59.952323913999997</v>
      </c>
      <c r="G1168">
        <v>1305.1198730000001</v>
      </c>
      <c r="H1168">
        <v>1294.1007079999999</v>
      </c>
      <c r="I1168">
        <v>1392.0566406</v>
      </c>
      <c r="J1168">
        <v>1374.4359131000001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565.30027299999995</v>
      </c>
      <c r="B1169" s="1">
        <f>DATE(2011,11,17) + TIME(7,12,23)</f>
        <v>40864.300266203703</v>
      </c>
      <c r="C1169">
        <v>90</v>
      </c>
      <c r="D1169">
        <v>87.161628723000007</v>
      </c>
      <c r="E1169">
        <v>60</v>
      </c>
      <c r="F1169">
        <v>59.952346802000001</v>
      </c>
      <c r="G1169">
        <v>1305.0895995999999</v>
      </c>
      <c r="H1169">
        <v>1294.0655518000001</v>
      </c>
      <c r="I1169">
        <v>1391.9893798999999</v>
      </c>
      <c r="J1169">
        <v>1374.3797606999999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565.93131900000003</v>
      </c>
      <c r="B1170" s="1">
        <f>DATE(2011,11,17) + TIME(22,21,5)</f>
        <v>40864.931307870371</v>
      </c>
      <c r="C1170">
        <v>90</v>
      </c>
      <c r="D1170">
        <v>87.073463439999998</v>
      </c>
      <c r="E1170">
        <v>60</v>
      </c>
      <c r="F1170">
        <v>59.952369689999998</v>
      </c>
      <c r="G1170">
        <v>1305.0581055</v>
      </c>
      <c r="H1170">
        <v>1294.0290527</v>
      </c>
      <c r="I1170">
        <v>1391.9226074000001</v>
      </c>
      <c r="J1170">
        <v>1374.3238524999999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566.56888500000002</v>
      </c>
      <c r="B1171" s="1">
        <f>DATE(2011,11,18) + TIME(13,39,11)</f>
        <v>40865.568877314814</v>
      </c>
      <c r="C1171">
        <v>90</v>
      </c>
      <c r="D1171">
        <v>86.984573363999999</v>
      </c>
      <c r="E1171">
        <v>60</v>
      </c>
      <c r="F1171">
        <v>59.952388763000002</v>
      </c>
      <c r="G1171">
        <v>1305.0257568</v>
      </c>
      <c r="H1171">
        <v>1293.9913329999999</v>
      </c>
      <c r="I1171">
        <v>1391.8564452999999</v>
      </c>
      <c r="J1171">
        <v>1374.2687988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567.21669999999995</v>
      </c>
      <c r="B1172" s="1">
        <f>DATE(2011,11,19) + TIME(5,12,2)</f>
        <v>40866.216689814813</v>
      </c>
      <c r="C1172">
        <v>90</v>
      </c>
      <c r="D1172">
        <v>86.894958496000001</v>
      </c>
      <c r="E1172">
        <v>60</v>
      </c>
      <c r="F1172">
        <v>59.952404022000003</v>
      </c>
      <c r="G1172">
        <v>1304.9929199000001</v>
      </c>
      <c r="H1172">
        <v>1293.9528809000001</v>
      </c>
      <c r="I1172">
        <v>1391.7919922000001</v>
      </c>
      <c r="J1172">
        <v>1374.2149658000001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567.87839699999995</v>
      </c>
      <c r="B1173" s="1">
        <f>DATE(2011,11,19) + TIME(21,4,53)</f>
        <v>40866.878391203703</v>
      </c>
      <c r="C1173">
        <v>90</v>
      </c>
      <c r="D1173">
        <v>86.804405212000006</v>
      </c>
      <c r="E1173">
        <v>60</v>
      </c>
      <c r="F1173">
        <v>59.952419280999997</v>
      </c>
      <c r="G1173">
        <v>1304.9592285000001</v>
      </c>
      <c r="H1173">
        <v>1293.9134521000001</v>
      </c>
      <c r="I1173">
        <v>1391.7287598</v>
      </c>
      <c r="J1173">
        <v>1374.1622314000001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568.55781100000002</v>
      </c>
      <c r="B1174" s="1">
        <f>DATE(2011,11,20) + TIME(13,23,14)</f>
        <v>40867.557800925926</v>
      </c>
      <c r="C1174">
        <v>90</v>
      </c>
      <c r="D1174">
        <v>86.712608337000006</v>
      </c>
      <c r="E1174">
        <v>60</v>
      </c>
      <c r="F1174">
        <v>59.952438354000002</v>
      </c>
      <c r="G1174">
        <v>1304.9246826000001</v>
      </c>
      <c r="H1174">
        <v>1293.8728027</v>
      </c>
      <c r="I1174">
        <v>1391.6661377</v>
      </c>
      <c r="J1174">
        <v>1374.1101074000001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569.25913100000002</v>
      </c>
      <c r="B1175" s="1">
        <f>DATE(2011,11,21) + TIME(6,13,8)</f>
        <v>40868.259120370371</v>
      </c>
      <c r="C1175">
        <v>90</v>
      </c>
      <c r="D1175">
        <v>86.619155883999994</v>
      </c>
      <c r="E1175">
        <v>60</v>
      </c>
      <c r="F1175">
        <v>59.952453613000003</v>
      </c>
      <c r="G1175">
        <v>1304.8889160000001</v>
      </c>
      <c r="H1175">
        <v>1293.8306885</v>
      </c>
      <c r="I1175">
        <v>1391.6040039</v>
      </c>
      <c r="J1175">
        <v>1374.0584716999999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569.98706100000004</v>
      </c>
      <c r="B1176" s="1">
        <f>DATE(2011,11,21) + TIME(23,41,22)</f>
        <v>40868.987060185187</v>
      </c>
      <c r="C1176">
        <v>90</v>
      </c>
      <c r="D1176">
        <v>86.523582458000007</v>
      </c>
      <c r="E1176">
        <v>60</v>
      </c>
      <c r="F1176">
        <v>59.952468871999997</v>
      </c>
      <c r="G1176">
        <v>1304.8516846</v>
      </c>
      <c r="H1176">
        <v>1293.7867432</v>
      </c>
      <c r="I1176">
        <v>1391.5418701000001</v>
      </c>
      <c r="J1176">
        <v>1374.0067139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570.74703</v>
      </c>
      <c r="B1177" s="1">
        <f>DATE(2011,11,22) + TIME(17,55,43)</f>
        <v>40869.747025462966</v>
      </c>
      <c r="C1177">
        <v>90</v>
      </c>
      <c r="D1177">
        <v>86.425346375000004</v>
      </c>
      <c r="E1177">
        <v>60</v>
      </c>
      <c r="F1177">
        <v>59.952487945999998</v>
      </c>
      <c r="G1177">
        <v>1304.8128661999999</v>
      </c>
      <c r="H1177">
        <v>1293.7407227000001</v>
      </c>
      <c r="I1177">
        <v>1391.4794922000001</v>
      </c>
      <c r="J1177">
        <v>1373.9548339999999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571.54545499999995</v>
      </c>
      <c r="B1178" s="1">
        <f>DATE(2011,11,23) + TIME(13,5,27)</f>
        <v>40870.545451388891</v>
      </c>
      <c r="C1178">
        <v>90</v>
      </c>
      <c r="D1178">
        <v>86.323814392000003</v>
      </c>
      <c r="E1178">
        <v>60</v>
      </c>
      <c r="F1178">
        <v>59.952507019000002</v>
      </c>
      <c r="G1178">
        <v>1304.7718506000001</v>
      </c>
      <c r="H1178">
        <v>1293.6921387</v>
      </c>
      <c r="I1178">
        <v>1391.4165039</v>
      </c>
      <c r="J1178">
        <v>1373.9024658000001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572.36132899999996</v>
      </c>
      <c r="B1179" s="1">
        <f>DATE(2011,11,24) + TIME(8,40,18)</f>
        <v>40871.361319444448</v>
      </c>
      <c r="C1179">
        <v>90</v>
      </c>
      <c r="D1179">
        <v>86.220092773000005</v>
      </c>
      <c r="E1179">
        <v>60</v>
      </c>
      <c r="F1179">
        <v>59.952526093000003</v>
      </c>
      <c r="G1179">
        <v>1304.7285156</v>
      </c>
      <c r="H1179">
        <v>1293.6407471</v>
      </c>
      <c r="I1179">
        <v>1391.3524170000001</v>
      </c>
      <c r="J1179">
        <v>1373.8492432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573.184034</v>
      </c>
      <c r="B1180" s="1">
        <f>DATE(2011,11,25) + TIME(4,25,0)</f>
        <v>40872.184027777781</v>
      </c>
      <c r="C1180">
        <v>90</v>
      </c>
      <c r="D1180">
        <v>86.115402222</v>
      </c>
      <c r="E1180">
        <v>60</v>
      </c>
      <c r="F1180">
        <v>59.952545166</v>
      </c>
      <c r="G1180">
        <v>1304.6835937999999</v>
      </c>
      <c r="H1180">
        <v>1293.5874022999999</v>
      </c>
      <c r="I1180">
        <v>1391.2889404</v>
      </c>
      <c r="J1180">
        <v>1373.7966309000001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574.01477599999998</v>
      </c>
      <c r="B1181" s="1">
        <f>DATE(2011,11,26) + TIME(0,21,16)</f>
        <v>40873.014768518522</v>
      </c>
      <c r="C1181">
        <v>90</v>
      </c>
      <c r="D1181">
        <v>86.010269164999997</v>
      </c>
      <c r="E1181">
        <v>60</v>
      </c>
      <c r="F1181">
        <v>59.952564240000001</v>
      </c>
      <c r="G1181">
        <v>1304.6379394999999</v>
      </c>
      <c r="H1181">
        <v>1293.5328368999999</v>
      </c>
      <c r="I1181">
        <v>1391.2270507999999</v>
      </c>
      <c r="J1181">
        <v>1373.7452393000001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574.85852699999998</v>
      </c>
      <c r="B1182" s="1">
        <f>DATE(2011,11,26) + TIME(20,36,16)</f>
        <v>40873.858518518522</v>
      </c>
      <c r="C1182">
        <v>90</v>
      </c>
      <c r="D1182">
        <v>85.904647827000005</v>
      </c>
      <c r="E1182">
        <v>60</v>
      </c>
      <c r="F1182">
        <v>59.952583312999998</v>
      </c>
      <c r="G1182">
        <v>1304.5913086</v>
      </c>
      <c r="H1182">
        <v>1293.4769286999999</v>
      </c>
      <c r="I1182">
        <v>1391.166626</v>
      </c>
      <c r="J1182">
        <v>1373.6949463000001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575.72025900000006</v>
      </c>
      <c r="B1183" s="1">
        <f>DATE(2011,11,27) + TIME(17,17,10)</f>
        <v>40874.720254629632</v>
      </c>
      <c r="C1183">
        <v>90</v>
      </c>
      <c r="D1183">
        <v>85.798240661999998</v>
      </c>
      <c r="E1183">
        <v>60</v>
      </c>
      <c r="F1183">
        <v>59.952606201000002</v>
      </c>
      <c r="G1183">
        <v>1304.5435791</v>
      </c>
      <c r="H1183">
        <v>1293.4194336</v>
      </c>
      <c r="I1183">
        <v>1391.1069336</v>
      </c>
      <c r="J1183">
        <v>1373.6455077999999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576.60525800000005</v>
      </c>
      <c r="B1184" s="1">
        <f>DATE(2011,11,28) + TIME(14,31,34)</f>
        <v>40875.605254629627</v>
      </c>
      <c r="C1184">
        <v>90</v>
      </c>
      <c r="D1184">
        <v>85.690605164000004</v>
      </c>
      <c r="E1184">
        <v>60</v>
      </c>
      <c r="F1184">
        <v>59.952629088999998</v>
      </c>
      <c r="G1184">
        <v>1304.4942627</v>
      </c>
      <c r="H1184">
        <v>1293.3599853999999</v>
      </c>
      <c r="I1184">
        <v>1391.0479736</v>
      </c>
      <c r="J1184">
        <v>1373.5965576000001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577.51658099999997</v>
      </c>
      <c r="B1185" s="1">
        <f>DATE(2011,11,29) + TIME(12,23,52)</f>
        <v>40876.516574074078</v>
      </c>
      <c r="C1185">
        <v>90</v>
      </c>
      <c r="D1185">
        <v>85.581367493000002</v>
      </c>
      <c r="E1185">
        <v>60</v>
      </c>
      <c r="F1185">
        <v>59.952655792000002</v>
      </c>
      <c r="G1185">
        <v>1304.4429932</v>
      </c>
      <c r="H1185">
        <v>1293.2980957</v>
      </c>
      <c r="I1185">
        <v>1390.9891356999999</v>
      </c>
      <c r="J1185">
        <v>1373.5477295000001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578.45387300000004</v>
      </c>
      <c r="B1186" s="1">
        <f>DATE(2011,11,30) + TIME(10,53,34)</f>
        <v>40877.453865740739</v>
      </c>
      <c r="C1186">
        <v>90</v>
      </c>
      <c r="D1186">
        <v>85.470390320000007</v>
      </c>
      <c r="E1186">
        <v>60</v>
      </c>
      <c r="F1186">
        <v>59.952682494999998</v>
      </c>
      <c r="G1186">
        <v>1304.3896483999999</v>
      </c>
      <c r="H1186">
        <v>1293.2333983999999</v>
      </c>
      <c r="I1186">
        <v>1390.9302978999999</v>
      </c>
      <c r="J1186">
        <v>1373.4989014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579</v>
      </c>
      <c r="B1187" s="1">
        <f>DATE(2011,12,1) + TIME(0,0,0)</f>
        <v>40878</v>
      </c>
      <c r="C1187">
        <v>90</v>
      </c>
      <c r="D1187">
        <v>85.387550353999998</v>
      </c>
      <c r="E1187">
        <v>60</v>
      </c>
      <c r="F1187">
        <v>59.952690124999997</v>
      </c>
      <c r="G1187">
        <v>1304.3336182</v>
      </c>
      <c r="H1187">
        <v>1293.1682129000001</v>
      </c>
      <c r="I1187">
        <v>1390.8710937999999</v>
      </c>
      <c r="J1187">
        <v>1373.449707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579.96929</v>
      </c>
      <c r="B1188" s="1">
        <f>DATE(2011,12,1) + TIME(23,15,46)</f>
        <v>40878.969282407408</v>
      </c>
      <c r="C1188">
        <v>90</v>
      </c>
      <c r="D1188">
        <v>85.284248352000006</v>
      </c>
      <c r="E1188">
        <v>60</v>
      </c>
      <c r="F1188">
        <v>59.952724457000002</v>
      </c>
      <c r="G1188">
        <v>1304.3007812000001</v>
      </c>
      <c r="H1188">
        <v>1293.1241454999999</v>
      </c>
      <c r="I1188">
        <v>1390.8382568</v>
      </c>
      <c r="J1188">
        <v>1373.4224853999999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580.98723299999995</v>
      </c>
      <c r="B1189" s="1">
        <f>DATE(2011,12,2) + TIME(23,41,36)</f>
        <v>40879.987222222226</v>
      </c>
      <c r="C1189">
        <v>90</v>
      </c>
      <c r="D1189">
        <v>85.173118591000005</v>
      </c>
      <c r="E1189">
        <v>60</v>
      </c>
      <c r="F1189">
        <v>59.952754974000001</v>
      </c>
      <c r="G1189">
        <v>1304.2426757999999</v>
      </c>
      <c r="H1189">
        <v>1293.0535889</v>
      </c>
      <c r="I1189">
        <v>1390.7803954999999</v>
      </c>
      <c r="J1189">
        <v>1373.3745117000001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582.01573800000006</v>
      </c>
      <c r="B1190" s="1">
        <f>DATE(2011,12,4) + TIME(0,22,39)</f>
        <v>40881.015729166669</v>
      </c>
      <c r="C1190">
        <v>90</v>
      </c>
      <c r="D1190">
        <v>85.057922363000003</v>
      </c>
      <c r="E1190">
        <v>60</v>
      </c>
      <c r="F1190">
        <v>59.952785491999997</v>
      </c>
      <c r="G1190">
        <v>1304.1806641000001</v>
      </c>
      <c r="H1190">
        <v>1292.9779053</v>
      </c>
      <c r="I1190">
        <v>1390.7213135</v>
      </c>
      <c r="J1190">
        <v>1373.3255615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583.061014</v>
      </c>
      <c r="B1191" s="1">
        <f>DATE(2011,12,5) + TIME(1,27,51)</f>
        <v>40882.061006944445</v>
      </c>
      <c r="C1191">
        <v>90</v>
      </c>
      <c r="D1191">
        <v>84.940605164000004</v>
      </c>
      <c r="E1191">
        <v>60</v>
      </c>
      <c r="F1191">
        <v>59.952816009999999</v>
      </c>
      <c r="G1191">
        <v>1304.1169434000001</v>
      </c>
      <c r="H1191">
        <v>1292.8997803</v>
      </c>
      <c r="I1191">
        <v>1390.6633300999999</v>
      </c>
      <c r="J1191">
        <v>1373.2774658000001</v>
      </c>
      <c r="K1191">
        <v>0</v>
      </c>
      <c r="L1191">
        <v>2400</v>
      </c>
      <c r="M1191">
        <v>2400</v>
      </c>
      <c r="N1191">
        <v>0</v>
      </c>
    </row>
    <row r="1192" spans="1:14" x14ac:dyDescent="0.25">
      <c r="A1192">
        <v>584.12062000000003</v>
      </c>
      <c r="B1192" s="1">
        <f>DATE(2011,12,6) + TIME(2,53,41)</f>
        <v>40883.120613425926</v>
      </c>
      <c r="C1192">
        <v>90</v>
      </c>
      <c r="D1192">
        <v>84.822135924999998</v>
      </c>
      <c r="E1192">
        <v>60</v>
      </c>
      <c r="F1192">
        <v>59.952850341999998</v>
      </c>
      <c r="G1192">
        <v>1304.0512695</v>
      </c>
      <c r="H1192">
        <v>1292.8188477000001</v>
      </c>
      <c r="I1192">
        <v>1390.6060791</v>
      </c>
      <c r="J1192">
        <v>1373.2299805</v>
      </c>
      <c r="K1192">
        <v>0</v>
      </c>
      <c r="L1192">
        <v>2400</v>
      </c>
      <c r="M1192">
        <v>2400</v>
      </c>
      <c r="N1192">
        <v>0</v>
      </c>
    </row>
    <row r="1193" spans="1:14" x14ac:dyDescent="0.25">
      <c r="A1193">
        <v>585.19773299999997</v>
      </c>
      <c r="B1193" s="1">
        <f>DATE(2011,12,7) + TIME(4,44,44)</f>
        <v>40884.197731481479</v>
      </c>
      <c r="C1193">
        <v>90</v>
      </c>
      <c r="D1193">
        <v>84.702888489000003</v>
      </c>
      <c r="E1193">
        <v>60</v>
      </c>
      <c r="F1193">
        <v>59.952884674000003</v>
      </c>
      <c r="G1193">
        <v>1303.9837646000001</v>
      </c>
      <c r="H1193">
        <v>1292.7353516000001</v>
      </c>
      <c r="I1193">
        <v>1390.5496826000001</v>
      </c>
      <c r="J1193">
        <v>1373.1831055</v>
      </c>
      <c r="K1193">
        <v>0</v>
      </c>
      <c r="L1193">
        <v>2400</v>
      </c>
      <c r="M1193">
        <v>2400</v>
      </c>
      <c r="N1193">
        <v>0</v>
      </c>
    </row>
    <row r="1194" spans="1:14" x14ac:dyDescent="0.25">
      <c r="A1194">
        <v>586.29855099999997</v>
      </c>
      <c r="B1194" s="1">
        <f>DATE(2011,12,8) + TIME(7,9,54)</f>
        <v>40885.298541666663</v>
      </c>
      <c r="C1194">
        <v>90</v>
      </c>
      <c r="D1194">
        <v>84.582702636999997</v>
      </c>
      <c r="E1194">
        <v>60</v>
      </c>
      <c r="F1194">
        <v>59.952919006000002</v>
      </c>
      <c r="G1194">
        <v>1303.9143065999999</v>
      </c>
      <c r="H1194">
        <v>1292.6490478999999</v>
      </c>
      <c r="I1194">
        <v>1390.4940185999999</v>
      </c>
      <c r="J1194">
        <v>1373.1368408000001</v>
      </c>
      <c r="K1194">
        <v>0</v>
      </c>
      <c r="L1194">
        <v>2400</v>
      </c>
      <c r="M1194">
        <v>2400</v>
      </c>
      <c r="N1194">
        <v>0</v>
      </c>
    </row>
    <row r="1195" spans="1:14" x14ac:dyDescent="0.25">
      <c r="A1195">
        <v>587.42964400000005</v>
      </c>
      <c r="B1195" s="1">
        <f>DATE(2011,12,9) + TIME(10,18,41)</f>
        <v>40886.4296412037</v>
      </c>
      <c r="C1195">
        <v>90</v>
      </c>
      <c r="D1195">
        <v>84.461151122999993</v>
      </c>
      <c r="E1195">
        <v>60</v>
      </c>
      <c r="F1195">
        <v>59.952957153</v>
      </c>
      <c r="G1195">
        <v>1303.8422852000001</v>
      </c>
      <c r="H1195">
        <v>1292.5593262</v>
      </c>
      <c r="I1195">
        <v>1390.4385986</v>
      </c>
      <c r="J1195">
        <v>1373.0909423999999</v>
      </c>
      <c r="K1195">
        <v>0</v>
      </c>
      <c r="L1195">
        <v>2400</v>
      </c>
      <c r="M1195">
        <v>2400</v>
      </c>
      <c r="N1195">
        <v>0</v>
      </c>
    </row>
    <row r="1196" spans="1:14" x14ac:dyDescent="0.25">
      <c r="A1196">
        <v>588.59830999999997</v>
      </c>
      <c r="B1196" s="1">
        <f>DATE(2011,12,10) + TIME(14,21,33)</f>
        <v>40887.598298611112</v>
      </c>
      <c r="C1196">
        <v>90</v>
      </c>
      <c r="D1196">
        <v>84.337654114000003</v>
      </c>
      <c r="E1196">
        <v>60</v>
      </c>
      <c r="F1196">
        <v>59.952999114999997</v>
      </c>
      <c r="G1196">
        <v>1303.7672118999999</v>
      </c>
      <c r="H1196">
        <v>1292.4654541</v>
      </c>
      <c r="I1196">
        <v>1390.3831786999999</v>
      </c>
      <c r="J1196">
        <v>1373.0449219</v>
      </c>
      <c r="K1196">
        <v>0</v>
      </c>
      <c r="L1196">
        <v>2400</v>
      </c>
      <c r="M1196">
        <v>2400</v>
      </c>
      <c r="N1196">
        <v>0</v>
      </c>
    </row>
    <row r="1197" spans="1:14" x14ac:dyDescent="0.25">
      <c r="A1197">
        <v>589.803766</v>
      </c>
      <c r="B1197" s="1">
        <f>DATE(2011,12,11) + TIME(19,17,25)</f>
        <v>40888.803761574076</v>
      </c>
      <c r="C1197">
        <v>90</v>
      </c>
      <c r="D1197">
        <v>84.211936950999998</v>
      </c>
      <c r="E1197">
        <v>60</v>
      </c>
      <c r="F1197">
        <v>59.953037262000002</v>
      </c>
      <c r="G1197">
        <v>1303.6884766000001</v>
      </c>
      <c r="H1197">
        <v>1292.3669434000001</v>
      </c>
      <c r="I1197">
        <v>1390.3275146000001</v>
      </c>
      <c r="J1197">
        <v>1372.9986572</v>
      </c>
      <c r="K1197">
        <v>0</v>
      </c>
      <c r="L1197">
        <v>2400</v>
      </c>
      <c r="M1197">
        <v>2400</v>
      </c>
      <c r="N1197">
        <v>0</v>
      </c>
    </row>
    <row r="1198" spans="1:14" x14ac:dyDescent="0.25">
      <c r="A1198">
        <v>591.02037299999995</v>
      </c>
      <c r="B1198" s="1">
        <f>DATE(2011,12,13) + TIME(0,29,20)</f>
        <v>40890.020370370374</v>
      </c>
      <c r="C1198">
        <v>90</v>
      </c>
      <c r="D1198">
        <v>84.085044861</v>
      </c>
      <c r="E1198">
        <v>60</v>
      </c>
      <c r="F1198">
        <v>59.953079224</v>
      </c>
      <c r="G1198">
        <v>1303.6062012</v>
      </c>
      <c r="H1198">
        <v>1292.2635498</v>
      </c>
      <c r="I1198">
        <v>1390.2717285000001</v>
      </c>
      <c r="J1198">
        <v>1372.9522704999999</v>
      </c>
      <c r="K1198">
        <v>0</v>
      </c>
      <c r="L1198">
        <v>2400</v>
      </c>
      <c r="M1198">
        <v>2400</v>
      </c>
      <c r="N1198">
        <v>0</v>
      </c>
    </row>
    <row r="1199" spans="1:14" x14ac:dyDescent="0.25">
      <c r="A1199">
        <v>592.25538600000004</v>
      </c>
      <c r="B1199" s="1">
        <f>DATE(2011,12,14) + TIME(6,7,45)</f>
        <v>40891.255381944444</v>
      </c>
      <c r="C1199">
        <v>90</v>
      </c>
      <c r="D1199">
        <v>83.957565308</v>
      </c>
      <c r="E1199">
        <v>60</v>
      </c>
      <c r="F1199">
        <v>59.953125</v>
      </c>
      <c r="G1199">
        <v>1303.5217285000001</v>
      </c>
      <c r="H1199">
        <v>1292.1569824000001</v>
      </c>
      <c r="I1199">
        <v>1390.2167969</v>
      </c>
      <c r="J1199">
        <v>1372.9066161999999</v>
      </c>
      <c r="K1199">
        <v>0</v>
      </c>
      <c r="L1199">
        <v>2400</v>
      </c>
      <c r="M1199">
        <v>2400</v>
      </c>
      <c r="N1199">
        <v>0</v>
      </c>
    </row>
    <row r="1200" spans="1:14" x14ac:dyDescent="0.25">
      <c r="A1200">
        <v>593.51614600000005</v>
      </c>
      <c r="B1200" s="1">
        <f>DATE(2011,12,15) + TIME(12,23,14)</f>
        <v>40892.516134259262</v>
      </c>
      <c r="C1200">
        <v>90</v>
      </c>
      <c r="D1200">
        <v>83.829322814999998</v>
      </c>
      <c r="E1200">
        <v>60</v>
      </c>
      <c r="F1200">
        <v>59.953166961999997</v>
      </c>
      <c r="G1200">
        <v>1303.4346923999999</v>
      </c>
      <c r="H1200">
        <v>1292.046875</v>
      </c>
      <c r="I1200">
        <v>1390.1625977000001</v>
      </c>
      <c r="J1200">
        <v>1372.8615723</v>
      </c>
      <c r="K1200">
        <v>0</v>
      </c>
      <c r="L1200">
        <v>2400</v>
      </c>
      <c r="M1200">
        <v>2400</v>
      </c>
      <c r="N1200">
        <v>0</v>
      </c>
    </row>
    <row r="1201" spans="1:14" x14ac:dyDescent="0.25">
      <c r="A1201">
        <v>594.80587400000002</v>
      </c>
      <c r="B1201" s="1">
        <f>DATE(2011,12,16) + TIME(19,20,27)</f>
        <v>40893.805868055555</v>
      </c>
      <c r="C1201">
        <v>90</v>
      </c>
      <c r="D1201">
        <v>83.700004578000005</v>
      </c>
      <c r="E1201">
        <v>60</v>
      </c>
      <c r="F1201">
        <v>59.953212737999998</v>
      </c>
      <c r="G1201">
        <v>1303.3444824000001</v>
      </c>
      <c r="H1201">
        <v>1291.932251</v>
      </c>
      <c r="I1201">
        <v>1390.1086425999999</v>
      </c>
      <c r="J1201">
        <v>1372.8166504000001</v>
      </c>
      <c r="K1201">
        <v>0</v>
      </c>
      <c r="L1201">
        <v>2400</v>
      </c>
      <c r="M1201">
        <v>2400</v>
      </c>
      <c r="N1201">
        <v>0</v>
      </c>
    </row>
    <row r="1202" spans="1:14" x14ac:dyDescent="0.25">
      <c r="A1202">
        <v>596.12047500000006</v>
      </c>
      <c r="B1202" s="1">
        <f>DATE(2011,12,18) + TIME(2,53,29)</f>
        <v>40895.120474537034</v>
      </c>
      <c r="C1202">
        <v>90</v>
      </c>
      <c r="D1202">
        <v>83.569602966000005</v>
      </c>
      <c r="E1202">
        <v>60</v>
      </c>
      <c r="F1202">
        <v>59.953262328999998</v>
      </c>
      <c r="G1202">
        <v>1303.2507324000001</v>
      </c>
      <c r="H1202">
        <v>1291.8129882999999</v>
      </c>
      <c r="I1202">
        <v>1390.0549315999999</v>
      </c>
      <c r="J1202">
        <v>1372.7719727000001</v>
      </c>
      <c r="K1202">
        <v>0</v>
      </c>
      <c r="L1202">
        <v>2400</v>
      </c>
      <c r="M1202">
        <v>2400</v>
      </c>
      <c r="N1202">
        <v>0</v>
      </c>
    </row>
    <row r="1203" spans="1:14" x14ac:dyDescent="0.25">
      <c r="A1203">
        <v>597.46801200000004</v>
      </c>
      <c r="B1203" s="1">
        <f>DATE(2011,12,19) + TIME(11,13,56)</f>
        <v>40896.468009259261</v>
      </c>
      <c r="C1203">
        <v>90</v>
      </c>
      <c r="D1203">
        <v>83.437911987000007</v>
      </c>
      <c r="E1203">
        <v>60</v>
      </c>
      <c r="F1203">
        <v>59.953308104999998</v>
      </c>
      <c r="G1203">
        <v>1303.1538086</v>
      </c>
      <c r="H1203">
        <v>1291.6890868999999</v>
      </c>
      <c r="I1203">
        <v>1390.0017089999999</v>
      </c>
      <c r="J1203">
        <v>1372.7275391000001</v>
      </c>
      <c r="K1203">
        <v>0</v>
      </c>
      <c r="L1203">
        <v>2400</v>
      </c>
      <c r="M1203">
        <v>2400</v>
      </c>
      <c r="N1203">
        <v>0</v>
      </c>
    </row>
    <row r="1204" spans="1:14" x14ac:dyDescent="0.25">
      <c r="A1204">
        <v>598.85715900000002</v>
      </c>
      <c r="B1204" s="1">
        <f>DATE(2011,12,20) + TIME(20,34,18)</f>
        <v>40897.857152777775</v>
      </c>
      <c r="C1204">
        <v>90</v>
      </c>
      <c r="D1204">
        <v>83.304389954000001</v>
      </c>
      <c r="E1204">
        <v>60</v>
      </c>
      <c r="F1204">
        <v>59.953361510999997</v>
      </c>
      <c r="G1204">
        <v>1303.0527344</v>
      </c>
      <c r="H1204">
        <v>1291.5596923999999</v>
      </c>
      <c r="I1204">
        <v>1389.9483643000001</v>
      </c>
      <c r="J1204">
        <v>1372.6832274999999</v>
      </c>
      <c r="K1204">
        <v>0</v>
      </c>
      <c r="L1204">
        <v>2400</v>
      </c>
      <c r="M1204">
        <v>2400</v>
      </c>
      <c r="N1204">
        <v>0</v>
      </c>
    </row>
    <row r="1205" spans="1:14" x14ac:dyDescent="0.25">
      <c r="A1205">
        <v>600.27323799999999</v>
      </c>
      <c r="B1205" s="1">
        <f>DATE(2011,12,22) + TIME(6,33,27)</f>
        <v>40899.273229166669</v>
      </c>
      <c r="C1205">
        <v>90</v>
      </c>
      <c r="D1205">
        <v>83.169197083</v>
      </c>
      <c r="E1205">
        <v>60</v>
      </c>
      <c r="F1205">
        <v>59.953414917000003</v>
      </c>
      <c r="G1205">
        <v>1302.9470214999999</v>
      </c>
      <c r="H1205">
        <v>1291.4239502</v>
      </c>
      <c r="I1205">
        <v>1389.8948975000001</v>
      </c>
      <c r="J1205">
        <v>1372.6385498</v>
      </c>
      <c r="K1205">
        <v>0</v>
      </c>
      <c r="L1205">
        <v>2400</v>
      </c>
      <c r="M1205">
        <v>2400</v>
      </c>
      <c r="N1205">
        <v>0</v>
      </c>
    </row>
    <row r="1206" spans="1:14" x14ac:dyDescent="0.25">
      <c r="A1206">
        <v>601.69948499999998</v>
      </c>
      <c r="B1206" s="1">
        <f>DATE(2011,12,23) + TIME(16,47,15)</f>
        <v>40900.699479166666</v>
      </c>
      <c r="C1206">
        <v>90</v>
      </c>
      <c r="D1206">
        <v>83.033348083000007</v>
      </c>
      <c r="E1206">
        <v>60</v>
      </c>
      <c r="F1206">
        <v>59.953468323000003</v>
      </c>
      <c r="G1206">
        <v>1302.8375243999999</v>
      </c>
      <c r="H1206">
        <v>1291.2828368999999</v>
      </c>
      <c r="I1206">
        <v>1389.8416748</v>
      </c>
      <c r="J1206">
        <v>1372.5941161999999</v>
      </c>
      <c r="K1206">
        <v>0</v>
      </c>
      <c r="L1206">
        <v>2400</v>
      </c>
      <c r="M1206">
        <v>2400</v>
      </c>
      <c r="N1206">
        <v>0</v>
      </c>
    </row>
    <row r="1207" spans="1:14" x14ac:dyDescent="0.25">
      <c r="A1207">
        <v>603.13631399999997</v>
      </c>
      <c r="B1207" s="1">
        <f>DATE(2011,12,25) + TIME(3,16,17)</f>
        <v>40902.136307870373</v>
      </c>
      <c r="C1207">
        <v>90</v>
      </c>
      <c r="D1207">
        <v>82.897598267000006</v>
      </c>
      <c r="E1207">
        <v>60</v>
      </c>
      <c r="F1207">
        <v>59.953521729000002</v>
      </c>
      <c r="G1207">
        <v>1302.7252197</v>
      </c>
      <c r="H1207">
        <v>1291.1378173999999</v>
      </c>
      <c r="I1207">
        <v>1389.7894286999999</v>
      </c>
      <c r="J1207">
        <v>1372.5505370999999</v>
      </c>
      <c r="K1207">
        <v>0</v>
      </c>
      <c r="L1207">
        <v>2400</v>
      </c>
      <c r="M1207">
        <v>2400</v>
      </c>
      <c r="N1207">
        <v>0</v>
      </c>
    </row>
    <row r="1208" spans="1:14" x14ac:dyDescent="0.25">
      <c r="A1208">
        <v>604.59153500000002</v>
      </c>
      <c r="B1208" s="1">
        <f>DATE(2011,12,26) + TIME(14,11,48)</f>
        <v>40903.591527777775</v>
      </c>
      <c r="C1208">
        <v>90</v>
      </c>
      <c r="D1208">
        <v>82.761932372999993</v>
      </c>
      <c r="E1208">
        <v>60</v>
      </c>
      <c r="F1208">
        <v>59.953575133999998</v>
      </c>
      <c r="G1208">
        <v>1302.6102295000001</v>
      </c>
      <c r="H1208">
        <v>1290.9886475000001</v>
      </c>
      <c r="I1208">
        <v>1389.7381591999999</v>
      </c>
      <c r="J1208">
        <v>1372.5076904</v>
      </c>
      <c r="K1208">
        <v>0</v>
      </c>
      <c r="L1208">
        <v>2400</v>
      </c>
      <c r="M1208">
        <v>2400</v>
      </c>
      <c r="N1208">
        <v>0</v>
      </c>
    </row>
    <row r="1209" spans="1:14" x14ac:dyDescent="0.25">
      <c r="A1209">
        <v>606.07302800000002</v>
      </c>
      <c r="B1209" s="1">
        <f>DATE(2011,12,28) + TIME(1,45,9)</f>
        <v>40905.073020833333</v>
      </c>
      <c r="C1209">
        <v>90</v>
      </c>
      <c r="D1209">
        <v>82.625885010000005</v>
      </c>
      <c r="E1209">
        <v>60</v>
      </c>
      <c r="F1209">
        <v>59.953632355000003</v>
      </c>
      <c r="G1209">
        <v>1302.4919434000001</v>
      </c>
      <c r="H1209">
        <v>1290.8347168</v>
      </c>
      <c r="I1209">
        <v>1389.6873779</v>
      </c>
      <c r="J1209">
        <v>1372.4652100000001</v>
      </c>
      <c r="K1209">
        <v>0</v>
      </c>
      <c r="L1209">
        <v>2400</v>
      </c>
      <c r="M1209">
        <v>2400</v>
      </c>
      <c r="N1209">
        <v>0</v>
      </c>
    </row>
    <row r="1210" spans="1:14" x14ac:dyDescent="0.25">
      <c r="A1210">
        <v>607.58908599999995</v>
      </c>
      <c r="B1210" s="1">
        <f>DATE(2011,12,29) + TIME(14,8,17)</f>
        <v>40906.589085648149</v>
      </c>
      <c r="C1210">
        <v>90</v>
      </c>
      <c r="D1210">
        <v>82.488800049000005</v>
      </c>
      <c r="E1210">
        <v>60</v>
      </c>
      <c r="F1210">
        <v>59.953689574999999</v>
      </c>
      <c r="G1210">
        <v>1302.3696289</v>
      </c>
      <c r="H1210">
        <v>1290.6751709</v>
      </c>
      <c r="I1210">
        <v>1389.6369629000001</v>
      </c>
      <c r="J1210">
        <v>1372.4230957</v>
      </c>
      <c r="K1210">
        <v>0</v>
      </c>
      <c r="L1210">
        <v>2400</v>
      </c>
      <c r="M1210">
        <v>2400</v>
      </c>
      <c r="N1210">
        <v>0</v>
      </c>
    </row>
    <row r="1211" spans="1:14" x14ac:dyDescent="0.25">
      <c r="A1211">
        <v>609.14872500000001</v>
      </c>
      <c r="B1211" s="1">
        <f>DATE(2011,12,31) + TIME(3,34,9)</f>
        <v>40908.148715277777</v>
      </c>
      <c r="C1211">
        <v>90</v>
      </c>
      <c r="D1211">
        <v>82.349967957000004</v>
      </c>
      <c r="E1211">
        <v>60</v>
      </c>
      <c r="F1211">
        <v>59.95375061</v>
      </c>
      <c r="G1211">
        <v>1302.2425536999999</v>
      </c>
      <c r="H1211">
        <v>1290.5089111</v>
      </c>
      <c r="I1211">
        <v>1389.5865478999999</v>
      </c>
      <c r="J1211">
        <v>1372.3808594</v>
      </c>
      <c r="K1211">
        <v>0</v>
      </c>
      <c r="L1211">
        <v>2400</v>
      </c>
      <c r="M1211">
        <v>2400</v>
      </c>
      <c r="N1211">
        <v>0</v>
      </c>
    </row>
    <row r="1212" spans="1:14" x14ac:dyDescent="0.25">
      <c r="A1212">
        <v>610</v>
      </c>
      <c r="B1212" s="1">
        <f>DATE(2012,1,1) + TIME(0,0,0)</f>
        <v>40909</v>
      </c>
      <c r="C1212">
        <v>90</v>
      </c>
      <c r="D1212">
        <v>82.242027282999999</v>
      </c>
      <c r="E1212">
        <v>60</v>
      </c>
      <c r="F1212">
        <v>59.953777313000003</v>
      </c>
      <c r="G1212">
        <v>1302.1121826000001</v>
      </c>
      <c r="H1212">
        <v>1290.3431396000001</v>
      </c>
      <c r="I1212">
        <v>1389.5352783000001</v>
      </c>
      <c r="J1212">
        <v>1372.3377685999999</v>
      </c>
      <c r="K1212">
        <v>0</v>
      </c>
      <c r="L1212">
        <v>2400</v>
      </c>
      <c r="M1212">
        <v>2400</v>
      </c>
      <c r="N1212">
        <v>0</v>
      </c>
    </row>
    <row r="1213" spans="1:14" x14ac:dyDescent="0.25">
      <c r="A1213">
        <v>611.61336600000004</v>
      </c>
      <c r="B1213" s="1">
        <f>DATE(2012,1,2) + TIME(14,43,14)</f>
        <v>40910.613356481481</v>
      </c>
      <c r="C1213">
        <v>90</v>
      </c>
      <c r="D1213">
        <v>82.121604919000006</v>
      </c>
      <c r="E1213">
        <v>60</v>
      </c>
      <c r="F1213">
        <v>59.953845977999997</v>
      </c>
      <c r="G1213">
        <v>1302.0318603999999</v>
      </c>
      <c r="H1213">
        <v>1290.2297363</v>
      </c>
      <c r="I1213">
        <v>1389.5089111</v>
      </c>
      <c r="J1213">
        <v>1372.3157959</v>
      </c>
      <c r="K1213">
        <v>0</v>
      </c>
      <c r="L1213">
        <v>2400</v>
      </c>
      <c r="M1213">
        <v>2400</v>
      </c>
      <c r="N1213">
        <v>0</v>
      </c>
    </row>
    <row r="1214" spans="1:14" x14ac:dyDescent="0.25">
      <c r="A1214">
        <v>613.23401999999999</v>
      </c>
      <c r="B1214" s="1">
        <f>DATE(2012,1,4) + TIME(5,36,59)</f>
        <v>40912.234016203707</v>
      </c>
      <c r="C1214">
        <v>90</v>
      </c>
      <c r="D1214">
        <v>81.986206054999997</v>
      </c>
      <c r="E1214">
        <v>60</v>
      </c>
      <c r="F1214">
        <v>59.953907012999998</v>
      </c>
      <c r="G1214">
        <v>1301.8939209</v>
      </c>
      <c r="H1214">
        <v>1290.0501709</v>
      </c>
      <c r="I1214">
        <v>1389.458374</v>
      </c>
      <c r="J1214">
        <v>1372.2734375</v>
      </c>
      <c r="K1214">
        <v>0</v>
      </c>
      <c r="L1214">
        <v>2400</v>
      </c>
      <c r="M1214">
        <v>2400</v>
      </c>
      <c r="N1214">
        <v>0</v>
      </c>
    </row>
    <row r="1215" spans="1:14" x14ac:dyDescent="0.25">
      <c r="A1215">
        <v>614.868201</v>
      </c>
      <c r="B1215" s="1">
        <f>DATE(2012,1,5) + TIME(20,50,12)</f>
        <v>40913.868194444447</v>
      </c>
      <c r="C1215">
        <v>90</v>
      </c>
      <c r="D1215">
        <v>81.845870972</v>
      </c>
      <c r="E1215">
        <v>60</v>
      </c>
      <c r="F1215">
        <v>59.953971863</v>
      </c>
      <c r="G1215">
        <v>1301.7509766000001</v>
      </c>
      <c r="H1215">
        <v>1289.8619385</v>
      </c>
      <c r="I1215">
        <v>1389.4088135</v>
      </c>
      <c r="J1215">
        <v>1372.2318115</v>
      </c>
      <c r="K1215">
        <v>0</v>
      </c>
      <c r="L1215">
        <v>2400</v>
      </c>
      <c r="M1215">
        <v>2400</v>
      </c>
      <c r="N1215">
        <v>0</v>
      </c>
    </row>
    <row r="1216" spans="1:14" x14ac:dyDescent="0.25">
      <c r="A1216">
        <v>616.524675</v>
      </c>
      <c r="B1216" s="1">
        <f>DATE(2012,1,7) + TIME(12,35,31)</f>
        <v>40915.524664351855</v>
      </c>
      <c r="C1216">
        <v>90</v>
      </c>
      <c r="D1216">
        <v>81.703567504999995</v>
      </c>
      <c r="E1216">
        <v>60</v>
      </c>
      <c r="F1216">
        <v>59.954036713000001</v>
      </c>
      <c r="G1216">
        <v>1301.6037598</v>
      </c>
      <c r="H1216">
        <v>1289.6672363</v>
      </c>
      <c r="I1216">
        <v>1389.3599853999999</v>
      </c>
      <c r="J1216">
        <v>1372.1906738</v>
      </c>
      <c r="K1216">
        <v>0</v>
      </c>
      <c r="L1216">
        <v>2400</v>
      </c>
      <c r="M1216">
        <v>2400</v>
      </c>
      <c r="N1216">
        <v>0</v>
      </c>
    </row>
    <row r="1217" spans="1:14" x14ac:dyDescent="0.25">
      <c r="A1217">
        <v>618.212445</v>
      </c>
      <c r="B1217" s="1">
        <f>DATE(2012,1,9) + TIME(5,5,55)</f>
        <v>40917.212442129632</v>
      </c>
      <c r="C1217">
        <v>90</v>
      </c>
      <c r="D1217">
        <v>81.559783936000002</v>
      </c>
      <c r="E1217">
        <v>60</v>
      </c>
      <c r="F1217">
        <v>59.954101561999998</v>
      </c>
      <c r="G1217">
        <v>1301.4520264</v>
      </c>
      <c r="H1217">
        <v>1289.4656981999999</v>
      </c>
      <c r="I1217">
        <v>1389.3115233999999</v>
      </c>
      <c r="J1217">
        <v>1372.1500243999999</v>
      </c>
      <c r="K1217">
        <v>0</v>
      </c>
      <c r="L1217">
        <v>2400</v>
      </c>
      <c r="M1217">
        <v>2400</v>
      </c>
      <c r="N1217">
        <v>0</v>
      </c>
    </row>
    <row r="1218" spans="1:14" x14ac:dyDescent="0.25">
      <c r="A1218">
        <v>619.94105100000002</v>
      </c>
      <c r="B1218" s="1">
        <f>DATE(2012,1,10) + TIME(22,35,6)</f>
        <v>40918.941041666665</v>
      </c>
      <c r="C1218">
        <v>90</v>
      </c>
      <c r="D1218">
        <v>81.414115906000006</v>
      </c>
      <c r="E1218">
        <v>60</v>
      </c>
      <c r="F1218">
        <v>59.954170226999999</v>
      </c>
      <c r="G1218">
        <v>1301.2949219</v>
      </c>
      <c r="H1218">
        <v>1289.2567139</v>
      </c>
      <c r="I1218">
        <v>1389.2633057</v>
      </c>
      <c r="J1218">
        <v>1372.109375</v>
      </c>
      <c r="K1218">
        <v>0</v>
      </c>
      <c r="L1218">
        <v>2400</v>
      </c>
      <c r="M1218">
        <v>2400</v>
      </c>
      <c r="N1218">
        <v>0</v>
      </c>
    </row>
    <row r="1219" spans="1:14" x14ac:dyDescent="0.25">
      <c r="A1219">
        <v>621.71927200000005</v>
      </c>
      <c r="B1219" s="1">
        <f>DATE(2012,1,12) + TIME(17,15,45)</f>
        <v>40920.719270833331</v>
      </c>
      <c r="C1219">
        <v>90</v>
      </c>
      <c r="D1219">
        <v>81.265884399000001</v>
      </c>
      <c r="E1219">
        <v>60</v>
      </c>
      <c r="F1219">
        <v>59.954242706000002</v>
      </c>
      <c r="G1219">
        <v>1301.1317139</v>
      </c>
      <c r="H1219">
        <v>1289.0388184000001</v>
      </c>
      <c r="I1219">
        <v>1389.2150879000001</v>
      </c>
      <c r="J1219">
        <v>1372.0687256000001</v>
      </c>
      <c r="K1219">
        <v>0</v>
      </c>
      <c r="L1219">
        <v>2400</v>
      </c>
      <c r="M1219">
        <v>2400</v>
      </c>
      <c r="N1219">
        <v>0</v>
      </c>
    </row>
    <row r="1220" spans="1:14" x14ac:dyDescent="0.25">
      <c r="A1220">
        <v>623.53547900000001</v>
      </c>
      <c r="B1220" s="1">
        <f>DATE(2012,1,14) + TIME(12,51,5)</f>
        <v>40922.535474537035</v>
      </c>
      <c r="C1220">
        <v>90</v>
      </c>
      <c r="D1220">
        <v>81.114852905000006</v>
      </c>
      <c r="E1220">
        <v>60</v>
      </c>
      <c r="F1220">
        <v>59.954315186000002</v>
      </c>
      <c r="G1220">
        <v>1300.9611815999999</v>
      </c>
      <c r="H1220">
        <v>1288.8109131000001</v>
      </c>
      <c r="I1220">
        <v>1389.1663818</v>
      </c>
      <c r="J1220">
        <v>1372.0277100000001</v>
      </c>
      <c r="K1220">
        <v>0</v>
      </c>
      <c r="L1220">
        <v>2400</v>
      </c>
      <c r="M1220">
        <v>2400</v>
      </c>
      <c r="N1220">
        <v>0</v>
      </c>
    </row>
    <row r="1221" spans="1:14" x14ac:dyDescent="0.25">
      <c r="A1221">
        <v>625.36587399999996</v>
      </c>
      <c r="B1221" s="1">
        <f>DATE(2012,1,16) + TIME(8,46,51)</f>
        <v>40924.365868055553</v>
      </c>
      <c r="C1221">
        <v>90</v>
      </c>
      <c r="D1221">
        <v>80.961845397999994</v>
      </c>
      <c r="E1221">
        <v>60</v>
      </c>
      <c r="F1221">
        <v>59.954387664999999</v>
      </c>
      <c r="G1221">
        <v>1300.7843018000001</v>
      </c>
      <c r="H1221">
        <v>1288.5738524999999</v>
      </c>
      <c r="I1221">
        <v>1389.1177978999999</v>
      </c>
      <c r="J1221">
        <v>1371.9866943</v>
      </c>
      <c r="K1221">
        <v>0</v>
      </c>
      <c r="L1221">
        <v>2400</v>
      </c>
      <c r="M1221">
        <v>2400</v>
      </c>
      <c r="N1221">
        <v>0</v>
      </c>
    </row>
    <row r="1222" spans="1:14" x14ac:dyDescent="0.25">
      <c r="A1222">
        <v>627.20912199999998</v>
      </c>
      <c r="B1222" s="1">
        <f>DATE(2012,1,18) + TIME(5,1,8)</f>
        <v>40926.209120370368</v>
      </c>
      <c r="C1222">
        <v>90</v>
      </c>
      <c r="D1222">
        <v>80.807815551999994</v>
      </c>
      <c r="E1222">
        <v>60</v>
      </c>
      <c r="F1222">
        <v>59.954460144000002</v>
      </c>
      <c r="G1222">
        <v>1300.6030272999999</v>
      </c>
      <c r="H1222">
        <v>1288.3302002</v>
      </c>
      <c r="I1222">
        <v>1389.0698242000001</v>
      </c>
      <c r="J1222">
        <v>1371.9461670000001</v>
      </c>
      <c r="K1222">
        <v>0</v>
      </c>
      <c r="L1222">
        <v>2400</v>
      </c>
      <c r="M1222">
        <v>2400</v>
      </c>
      <c r="N1222">
        <v>0</v>
      </c>
    </row>
    <row r="1223" spans="1:14" x14ac:dyDescent="0.25">
      <c r="A1223">
        <v>629.07523000000003</v>
      </c>
      <c r="B1223" s="1">
        <f>DATE(2012,1,20) + TIME(1,48,19)</f>
        <v>40928.075219907405</v>
      </c>
      <c r="C1223">
        <v>90</v>
      </c>
      <c r="D1223">
        <v>80.652740479000002</v>
      </c>
      <c r="E1223">
        <v>60</v>
      </c>
      <c r="F1223">
        <v>59.954532622999999</v>
      </c>
      <c r="G1223">
        <v>1300.4176024999999</v>
      </c>
      <c r="H1223">
        <v>1288.0802002</v>
      </c>
      <c r="I1223">
        <v>1389.0225829999999</v>
      </c>
      <c r="J1223">
        <v>1371.9061279</v>
      </c>
      <c r="K1223">
        <v>0</v>
      </c>
      <c r="L1223">
        <v>2400</v>
      </c>
      <c r="M1223">
        <v>2400</v>
      </c>
      <c r="N1223">
        <v>0</v>
      </c>
    </row>
    <row r="1224" spans="1:14" x14ac:dyDescent="0.25">
      <c r="A1224">
        <v>630.97425099999998</v>
      </c>
      <c r="B1224" s="1">
        <f>DATE(2012,1,21) + TIME(23,22,55)</f>
        <v>40929.974247685182</v>
      </c>
      <c r="C1224">
        <v>90</v>
      </c>
      <c r="D1224">
        <v>80.495918274000005</v>
      </c>
      <c r="E1224">
        <v>60</v>
      </c>
      <c r="F1224">
        <v>59.954608917000002</v>
      </c>
      <c r="G1224">
        <v>1300.2270507999999</v>
      </c>
      <c r="H1224">
        <v>1287.8226318</v>
      </c>
      <c r="I1224">
        <v>1388.9755858999999</v>
      </c>
      <c r="J1224">
        <v>1371.8664550999999</v>
      </c>
      <c r="K1224">
        <v>0</v>
      </c>
      <c r="L1224">
        <v>2400</v>
      </c>
      <c r="M1224">
        <v>2400</v>
      </c>
      <c r="N1224">
        <v>0</v>
      </c>
    </row>
    <row r="1225" spans="1:14" x14ac:dyDescent="0.25">
      <c r="A1225">
        <v>632.90902700000004</v>
      </c>
      <c r="B1225" s="1">
        <f>DATE(2012,1,23) + TIME(21,48,59)</f>
        <v>40931.909016203703</v>
      </c>
      <c r="C1225">
        <v>90</v>
      </c>
      <c r="D1225">
        <v>80.336616516000007</v>
      </c>
      <c r="E1225">
        <v>60</v>
      </c>
      <c r="F1225">
        <v>59.954685210999997</v>
      </c>
      <c r="G1225">
        <v>1300.0303954999999</v>
      </c>
      <c r="H1225">
        <v>1287.5562743999999</v>
      </c>
      <c r="I1225">
        <v>1388.9288329999999</v>
      </c>
      <c r="J1225">
        <v>1371.8267822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634.87681299999997</v>
      </c>
      <c r="B1226" s="1">
        <f>DATE(2012,1,25) + TIME(21,2,36)</f>
        <v>40933.876805555556</v>
      </c>
      <c r="C1226">
        <v>90</v>
      </c>
      <c r="D1226">
        <v>80.174453735</v>
      </c>
      <c r="E1226">
        <v>60</v>
      </c>
      <c r="F1226">
        <v>59.95476532</v>
      </c>
      <c r="G1226">
        <v>1299.8272704999999</v>
      </c>
      <c r="H1226">
        <v>1287.2803954999999</v>
      </c>
      <c r="I1226">
        <v>1388.8822021000001</v>
      </c>
      <c r="J1226">
        <v>1371.7872314000001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636.88808300000005</v>
      </c>
      <c r="B1227" s="1">
        <f>DATE(2012,1,27) + TIME(21,18,50)</f>
        <v>40935.888078703705</v>
      </c>
      <c r="C1227">
        <v>90</v>
      </c>
      <c r="D1227">
        <v>80.008979796999995</v>
      </c>
      <c r="E1227">
        <v>60</v>
      </c>
      <c r="F1227">
        <v>59.954845427999999</v>
      </c>
      <c r="G1227">
        <v>1299.6175536999999</v>
      </c>
      <c r="H1227">
        <v>1286.9949951000001</v>
      </c>
      <c r="I1227">
        <v>1388.8355713000001</v>
      </c>
      <c r="J1227">
        <v>1371.7476807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638.94803999999999</v>
      </c>
      <c r="B1228" s="1">
        <f>DATE(2012,1,29) + TIME(22,45,10)</f>
        <v>40937.94803240741</v>
      </c>
      <c r="C1228">
        <v>90</v>
      </c>
      <c r="D1228">
        <v>79.839317321999999</v>
      </c>
      <c r="E1228">
        <v>60</v>
      </c>
      <c r="F1228">
        <v>59.954925537000001</v>
      </c>
      <c r="G1228">
        <v>1299.4003906</v>
      </c>
      <c r="H1228">
        <v>1286.6986084</v>
      </c>
      <c r="I1228">
        <v>1388.7889404</v>
      </c>
      <c r="J1228">
        <v>1371.7080077999999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641</v>
      </c>
      <c r="B1229" s="1">
        <f>DATE(2012,2,1) + TIME(0,0,0)</f>
        <v>40940</v>
      </c>
      <c r="C1229">
        <v>90</v>
      </c>
      <c r="D1229">
        <v>79.666183472</v>
      </c>
      <c r="E1229">
        <v>60</v>
      </c>
      <c r="F1229">
        <v>59.955005645999996</v>
      </c>
      <c r="G1229">
        <v>1299.1750488</v>
      </c>
      <c r="H1229">
        <v>1286.3907471</v>
      </c>
      <c r="I1229">
        <v>1388.7419434000001</v>
      </c>
      <c r="J1229">
        <v>1371.6679687999999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643.07313099999999</v>
      </c>
      <c r="B1230" s="1">
        <f>DATE(2012,2,3) + TIME(1,45,18)</f>
        <v>40942.073125000003</v>
      </c>
      <c r="C1230">
        <v>90</v>
      </c>
      <c r="D1230">
        <v>79.490982056000007</v>
      </c>
      <c r="E1230">
        <v>60</v>
      </c>
      <c r="F1230">
        <v>59.955089569000002</v>
      </c>
      <c r="G1230">
        <v>1298.9466553</v>
      </c>
      <c r="H1230">
        <v>1286.0775146000001</v>
      </c>
      <c r="I1230">
        <v>1388.6960449000001</v>
      </c>
      <c r="J1230">
        <v>1371.6289062000001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645.19171800000004</v>
      </c>
      <c r="B1231" s="1">
        <f>DATE(2012,2,5) + TIME(4,36,4)</f>
        <v>40944.191712962966</v>
      </c>
      <c r="C1231">
        <v>90</v>
      </c>
      <c r="D1231">
        <v>79.312225342000005</v>
      </c>
      <c r="E1231">
        <v>60</v>
      </c>
      <c r="F1231">
        <v>59.955173492</v>
      </c>
      <c r="G1231">
        <v>1298.7128906</v>
      </c>
      <c r="H1231">
        <v>1285.7561035000001</v>
      </c>
      <c r="I1231">
        <v>1388.6505127</v>
      </c>
      <c r="J1231">
        <v>1371.5900879000001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647.336996</v>
      </c>
      <c r="B1232" s="1">
        <f>DATE(2012,2,7) + TIME(8,5,16)</f>
        <v>40946.33699074074</v>
      </c>
      <c r="C1232">
        <v>90</v>
      </c>
      <c r="D1232">
        <v>79.128730774000005</v>
      </c>
      <c r="E1232">
        <v>60</v>
      </c>
      <c r="F1232">
        <v>59.955257416000002</v>
      </c>
      <c r="G1232">
        <v>1298.4714355000001</v>
      </c>
      <c r="H1232">
        <v>1285.4234618999999</v>
      </c>
      <c r="I1232">
        <v>1388.6048584</v>
      </c>
      <c r="J1232">
        <v>1371.5510254000001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649.52007200000003</v>
      </c>
      <c r="B1233" s="1">
        <f>DATE(2012,2,9) + TIME(12,28,54)</f>
        <v>40948.520069444443</v>
      </c>
      <c r="C1233">
        <v>90</v>
      </c>
      <c r="D1233">
        <v>78.940338135000005</v>
      </c>
      <c r="E1233">
        <v>60</v>
      </c>
      <c r="F1233">
        <v>59.955345154</v>
      </c>
      <c r="G1233">
        <v>1298.2236327999999</v>
      </c>
      <c r="H1233">
        <v>1285.0810547000001</v>
      </c>
      <c r="I1233">
        <v>1388.5593262</v>
      </c>
      <c r="J1233">
        <v>1371.5120850000001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651.74430500000005</v>
      </c>
      <c r="B1234" s="1">
        <f>DATE(2012,2,11) + TIME(17,51,47)</f>
        <v>40950.744293981479</v>
      </c>
      <c r="C1234">
        <v>90</v>
      </c>
      <c r="D1234">
        <v>78.746162415000001</v>
      </c>
      <c r="E1234">
        <v>60</v>
      </c>
      <c r="F1234">
        <v>59.955432891999997</v>
      </c>
      <c r="G1234">
        <v>1297.9682617000001</v>
      </c>
      <c r="H1234">
        <v>1284.7276611</v>
      </c>
      <c r="I1234">
        <v>1388.5137939000001</v>
      </c>
      <c r="J1234">
        <v>1371.4731445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653.99651300000005</v>
      </c>
      <c r="B1235" s="1">
        <f>DATE(2012,2,13) + TIME(23,54,58)</f>
        <v>40952.996504629627</v>
      </c>
      <c r="C1235">
        <v>90</v>
      </c>
      <c r="D1235">
        <v>78.545745850000003</v>
      </c>
      <c r="E1235">
        <v>60</v>
      </c>
      <c r="F1235">
        <v>59.955520630000002</v>
      </c>
      <c r="G1235">
        <v>1297.7052002</v>
      </c>
      <c r="H1235">
        <v>1284.3626709</v>
      </c>
      <c r="I1235">
        <v>1388.4682617000001</v>
      </c>
      <c r="J1235">
        <v>1371.434082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656.27967100000001</v>
      </c>
      <c r="B1236" s="1">
        <f>DATE(2012,2,16) + TIME(6,42,43)</f>
        <v>40955.279664351852</v>
      </c>
      <c r="C1236">
        <v>90</v>
      </c>
      <c r="D1236">
        <v>78.339103699000006</v>
      </c>
      <c r="E1236">
        <v>60</v>
      </c>
      <c r="F1236">
        <v>59.955612183</v>
      </c>
      <c r="G1236">
        <v>1297.4355469</v>
      </c>
      <c r="H1236">
        <v>1283.9874268000001</v>
      </c>
      <c r="I1236">
        <v>1388.4227295000001</v>
      </c>
      <c r="J1236">
        <v>1371.3950195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658.59616300000005</v>
      </c>
      <c r="B1237" s="1">
        <f>DATE(2012,2,18) + TIME(14,18,28)</f>
        <v>40957.59615740741</v>
      </c>
      <c r="C1237">
        <v>90</v>
      </c>
      <c r="D1237">
        <v>78.125640868999994</v>
      </c>
      <c r="E1237">
        <v>60</v>
      </c>
      <c r="F1237">
        <v>59.955699920999997</v>
      </c>
      <c r="G1237">
        <v>1297.1589355000001</v>
      </c>
      <c r="H1237">
        <v>1283.6016846</v>
      </c>
      <c r="I1237">
        <v>1388.3773193</v>
      </c>
      <c r="J1237">
        <v>1371.3560791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660.93690200000003</v>
      </c>
      <c r="B1238" s="1">
        <f>DATE(2012,2,20) + TIME(22,29,8)</f>
        <v>40959.936898148146</v>
      </c>
      <c r="C1238">
        <v>90</v>
      </c>
      <c r="D1238">
        <v>77.904907226999995</v>
      </c>
      <c r="E1238">
        <v>60</v>
      </c>
      <c r="F1238">
        <v>59.955791472999998</v>
      </c>
      <c r="G1238">
        <v>1296.8753661999999</v>
      </c>
      <c r="H1238">
        <v>1283.2052002</v>
      </c>
      <c r="I1238">
        <v>1388.3320312000001</v>
      </c>
      <c r="J1238">
        <v>1371.3170166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663.29818899999998</v>
      </c>
      <c r="B1239" s="1">
        <f>DATE(2012,2,23) + TIME(7,9,23)</f>
        <v>40962.298182870371</v>
      </c>
      <c r="C1239">
        <v>90</v>
      </c>
      <c r="D1239">
        <v>77.676849364999995</v>
      </c>
      <c r="E1239">
        <v>60</v>
      </c>
      <c r="F1239">
        <v>59.955883026000002</v>
      </c>
      <c r="G1239">
        <v>1296.5858154</v>
      </c>
      <c r="H1239">
        <v>1282.7990723</v>
      </c>
      <c r="I1239">
        <v>1388.2868652</v>
      </c>
      <c r="J1239">
        <v>1371.2780762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665.68382899999995</v>
      </c>
      <c r="B1240" s="1">
        <f>DATE(2012,2,25) + TIME(16,24,42)</f>
        <v>40964.683819444443</v>
      </c>
      <c r="C1240">
        <v>90</v>
      </c>
      <c r="D1240">
        <v>77.441162109000004</v>
      </c>
      <c r="E1240">
        <v>60</v>
      </c>
      <c r="F1240">
        <v>59.955978393999999</v>
      </c>
      <c r="G1240">
        <v>1296.2905272999999</v>
      </c>
      <c r="H1240">
        <v>1282.3841553</v>
      </c>
      <c r="I1240">
        <v>1388.2418213000001</v>
      </c>
      <c r="J1240">
        <v>1371.2392577999999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668.097441</v>
      </c>
      <c r="B1241" s="1">
        <f>DATE(2012,2,28) + TIME(2,20,18)</f>
        <v>40967.097430555557</v>
      </c>
      <c r="C1241">
        <v>90</v>
      </c>
      <c r="D1241">
        <v>77.197036742999998</v>
      </c>
      <c r="E1241">
        <v>60</v>
      </c>
      <c r="F1241">
        <v>59.956069946</v>
      </c>
      <c r="G1241">
        <v>1295.9895019999999</v>
      </c>
      <c r="H1241">
        <v>1281.9598389</v>
      </c>
      <c r="I1241">
        <v>1388.1970214999999</v>
      </c>
      <c r="J1241">
        <v>1371.2005615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670</v>
      </c>
      <c r="B1242" s="1">
        <f>DATE(2012,3,1) + TIME(0,0,0)</f>
        <v>40969</v>
      </c>
      <c r="C1242">
        <v>90</v>
      </c>
      <c r="D1242">
        <v>76.959579468000001</v>
      </c>
      <c r="E1242">
        <v>60</v>
      </c>
      <c r="F1242">
        <v>59.956142426</v>
      </c>
      <c r="G1242">
        <v>1295.6851807</v>
      </c>
      <c r="H1242">
        <v>1281.5336914</v>
      </c>
      <c r="I1242">
        <v>1388.1518555</v>
      </c>
      <c r="J1242">
        <v>1371.1613769999999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672.44493</v>
      </c>
      <c r="B1243" s="1">
        <f>DATE(2012,3,3) + TIME(10,40,41)</f>
        <v>40971.444918981484</v>
      </c>
      <c r="C1243">
        <v>90</v>
      </c>
      <c r="D1243">
        <v>76.729293823000006</v>
      </c>
      <c r="E1243">
        <v>60</v>
      </c>
      <c r="F1243">
        <v>59.956237793</v>
      </c>
      <c r="G1243">
        <v>1295.4302978999999</v>
      </c>
      <c r="H1243">
        <v>1281.1647949000001</v>
      </c>
      <c r="I1243">
        <v>1388.1173096</v>
      </c>
      <c r="J1243">
        <v>1371.1314697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674.94985299999996</v>
      </c>
      <c r="B1244" s="1">
        <f>DATE(2012,3,5) + TIME(22,47,47)</f>
        <v>40973.949849537035</v>
      </c>
      <c r="C1244">
        <v>90</v>
      </c>
      <c r="D1244">
        <v>76.465827942000004</v>
      </c>
      <c r="E1244">
        <v>60</v>
      </c>
      <c r="F1244">
        <v>59.95633316</v>
      </c>
      <c r="G1244">
        <v>1295.1203613</v>
      </c>
      <c r="H1244">
        <v>1280.7272949000001</v>
      </c>
      <c r="I1244">
        <v>1388.072876</v>
      </c>
      <c r="J1244">
        <v>1371.0928954999999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677.48519899999997</v>
      </c>
      <c r="B1245" s="1">
        <f>DATE(2012,3,8) + TIME(11,38,41)</f>
        <v>40976.485196759262</v>
      </c>
      <c r="C1245">
        <v>90</v>
      </c>
      <c r="D1245">
        <v>76.183746338000006</v>
      </c>
      <c r="E1245">
        <v>60</v>
      </c>
      <c r="F1245">
        <v>59.956428528000004</v>
      </c>
      <c r="G1245">
        <v>1294.7965088000001</v>
      </c>
      <c r="H1245">
        <v>1280.2669678</v>
      </c>
      <c r="I1245">
        <v>1388.0279541</v>
      </c>
      <c r="J1245">
        <v>1371.0538329999999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680.05537400000003</v>
      </c>
      <c r="B1246" s="1">
        <f>DATE(2012,3,11) + TIME(1,19,44)</f>
        <v>40979.05537037037</v>
      </c>
      <c r="C1246">
        <v>90</v>
      </c>
      <c r="D1246">
        <v>75.887809752999999</v>
      </c>
      <c r="E1246">
        <v>60</v>
      </c>
      <c r="F1246">
        <v>59.956527710000003</v>
      </c>
      <c r="G1246">
        <v>1294.4650879000001</v>
      </c>
      <c r="H1246">
        <v>1279.7939452999999</v>
      </c>
      <c r="I1246">
        <v>1387.9827881000001</v>
      </c>
      <c r="J1246">
        <v>1371.0145264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682.66075999999998</v>
      </c>
      <c r="B1247" s="1">
        <f>DATE(2012,3,13) + TIME(15,51,29)</f>
        <v>40981.660752314812</v>
      </c>
      <c r="C1247">
        <v>90</v>
      </c>
      <c r="D1247">
        <v>75.578384399000001</v>
      </c>
      <c r="E1247">
        <v>60</v>
      </c>
      <c r="F1247">
        <v>59.956626892000003</v>
      </c>
      <c r="G1247">
        <v>1294.1268310999999</v>
      </c>
      <c r="H1247">
        <v>1279.3094481999999</v>
      </c>
      <c r="I1247">
        <v>1387.9375</v>
      </c>
      <c r="J1247">
        <v>1370.9749756000001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685.300927</v>
      </c>
      <c r="B1248" s="1">
        <f>DATE(2012,3,16) + TIME(7,13,20)</f>
        <v>40984.300925925927</v>
      </c>
      <c r="C1248">
        <v>90</v>
      </c>
      <c r="D1248">
        <v>75.255226135000001</v>
      </c>
      <c r="E1248">
        <v>60</v>
      </c>
      <c r="F1248">
        <v>59.956726074000002</v>
      </c>
      <c r="G1248">
        <v>1293.7821045000001</v>
      </c>
      <c r="H1248">
        <v>1278.8142089999999</v>
      </c>
      <c r="I1248">
        <v>1387.8920897999999</v>
      </c>
      <c r="J1248">
        <v>1370.9353027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687.97515499999997</v>
      </c>
      <c r="B1249" s="1">
        <f>DATE(2012,3,18) + TIME(23,24,13)</f>
        <v>40986.97515046296</v>
      </c>
      <c r="C1249">
        <v>90</v>
      </c>
      <c r="D1249">
        <v>74.917472838999998</v>
      </c>
      <c r="E1249">
        <v>60</v>
      </c>
      <c r="F1249">
        <v>59.956825256000002</v>
      </c>
      <c r="G1249">
        <v>1293.4311522999999</v>
      </c>
      <c r="H1249">
        <v>1278.3085937999999</v>
      </c>
      <c r="I1249">
        <v>1387.8463135</v>
      </c>
      <c r="J1249">
        <v>1370.8952637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690.68234199999995</v>
      </c>
      <c r="B1250" s="1">
        <f>DATE(2012,3,21) + TIME(16,22,34)</f>
        <v>40989.682337962964</v>
      </c>
      <c r="C1250">
        <v>90</v>
      </c>
      <c r="D1250">
        <v>74.564292907999999</v>
      </c>
      <c r="E1250">
        <v>60</v>
      </c>
      <c r="F1250">
        <v>59.956924438000001</v>
      </c>
      <c r="G1250">
        <v>1293.0743408000001</v>
      </c>
      <c r="H1250">
        <v>1277.7927245999999</v>
      </c>
      <c r="I1250">
        <v>1387.8004149999999</v>
      </c>
      <c r="J1250">
        <v>1370.8549805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693.42770499999995</v>
      </c>
      <c r="B1251" s="1">
        <f>DATE(2012,3,24) + TIME(10,15,53)</f>
        <v>40992.42769675926</v>
      </c>
      <c r="C1251">
        <v>90</v>
      </c>
      <c r="D1251">
        <v>74.195426940999994</v>
      </c>
      <c r="E1251">
        <v>60</v>
      </c>
      <c r="F1251">
        <v>59.957027435000001</v>
      </c>
      <c r="G1251">
        <v>1292.7120361</v>
      </c>
      <c r="H1251">
        <v>1277.2673339999999</v>
      </c>
      <c r="I1251">
        <v>1387.7542725000001</v>
      </c>
      <c r="J1251">
        <v>1370.8144531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696.21695899999997</v>
      </c>
      <c r="B1252" s="1">
        <f>DATE(2012,3,27) + TIME(5,12,25)</f>
        <v>40995.216956018521</v>
      </c>
      <c r="C1252">
        <v>90</v>
      </c>
      <c r="D1252">
        <v>73.809997558999996</v>
      </c>
      <c r="E1252">
        <v>60</v>
      </c>
      <c r="F1252">
        <v>59.957130432</v>
      </c>
      <c r="G1252">
        <v>1292.3438721</v>
      </c>
      <c r="H1252">
        <v>1276.7316894999999</v>
      </c>
      <c r="I1252">
        <v>1387.7077637</v>
      </c>
      <c r="J1252">
        <v>1370.7735596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699.051333</v>
      </c>
      <c r="B1253" s="1">
        <f>DATE(2012,3,30) + TIME(1,13,55)</f>
        <v>40998.05133101852</v>
      </c>
      <c r="C1253">
        <v>90</v>
      </c>
      <c r="D1253">
        <v>73.406799316000004</v>
      </c>
      <c r="E1253">
        <v>60</v>
      </c>
      <c r="F1253">
        <v>59.957233428999999</v>
      </c>
      <c r="G1253">
        <v>1291.9696045000001</v>
      </c>
      <c r="H1253">
        <v>1276.1853027</v>
      </c>
      <c r="I1253">
        <v>1387.6607666</v>
      </c>
      <c r="J1253">
        <v>1370.7320557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701</v>
      </c>
      <c r="B1254" s="1">
        <f>DATE(2012,4,1) + TIME(0,0,0)</f>
        <v>41000</v>
      </c>
      <c r="C1254">
        <v>90</v>
      </c>
      <c r="D1254">
        <v>73.021522521999998</v>
      </c>
      <c r="E1254">
        <v>60</v>
      </c>
      <c r="F1254">
        <v>59.957302093999999</v>
      </c>
      <c r="G1254">
        <v>1291.5939940999999</v>
      </c>
      <c r="H1254">
        <v>1275.6445312000001</v>
      </c>
      <c r="I1254">
        <v>1387.612793</v>
      </c>
      <c r="J1254">
        <v>1370.6896973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703.88635699999998</v>
      </c>
      <c r="B1255" s="1">
        <f>DATE(2012,4,3) + TIME(21,16,21)</f>
        <v>41002.886354166665</v>
      </c>
      <c r="C1255">
        <v>90</v>
      </c>
      <c r="D1255">
        <v>72.667778014999996</v>
      </c>
      <c r="E1255">
        <v>60</v>
      </c>
      <c r="F1255">
        <v>59.957412720000001</v>
      </c>
      <c r="G1255">
        <v>1291.3148193</v>
      </c>
      <c r="H1255">
        <v>1275.2177733999999</v>
      </c>
      <c r="I1255">
        <v>1387.5808105000001</v>
      </c>
      <c r="J1255">
        <v>1370.6612548999999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706.81894199999999</v>
      </c>
      <c r="B1256" s="1">
        <f>DATE(2012,4,6) + TIME(19,39,16)</f>
        <v>41005.818935185183</v>
      </c>
      <c r="C1256">
        <v>90</v>
      </c>
      <c r="D1256">
        <v>72.233489989999995</v>
      </c>
      <c r="E1256">
        <v>60</v>
      </c>
      <c r="F1256">
        <v>59.957515717</v>
      </c>
      <c r="G1256">
        <v>1290.9387207</v>
      </c>
      <c r="H1256">
        <v>1274.6695557</v>
      </c>
      <c r="I1256">
        <v>1387.5327147999999</v>
      </c>
      <c r="J1256">
        <v>1370.6186522999999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709.78714000000002</v>
      </c>
      <c r="B1257" s="1">
        <f>DATE(2012,4,9) + TIME(18,53,28)</f>
        <v>41008.787129629629</v>
      </c>
      <c r="C1257">
        <v>90</v>
      </c>
      <c r="D1257">
        <v>71.767921447999996</v>
      </c>
      <c r="E1257">
        <v>60</v>
      </c>
      <c r="F1257">
        <v>59.957622528000002</v>
      </c>
      <c r="G1257">
        <v>1290.5495605000001</v>
      </c>
      <c r="H1257">
        <v>1274.0954589999999</v>
      </c>
      <c r="I1257">
        <v>1387.4841309000001</v>
      </c>
      <c r="J1257">
        <v>1370.5754394999999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712.78177100000005</v>
      </c>
      <c r="B1258" s="1">
        <f>DATE(2012,4,12) + TIME(18,45,45)</f>
        <v>41011.781770833331</v>
      </c>
      <c r="C1258">
        <v>90</v>
      </c>
      <c r="D1258">
        <v>71.282852172999995</v>
      </c>
      <c r="E1258">
        <v>60</v>
      </c>
      <c r="F1258">
        <v>59.95772934</v>
      </c>
      <c r="G1258">
        <v>1290.1553954999999</v>
      </c>
      <c r="H1258">
        <v>1273.5109863</v>
      </c>
      <c r="I1258">
        <v>1387.4350586</v>
      </c>
      <c r="J1258">
        <v>1370.5317382999999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715.80891799999995</v>
      </c>
      <c r="B1259" s="1">
        <f>DATE(2012,4,15) + TIME(19,24,50)</f>
        <v>41014.808912037035</v>
      </c>
      <c r="C1259">
        <v>90</v>
      </c>
      <c r="D1259">
        <v>70.781845093000001</v>
      </c>
      <c r="E1259">
        <v>60</v>
      </c>
      <c r="F1259">
        <v>59.957839966000002</v>
      </c>
      <c r="G1259">
        <v>1289.7592772999999</v>
      </c>
      <c r="H1259">
        <v>1272.9211425999999</v>
      </c>
      <c r="I1259">
        <v>1387.3857422000001</v>
      </c>
      <c r="J1259">
        <v>1370.4876709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717.34587799999997</v>
      </c>
      <c r="B1260" s="1">
        <f>DATE(2012,4,17) + TIME(8,18,3)</f>
        <v>41016.345868055556</v>
      </c>
      <c r="C1260">
        <v>90</v>
      </c>
      <c r="D1260">
        <v>70.344238281000003</v>
      </c>
      <c r="E1260">
        <v>60</v>
      </c>
      <c r="F1260">
        <v>59.957885742000002</v>
      </c>
      <c r="G1260">
        <v>1289.3691406</v>
      </c>
      <c r="H1260">
        <v>1272.3592529</v>
      </c>
      <c r="I1260">
        <v>1387.3353271000001</v>
      </c>
      <c r="J1260">
        <v>1370.4425048999999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719.33711900000003</v>
      </c>
      <c r="B1261" s="1">
        <f>DATE(2012,4,19) + TIME(8,5,27)</f>
        <v>41018.337118055555</v>
      </c>
      <c r="C1261">
        <v>90</v>
      </c>
      <c r="D1261">
        <v>69.998428344999994</v>
      </c>
      <c r="E1261">
        <v>60</v>
      </c>
      <c r="F1261">
        <v>59.957958220999998</v>
      </c>
      <c r="G1261">
        <v>1289.1459961</v>
      </c>
      <c r="H1261">
        <v>1272.0008545000001</v>
      </c>
      <c r="I1261">
        <v>1387.3103027</v>
      </c>
      <c r="J1261">
        <v>1370.4200439000001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722.39132300000006</v>
      </c>
      <c r="B1262" s="1">
        <f>DATE(2012,4,22) + TIME(9,23,30)</f>
        <v>41021.391319444447</v>
      </c>
      <c r="C1262">
        <v>90</v>
      </c>
      <c r="D1262">
        <v>69.613418578999998</v>
      </c>
      <c r="E1262">
        <v>60</v>
      </c>
      <c r="F1262">
        <v>59.958068848000003</v>
      </c>
      <c r="G1262">
        <v>1288.8836670000001</v>
      </c>
      <c r="H1262">
        <v>1271.5972899999999</v>
      </c>
      <c r="I1262">
        <v>1387.2780762</v>
      </c>
      <c r="J1262">
        <v>1370.3911132999999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725.47093099999995</v>
      </c>
      <c r="B1263" s="1">
        <f>DATE(2012,4,25) + TIME(11,18,8)</f>
        <v>41024.470925925925</v>
      </c>
      <c r="C1263">
        <v>90</v>
      </c>
      <c r="D1263">
        <v>69.097091675000001</v>
      </c>
      <c r="E1263">
        <v>60</v>
      </c>
      <c r="F1263">
        <v>59.958179473999998</v>
      </c>
      <c r="G1263">
        <v>1288.5051269999999</v>
      </c>
      <c r="H1263">
        <v>1271.0367432</v>
      </c>
      <c r="I1263">
        <v>1387.2279053</v>
      </c>
      <c r="J1263">
        <v>1370.3460693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728.59931200000005</v>
      </c>
      <c r="B1264" s="1">
        <f>DATE(2012,4,28) + TIME(14,23,0)</f>
        <v>41027.599305555559</v>
      </c>
      <c r="C1264">
        <v>90</v>
      </c>
      <c r="D1264">
        <v>68.545310974000003</v>
      </c>
      <c r="E1264">
        <v>60</v>
      </c>
      <c r="F1264">
        <v>59.958286285</v>
      </c>
      <c r="G1264">
        <v>1288.1156006000001</v>
      </c>
      <c r="H1264">
        <v>1270.4490966999999</v>
      </c>
      <c r="I1264">
        <v>1387.1773682</v>
      </c>
      <c r="J1264">
        <v>1370.3005370999999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731</v>
      </c>
      <c r="B1265" s="1">
        <f>DATE(2012,5,1) + TIME(0,0,0)</f>
        <v>41030</v>
      </c>
      <c r="C1265">
        <v>90</v>
      </c>
      <c r="D1265">
        <v>68.005409240999995</v>
      </c>
      <c r="E1265">
        <v>60</v>
      </c>
      <c r="F1265">
        <v>59.958366394000002</v>
      </c>
      <c r="G1265">
        <v>1287.7249756000001</v>
      </c>
      <c r="H1265">
        <v>1269.8649902</v>
      </c>
      <c r="I1265">
        <v>1387.1259766000001</v>
      </c>
      <c r="J1265">
        <v>1370.2540283000001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731.000001</v>
      </c>
      <c r="B1266" s="1">
        <f>DATE(2012,5,1) + TIME(0,0,0)</f>
        <v>41030</v>
      </c>
      <c r="C1266">
        <v>90</v>
      </c>
      <c r="D1266">
        <v>68.005592346</v>
      </c>
      <c r="E1266">
        <v>60</v>
      </c>
      <c r="F1266">
        <v>59.958251953000001</v>
      </c>
      <c r="G1266">
        <v>1307.2381591999999</v>
      </c>
      <c r="H1266">
        <v>1288.8028564000001</v>
      </c>
      <c r="I1266">
        <v>1369.3803711</v>
      </c>
      <c r="J1266">
        <v>1353.3598632999999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731.00000399999999</v>
      </c>
      <c r="B1267" s="1">
        <f>DATE(2012,5,1) + TIME(0,0,0)</f>
        <v>41030</v>
      </c>
      <c r="C1267">
        <v>90</v>
      </c>
      <c r="D1267">
        <v>68.006065368999998</v>
      </c>
      <c r="E1267">
        <v>60</v>
      </c>
      <c r="F1267">
        <v>59.957950592000003</v>
      </c>
      <c r="G1267">
        <v>1309.6361084</v>
      </c>
      <c r="H1267">
        <v>1291.5607910000001</v>
      </c>
      <c r="I1267">
        <v>1367.0915527</v>
      </c>
      <c r="J1267">
        <v>1351.0700684000001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731.00001299999997</v>
      </c>
      <c r="B1268" s="1">
        <f>DATE(2012,5,1) + TIME(0,0,1)</f>
        <v>41030.000011574077</v>
      </c>
      <c r="C1268">
        <v>90</v>
      </c>
      <c r="D1268">
        <v>68.007125853999995</v>
      </c>
      <c r="E1268">
        <v>60</v>
      </c>
      <c r="F1268">
        <v>59.957298279</v>
      </c>
      <c r="G1268">
        <v>1314.8782959</v>
      </c>
      <c r="H1268">
        <v>1297.28125</v>
      </c>
      <c r="I1268">
        <v>1362.1396483999999</v>
      </c>
      <c r="J1268">
        <v>1346.1171875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731.00004000000001</v>
      </c>
      <c r="B1269" s="1">
        <f>DATE(2012,5,1) + TIME(0,0,3)</f>
        <v>41030.000034722223</v>
      </c>
      <c r="C1269">
        <v>90</v>
      </c>
      <c r="D1269">
        <v>68.009170531999999</v>
      </c>
      <c r="E1269">
        <v>60</v>
      </c>
      <c r="F1269">
        <v>59.956256865999997</v>
      </c>
      <c r="G1269">
        <v>1323.4013672000001</v>
      </c>
      <c r="H1269">
        <v>1306.0015868999999</v>
      </c>
      <c r="I1269">
        <v>1354.2614745999999</v>
      </c>
      <c r="J1269">
        <v>1338.2408447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731.00012100000004</v>
      </c>
      <c r="B1270" s="1">
        <f>DATE(2012,5,1) + TIME(0,0,10)</f>
        <v>41030.000115740739</v>
      </c>
      <c r="C1270">
        <v>90</v>
      </c>
      <c r="D1270">
        <v>68.013145446999999</v>
      </c>
      <c r="E1270">
        <v>60</v>
      </c>
      <c r="F1270">
        <v>59.955024719000001</v>
      </c>
      <c r="G1270">
        <v>1333.6979980000001</v>
      </c>
      <c r="H1270">
        <v>1316.1486815999999</v>
      </c>
      <c r="I1270">
        <v>1344.9931641000001</v>
      </c>
      <c r="J1270">
        <v>1328.9794922000001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731.00036399999999</v>
      </c>
      <c r="B1271" s="1">
        <f>DATE(2012,5,1) + TIME(0,0,31)</f>
        <v>41030.000358796293</v>
      </c>
      <c r="C1271">
        <v>90</v>
      </c>
      <c r="D1271">
        <v>68.022438049000002</v>
      </c>
      <c r="E1271">
        <v>60</v>
      </c>
      <c r="F1271">
        <v>59.953739165999998</v>
      </c>
      <c r="G1271">
        <v>1344.4134521000001</v>
      </c>
      <c r="H1271">
        <v>1326.6523437999999</v>
      </c>
      <c r="I1271">
        <v>1335.5533447</v>
      </c>
      <c r="J1271">
        <v>1319.5517577999999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731.00109299999997</v>
      </c>
      <c r="B1272" s="1">
        <f>DATE(2012,5,1) + TIME(0,1,34)</f>
        <v>41030.001087962963</v>
      </c>
      <c r="C1272">
        <v>90</v>
      </c>
      <c r="D1272">
        <v>68.047790527000004</v>
      </c>
      <c r="E1272">
        <v>60</v>
      </c>
      <c r="F1272">
        <v>59.952354431000003</v>
      </c>
      <c r="G1272">
        <v>1355.4689940999999</v>
      </c>
      <c r="H1272">
        <v>1337.4837646000001</v>
      </c>
      <c r="I1272">
        <v>1326.0928954999999</v>
      </c>
      <c r="J1272">
        <v>1310.0997314000001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731.00328000000002</v>
      </c>
      <c r="B1273" s="1">
        <f>DATE(2012,5,1) + TIME(0,4,43)</f>
        <v>41030.003275462965</v>
      </c>
      <c r="C1273">
        <v>90</v>
      </c>
      <c r="D1273">
        <v>68.121765136999997</v>
      </c>
      <c r="E1273">
        <v>60</v>
      </c>
      <c r="F1273">
        <v>59.950656891000001</v>
      </c>
      <c r="G1273">
        <v>1367.1921387</v>
      </c>
      <c r="H1273">
        <v>1348.9680175999999</v>
      </c>
      <c r="I1273">
        <v>1316.3709716999999</v>
      </c>
      <c r="J1273">
        <v>1300.3371582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731.00984100000005</v>
      </c>
      <c r="B1274" s="1">
        <f>DATE(2012,5,1) + TIME(0,14,10)</f>
        <v>41030.009837962964</v>
      </c>
      <c r="C1274">
        <v>90</v>
      </c>
      <c r="D1274">
        <v>68.341125488000003</v>
      </c>
      <c r="E1274">
        <v>60</v>
      </c>
      <c r="F1274">
        <v>59.948089600000003</v>
      </c>
      <c r="G1274">
        <v>1378.9505615</v>
      </c>
      <c r="H1274">
        <v>1360.5512695</v>
      </c>
      <c r="I1274">
        <v>1306.4389647999999</v>
      </c>
      <c r="J1274">
        <v>1290.3145752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731.02952400000004</v>
      </c>
      <c r="B1275" s="1">
        <f>DATE(2012,5,1) + TIME(0,42,30)</f>
        <v>41030.029513888891</v>
      </c>
      <c r="C1275">
        <v>90</v>
      </c>
      <c r="D1275">
        <v>68.980834960999999</v>
      </c>
      <c r="E1275">
        <v>60</v>
      </c>
      <c r="F1275">
        <v>59.943283080999997</v>
      </c>
      <c r="G1275">
        <v>1388.2061768000001</v>
      </c>
      <c r="H1275">
        <v>1369.840332</v>
      </c>
      <c r="I1275">
        <v>1298.2969971</v>
      </c>
      <c r="J1275">
        <v>1282.1043701000001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731.05139399999996</v>
      </c>
      <c r="B1276" s="1">
        <f>DATE(2012,5,1) + TIME(1,14,0)</f>
        <v>41030.051388888889</v>
      </c>
      <c r="C1276">
        <v>90</v>
      </c>
      <c r="D1276">
        <v>69.669158936000002</v>
      </c>
      <c r="E1276">
        <v>60</v>
      </c>
      <c r="F1276">
        <v>59.938770294000001</v>
      </c>
      <c r="G1276">
        <v>1391.6025391000001</v>
      </c>
      <c r="H1276">
        <v>1373.3660889</v>
      </c>
      <c r="I1276">
        <v>1295.3856201000001</v>
      </c>
      <c r="J1276">
        <v>1279.1723632999999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731.07373800000005</v>
      </c>
      <c r="B1277" s="1">
        <f>DATE(2012,5,1) + TIME(1,46,10)</f>
        <v>41030.07372685185</v>
      </c>
      <c r="C1277">
        <v>90</v>
      </c>
      <c r="D1277">
        <v>70.349113463999998</v>
      </c>
      <c r="E1277">
        <v>60</v>
      </c>
      <c r="F1277">
        <v>59.934444427000003</v>
      </c>
      <c r="G1277">
        <v>1392.8685303</v>
      </c>
      <c r="H1277">
        <v>1374.7814940999999</v>
      </c>
      <c r="I1277">
        <v>1294.3867187999999</v>
      </c>
      <c r="J1277">
        <v>1278.1665039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731.09652300000005</v>
      </c>
      <c r="B1278" s="1">
        <f>DATE(2012,5,1) + TIME(2,18,59)</f>
        <v>41030.096516203703</v>
      </c>
      <c r="C1278">
        <v>90</v>
      </c>
      <c r="D1278">
        <v>71.018974303999997</v>
      </c>
      <c r="E1278">
        <v>60</v>
      </c>
      <c r="F1278">
        <v>59.930164337000001</v>
      </c>
      <c r="G1278">
        <v>1393.3115233999999</v>
      </c>
      <c r="H1278">
        <v>1375.3767089999999</v>
      </c>
      <c r="I1278">
        <v>1294.0697021000001</v>
      </c>
      <c r="J1278">
        <v>1277.8468018000001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731.11970099999996</v>
      </c>
      <c r="B1279" s="1">
        <f>DATE(2012,5,1) + TIME(2,52,22)</f>
        <v>41030.119699074072</v>
      </c>
      <c r="C1279">
        <v>90</v>
      </c>
      <c r="D1279">
        <v>71.677078246999997</v>
      </c>
      <c r="E1279">
        <v>60</v>
      </c>
      <c r="F1279">
        <v>59.925872802999997</v>
      </c>
      <c r="G1279">
        <v>1393.4045410000001</v>
      </c>
      <c r="H1279">
        <v>1375.6188964999999</v>
      </c>
      <c r="I1279">
        <v>1293.994751</v>
      </c>
      <c r="J1279">
        <v>1277.7706298999999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731.143281</v>
      </c>
      <c r="B1280" s="1">
        <f>DATE(2012,5,1) + TIME(3,26,19)</f>
        <v>41030.143275462964</v>
      </c>
      <c r="C1280">
        <v>90</v>
      </c>
      <c r="D1280">
        <v>72.323265075999998</v>
      </c>
      <c r="E1280">
        <v>60</v>
      </c>
      <c r="F1280">
        <v>59.92155838</v>
      </c>
      <c r="G1280">
        <v>1393.3402100000001</v>
      </c>
      <c r="H1280">
        <v>1375.6994629000001</v>
      </c>
      <c r="I1280">
        <v>1293.9981689000001</v>
      </c>
      <c r="J1280">
        <v>1277.7734375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731.16727400000002</v>
      </c>
      <c r="B1281" s="1">
        <f>DATE(2012,5,1) + TIME(4,0,52)</f>
        <v>41030.167268518519</v>
      </c>
      <c r="C1281">
        <v>90</v>
      </c>
      <c r="D1281">
        <v>72.957496642999999</v>
      </c>
      <c r="E1281">
        <v>60</v>
      </c>
      <c r="F1281">
        <v>59.917201996000003</v>
      </c>
      <c r="G1281">
        <v>1393.203125</v>
      </c>
      <c r="H1281">
        <v>1375.7025146000001</v>
      </c>
      <c r="I1281">
        <v>1294.020874</v>
      </c>
      <c r="J1281">
        <v>1277.7956543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731.19170399999996</v>
      </c>
      <c r="B1282" s="1">
        <f>DATE(2012,5,1) + TIME(4,36,3)</f>
        <v>41030.191701388889</v>
      </c>
      <c r="C1282">
        <v>90</v>
      </c>
      <c r="D1282">
        <v>73.579940796000002</v>
      </c>
      <c r="E1282">
        <v>60</v>
      </c>
      <c r="F1282">
        <v>59.912807465</v>
      </c>
      <c r="G1282">
        <v>1393.0324707</v>
      </c>
      <c r="H1282">
        <v>1375.6671143000001</v>
      </c>
      <c r="I1282">
        <v>1294.0432129000001</v>
      </c>
      <c r="J1282">
        <v>1277.8176269999999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731.216588</v>
      </c>
      <c r="B1283" s="1">
        <f>DATE(2012,5,1) + TIME(5,11,53)</f>
        <v>41030.216585648152</v>
      </c>
      <c r="C1283">
        <v>90</v>
      </c>
      <c r="D1283">
        <v>74.190696716000005</v>
      </c>
      <c r="E1283">
        <v>60</v>
      </c>
      <c r="F1283">
        <v>59.908367157000001</v>
      </c>
      <c r="G1283">
        <v>1392.847168</v>
      </c>
      <c r="H1283">
        <v>1375.6124268000001</v>
      </c>
      <c r="I1283">
        <v>1294.0603027</v>
      </c>
      <c r="J1283">
        <v>1277.8344727000001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731.24194899999998</v>
      </c>
      <c r="B1284" s="1">
        <f>DATE(2012,5,1) + TIME(5,48,24)</f>
        <v>41030.241944444446</v>
      </c>
      <c r="C1284">
        <v>90</v>
      </c>
      <c r="D1284">
        <v>74.789840698000006</v>
      </c>
      <c r="E1284">
        <v>60</v>
      </c>
      <c r="F1284">
        <v>59.903877258000001</v>
      </c>
      <c r="G1284">
        <v>1392.6569824000001</v>
      </c>
      <c r="H1284">
        <v>1375.5480957</v>
      </c>
      <c r="I1284">
        <v>1294.0721435999999</v>
      </c>
      <c r="J1284">
        <v>1277.8459473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731.26777100000004</v>
      </c>
      <c r="B1285" s="1">
        <f>DATE(2012,5,1) + TIME(6,25,35)</f>
        <v>41030.267766203702</v>
      </c>
      <c r="C1285">
        <v>90</v>
      </c>
      <c r="D1285">
        <v>75.376335143999995</v>
      </c>
      <c r="E1285">
        <v>60</v>
      </c>
      <c r="F1285">
        <v>59.899345398000001</v>
      </c>
      <c r="G1285">
        <v>1392.4671631000001</v>
      </c>
      <c r="H1285">
        <v>1375.4794922000001</v>
      </c>
      <c r="I1285">
        <v>1294.0798339999999</v>
      </c>
      <c r="J1285">
        <v>1277.8533935999999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731.29407300000003</v>
      </c>
      <c r="B1286" s="1">
        <f>DATE(2012,5,1) + TIME(7,3,27)</f>
        <v>41030.294062499997</v>
      </c>
      <c r="C1286">
        <v>90</v>
      </c>
      <c r="D1286">
        <v>75.950393676999994</v>
      </c>
      <c r="E1286">
        <v>60</v>
      </c>
      <c r="F1286">
        <v>59.894767760999997</v>
      </c>
      <c r="G1286">
        <v>1392.2801514</v>
      </c>
      <c r="H1286">
        <v>1375.4093018000001</v>
      </c>
      <c r="I1286">
        <v>1294.0848389</v>
      </c>
      <c r="J1286">
        <v>1277.8580322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731.320877</v>
      </c>
      <c r="B1287" s="1">
        <f>DATE(2012,5,1) + TIME(7,42,3)</f>
        <v>41030.320868055554</v>
      </c>
      <c r="C1287">
        <v>90</v>
      </c>
      <c r="D1287">
        <v>76.512260436999995</v>
      </c>
      <c r="E1287">
        <v>60</v>
      </c>
      <c r="F1287">
        <v>59.890140533</v>
      </c>
      <c r="G1287">
        <v>1392.0974120999999</v>
      </c>
      <c r="H1287">
        <v>1375.3389893000001</v>
      </c>
      <c r="I1287">
        <v>1294.0877685999999</v>
      </c>
      <c r="J1287">
        <v>1277.8607178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731.34820999999999</v>
      </c>
      <c r="B1288" s="1">
        <f>DATE(2012,5,1) + TIME(8,21,25)</f>
        <v>41030.34820601852</v>
      </c>
      <c r="C1288">
        <v>90</v>
      </c>
      <c r="D1288">
        <v>77.062049865999995</v>
      </c>
      <c r="E1288">
        <v>60</v>
      </c>
      <c r="F1288">
        <v>59.885459900000001</v>
      </c>
      <c r="G1288">
        <v>1391.9195557</v>
      </c>
      <c r="H1288">
        <v>1375.2695312000001</v>
      </c>
      <c r="I1288">
        <v>1294.0895995999999</v>
      </c>
      <c r="J1288">
        <v>1277.8621826000001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731.37609499999996</v>
      </c>
      <c r="B1289" s="1">
        <f>DATE(2012,5,1) + TIME(9,1,34)</f>
        <v>41030.376087962963</v>
      </c>
      <c r="C1289">
        <v>90</v>
      </c>
      <c r="D1289">
        <v>77.599861145000006</v>
      </c>
      <c r="E1289">
        <v>60</v>
      </c>
      <c r="F1289">
        <v>59.880725861000002</v>
      </c>
      <c r="G1289">
        <v>1391.7468262</v>
      </c>
      <c r="H1289">
        <v>1375.2012939000001</v>
      </c>
      <c r="I1289">
        <v>1294.0906981999999</v>
      </c>
      <c r="J1289">
        <v>1277.8629149999999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731.40455999999995</v>
      </c>
      <c r="B1290" s="1">
        <f>DATE(2012,5,1) + TIME(9,42,33)</f>
        <v>41030.404548611114</v>
      </c>
      <c r="C1290">
        <v>90</v>
      </c>
      <c r="D1290">
        <v>78.125778198000006</v>
      </c>
      <c r="E1290">
        <v>60</v>
      </c>
      <c r="F1290">
        <v>59.875934600999997</v>
      </c>
      <c r="G1290">
        <v>1391.5793457</v>
      </c>
      <c r="H1290">
        <v>1375.1343993999999</v>
      </c>
      <c r="I1290">
        <v>1294.0913086</v>
      </c>
      <c r="J1290">
        <v>1277.8631591999999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731.43363399999998</v>
      </c>
      <c r="B1291" s="1">
        <f>DATE(2012,5,1) + TIME(10,24,26)</f>
        <v>41030.433634259258</v>
      </c>
      <c r="C1291">
        <v>90</v>
      </c>
      <c r="D1291">
        <v>78.639884949000006</v>
      </c>
      <c r="E1291">
        <v>60</v>
      </c>
      <c r="F1291">
        <v>59.871082305999998</v>
      </c>
      <c r="G1291">
        <v>1391.4169922000001</v>
      </c>
      <c r="H1291">
        <v>1375.0692139</v>
      </c>
      <c r="I1291">
        <v>1294.0915527</v>
      </c>
      <c r="J1291">
        <v>1277.8630370999999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731.46334899999999</v>
      </c>
      <c r="B1292" s="1">
        <f>DATE(2012,5,1) + TIME(11,7,13)</f>
        <v>41030.46334490741</v>
      </c>
      <c r="C1292">
        <v>90</v>
      </c>
      <c r="D1292">
        <v>79.142250060999999</v>
      </c>
      <c r="E1292">
        <v>60</v>
      </c>
      <c r="F1292">
        <v>59.866161345999998</v>
      </c>
      <c r="G1292">
        <v>1391.2596435999999</v>
      </c>
      <c r="H1292">
        <v>1375.0053711</v>
      </c>
      <c r="I1292">
        <v>1294.0916748</v>
      </c>
      <c r="J1292">
        <v>1277.862793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731.49373700000001</v>
      </c>
      <c r="B1293" s="1">
        <f>DATE(2012,5,1) + TIME(11,50,58)</f>
        <v>41030.493726851855</v>
      </c>
      <c r="C1293">
        <v>90</v>
      </c>
      <c r="D1293">
        <v>79.632942200000002</v>
      </c>
      <c r="E1293">
        <v>60</v>
      </c>
      <c r="F1293">
        <v>59.861175537000001</v>
      </c>
      <c r="G1293">
        <v>1391.1071777</v>
      </c>
      <c r="H1293">
        <v>1374.9431152</v>
      </c>
      <c r="I1293">
        <v>1294.0915527</v>
      </c>
      <c r="J1293">
        <v>1277.8623047000001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731.52483700000005</v>
      </c>
      <c r="B1294" s="1">
        <f>DATE(2012,5,1) + TIME(12,35,45)</f>
        <v>41030.524826388886</v>
      </c>
      <c r="C1294">
        <v>90</v>
      </c>
      <c r="D1294">
        <v>80.112045288000004</v>
      </c>
      <c r="E1294">
        <v>60</v>
      </c>
      <c r="F1294">
        <v>59.856113434000001</v>
      </c>
      <c r="G1294">
        <v>1390.9592285000001</v>
      </c>
      <c r="H1294">
        <v>1374.8822021000001</v>
      </c>
      <c r="I1294">
        <v>1294.0914307</v>
      </c>
      <c r="J1294">
        <v>1277.8616943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731.55669499999999</v>
      </c>
      <c r="B1295" s="1">
        <f>DATE(2012,5,1) + TIME(13,21,38)</f>
        <v>41030.556689814817</v>
      </c>
      <c r="C1295">
        <v>90</v>
      </c>
      <c r="D1295">
        <v>80.579643250000004</v>
      </c>
      <c r="E1295">
        <v>60</v>
      </c>
      <c r="F1295">
        <v>59.850971221999998</v>
      </c>
      <c r="G1295">
        <v>1390.8155518000001</v>
      </c>
      <c r="H1295">
        <v>1374.8226318</v>
      </c>
      <c r="I1295">
        <v>1294.0911865</v>
      </c>
      <c r="J1295">
        <v>1277.8610839999999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731.58934199999999</v>
      </c>
      <c r="B1296" s="1">
        <f>DATE(2012,5,1) + TIME(14,8,39)</f>
        <v>41030.58934027778</v>
      </c>
      <c r="C1296">
        <v>90</v>
      </c>
      <c r="D1296">
        <v>81.035713196000003</v>
      </c>
      <c r="E1296">
        <v>60</v>
      </c>
      <c r="F1296">
        <v>59.845748901</v>
      </c>
      <c r="G1296">
        <v>1390.6762695</v>
      </c>
      <c r="H1296">
        <v>1374.7642822</v>
      </c>
      <c r="I1296">
        <v>1294.0908202999999</v>
      </c>
      <c r="J1296">
        <v>1277.8603516000001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731.62282100000004</v>
      </c>
      <c r="B1297" s="1">
        <f>DATE(2012,5,1) + TIME(14,56,51)</f>
        <v>41030.622812499998</v>
      </c>
      <c r="C1297">
        <v>90</v>
      </c>
      <c r="D1297">
        <v>81.480293274000005</v>
      </c>
      <c r="E1297">
        <v>60</v>
      </c>
      <c r="F1297">
        <v>59.840435028000002</v>
      </c>
      <c r="G1297">
        <v>1390.5408935999999</v>
      </c>
      <c r="H1297">
        <v>1374.7071533000001</v>
      </c>
      <c r="I1297">
        <v>1294.0904541</v>
      </c>
      <c r="J1297">
        <v>1277.8596190999999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731.65717900000004</v>
      </c>
      <c r="B1298" s="1">
        <f>DATE(2012,5,1) + TIME(15,46,20)</f>
        <v>41030.657175925924</v>
      </c>
      <c r="C1298">
        <v>90</v>
      </c>
      <c r="D1298">
        <v>81.913414001000007</v>
      </c>
      <c r="E1298">
        <v>60</v>
      </c>
      <c r="F1298">
        <v>59.835029601999999</v>
      </c>
      <c r="G1298">
        <v>1390.4094238</v>
      </c>
      <c r="H1298">
        <v>1374.651001</v>
      </c>
      <c r="I1298">
        <v>1294.0899658000001</v>
      </c>
      <c r="J1298">
        <v>1277.8587646000001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731.69246799999996</v>
      </c>
      <c r="B1299" s="1">
        <f>DATE(2012,5,1) + TIME(16,37,9)</f>
        <v>41030.692465277774</v>
      </c>
      <c r="C1299">
        <v>90</v>
      </c>
      <c r="D1299">
        <v>82.335098267000006</v>
      </c>
      <c r="E1299">
        <v>60</v>
      </c>
      <c r="F1299">
        <v>59.829524994000003</v>
      </c>
      <c r="G1299">
        <v>1390.2814940999999</v>
      </c>
      <c r="H1299">
        <v>1374.5958252</v>
      </c>
      <c r="I1299">
        <v>1294.0894774999999</v>
      </c>
      <c r="J1299">
        <v>1277.8579102000001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731.72874200000001</v>
      </c>
      <c r="B1300" s="1">
        <f>DATE(2012,5,1) + TIME(17,29,23)</f>
        <v>41030.728738425925</v>
      </c>
      <c r="C1300">
        <v>90</v>
      </c>
      <c r="D1300">
        <v>82.745361328000001</v>
      </c>
      <c r="E1300">
        <v>60</v>
      </c>
      <c r="F1300">
        <v>59.823917389000002</v>
      </c>
      <c r="G1300">
        <v>1390.1571045000001</v>
      </c>
      <c r="H1300">
        <v>1374.541626</v>
      </c>
      <c r="I1300">
        <v>1294.0889893000001</v>
      </c>
      <c r="J1300">
        <v>1277.8570557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731.76606200000003</v>
      </c>
      <c r="B1301" s="1">
        <f>DATE(2012,5,1) + TIME(18,23,7)</f>
        <v>41030.766053240739</v>
      </c>
      <c r="C1301">
        <v>90</v>
      </c>
      <c r="D1301">
        <v>83.144233704000001</v>
      </c>
      <c r="E1301">
        <v>60</v>
      </c>
      <c r="F1301">
        <v>59.818195342999999</v>
      </c>
      <c r="G1301">
        <v>1390.0358887</v>
      </c>
      <c r="H1301">
        <v>1374.4880370999999</v>
      </c>
      <c r="I1301">
        <v>1294.0883789</v>
      </c>
      <c r="J1301">
        <v>1277.855957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731.80449199999998</v>
      </c>
      <c r="B1302" s="1">
        <f>DATE(2012,5,1) + TIME(19,18,28)</f>
        <v>41030.804490740738</v>
      </c>
      <c r="C1302">
        <v>90</v>
      </c>
      <c r="D1302">
        <v>83.531707764000004</v>
      </c>
      <c r="E1302">
        <v>60</v>
      </c>
      <c r="F1302">
        <v>59.812351227000001</v>
      </c>
      <c r="G1302">
        <v>1389.9177245999999</v>
      </c>
      <c r="H1302">
        <v>1374.4353027</v>
      </c>
      <c r="I1302">
        <v>1294.0877685999999</v>
      </c>
      <c r="J1302">
        <v>1277.8549805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731.84410200000002</v>
      </c>
      <c r="B1303" s="1">
        <f>DATE(2012,5,1) + TIME(20,15,30)</f>
        <v>41030.844097222223</v>
      </c>
      <c r="C1303">
        <v>90</v>
      </c>
      <c r="D1303">
        <v>83.907806395999998</v>
      </c>
      <c r="E1303">
        <v>60</v>
      </c>
      <c r="F1303">
        <v>59.806385040000002</v>
      </c>
      <c r="G1303">
        <v>1389.8024902</v>
      </c>
      <c r="H1303">
        <v>1374.3830565999999</v>
      </c>
      <c r="I1303">
        <v>1294.0871582</v>
      </c>
      <c r="J1303">
        <v>1277.8538818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731.88497099999995</v>
      </c>
      <c r="B1304" s="1">
        <f>DATE(2012,5,1) + TIME(21,14,21)</f>
        <v>41030.884965277779</v>
      </c>
      <c r="C1304">
        <v>90</v>
      </c>
      <c r="D1304">
        <v>84.272529602000006</v>
      </c>
      <c r="E1304">
        <v>60</v>
      </c>
      <c r="F1304">
        <v>59.800277710000003</v>
      </c>
      <c r="G1304">
        <v>1389.6899414</v>
      </c>
      <c r="H1304">
        <v>1374.3312988</v>
      </c>
      <c r="I1304">
        <v>1294.0864257999999</v>
      </c>
      <c r="J1304">
        <v>1277.8527832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731.92721300000005</v>
      </c>
      <c r="B1305" s="1">
        <f>DATE(2012,5,1) + TIME(22,15,11)</f>
        <v>41030.927210648151</v>
      </c>
      <c r="C1305">
        <v>90</v>
      </c>
      <c r="D1305">
        <v>84.626106261999993</v>
      </c>
      <c r="E1305">
        <v>60</v>
      </c>
      <c r="F1305">
        <v>59.794021606000001</v>
      </c>
      <c r="G1305">
        <v>1389.5799560999999</v>
      </c>
      <c r="H1305">
        <v>1374.2800293</v>
      </c>
      <c r="I1305">
        <v>1294.0856934000001</v>
      </c>
      <c r="J1305">
        <v>1277.8515625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731.97089500000004</v>
      </c>
      <c r="B1306" s="1">
        <f>DATE(2012,5,1) + TIME(23,18,5)</f>
        <v>41030.970891203702</v>
      </c>
      <c r="C1306">
        <v>90</v>
      </c>
      <c r="D1306">
        <v>84.968292235999996</v>
      </c>
      <c r="E1306">
        <v>60</v>
      </c>
      <c r="F1306">
        <v>59.787609099999997</v>
      </c>
      <c r="G1306">
        <v>1389.4722899999999</v>
      </c>
      <c r="H1306">
        <v>1374.2290039</v>
      </c>
      <c r="I1306">
        <v>1294.0849608999999</v>
      </c>
      <c r="J1306">
        <v>1277.8503418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732.01612</v>
      </c>
      <c r="B1307" s="1">
        <f>DATE(2012,5,2) + TIME(0,23,12)</f>
        <v>41031.016111111108</v>
      </c>
      <c r="C1307">
        <v>90</v>
      </c>
      <c r="D1307">
        <v>85.298866271999998</v>
      </c>
      <c r="E1307">
        <v>60</v>
      </c>
      <c r="F1307">
        <v>59.781028747999997</v>
      </c>
      <c r="G1307">
        <v>1389.3669434000001</v>
      </c>
      <c r="H1307">
        <v>1374.1782227000001</v>
      </c>
      <c r="I1307">
        <v>1294.0841064000001</v>
      </c>
      <c r="J1307">
        <v>1277.848999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732.06300099999999</v>
      </c>
      <c r="B1308" s="1">
        <f>DATE(2012,5,2) + TIME(1,30,43)</f>
        <v>41031.062997685185</v>
      </c>
      <c r="C1308">
        <v>90</v>
      </c>
      <c r="D1308">
        <v>85.618003845000004</v>
      </c>
      <c r="E1308">
        <v>60</v>
      </c>
      <c r="F1308">
        <v>59.774269103999998</v>
      </c>
      <c r="G1308">
        <v>1389.2636719</v>
      </c>
      <c r="H1308">
        <v>1374.1275635</v>
      </c>
      <c r="I1308">
        <v>1294.0832519999999</v>
      </c>
      <c r="J1308">
        <v>1277.8476562000001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732.11166600000001</v>
      </c>
      <c r="B1309" s="1">
        <f>DATE(2012,5,2) + TIME(2,40,47)</f>
        <v>41031.111655092594</v>
      </c>
      <c r="C1309">
        <v>90</v>
      </c>
      <c r="D1309">
        <v>85.925727843999994</v>
      </c>
      <c r="E1309">
        <v>60</v>
      </c>
      <c r="F1309">
        <v>59.767311096</v>
      </c>
      <c r="G1309">
        <v>1389.1622314000001</v>
      </c>
      <c r="H1309">
        <v>1374.0770264</v>
      </c>
      <c r="I1309">
        <v>1294.0822754000001</v>
      </c>
      <c r="J1309">
        <v>1277.8461914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732.16224499999998</v>
      </c>
      <c r="B1310" s="1">
        <f>DATE(2012,5,2) + TIME(3,53,37)</f>
        <v>41031.162233796298</v>
      </c>
      <c r="C1310">
        <v>90</v>
      </c>
      <c r="D1310">
        <v>86.221954346000004</v>
      </c>
      <c r="E1310">
        <v>60</v>
      </c>
      <c r="F1310">
        <v>59.760147095000001</v>
      </c>
      <c r="G1310">
        <v>1389.0627440999999</v>
      </c>
      <c r="H1310">
        <v>1374.0263672000001</v>
      </c>
      <c r="I1310">
        <v>1294.0812988</v>
      </c>
      <c r="J1310">
        <v>1277.8447266000001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732.21490200000005</v>
      </c>
      <c r="B1311" s="1">
        <f>DATE(2012,5,2) + TIME(5,9,27)</f>
        <v>41031.214895833335</v>
      </c>
      <c r="C1311">
        <v>90</v>
      </c>
      <c r="D1311">
        <v>86.506729125999996</v>
      </c>
      <c r="E1311">
        <v>60</v>
      </c>
      <c r="F1311">
        <v>59.752754211000003</v>
      </c>
      <c r="G1311">
        <v>1388.9647216999999</v>
      </c>
      <c r="H1311">
        <v>1373.9755858999999</v>
      </c>
      <c r="I1311">
        <v>1294.0803223</v>
      </c>
      <c r="J1311">
        <v>1277.8432617000001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732.26981599999999</v>
      </c>
      <c r="B1312" s="1">
        <f>DATE(2012,5,2) + TIME(6,28,32)</f>
        <v>41031.269814814812</v>
      </c>
      <c r="C1312">
        <v>90</v>
      </c>
      <c r="D1312">
        <v>86.780052185000002</v>
      </c>
      <c r="E1312">
        <v>60</v>
      </c>
      <c r="F1312">
        <v>59.745113373000002</v>
      </c>
      <c r="G1312">
        <v>1388.8680420000001</v>
      </c>
      <c r="H1312">
        <v>1373.9245605000001</v>
      </c>
      <c r="I1312">
        <v>1294.0792236</v>
      </c>
      <c r="J1312">
        <v>1277.8415527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732.32718799999998</v>
      </c>
      <c r="B1313" s="1">
        <f>DATE(2012,5,2) + TIME(7,51,9)</f>
        <v>41031.327187499999</v>
      </c>
      <c r="C1313">
        <v>90</v>
      </c>
      <c r="D1313">
        <v>87.041900635000005</v>
      </c>
      <c r="E1313">
        <v>60</v>
      </c>
      <c r="F1313">
        <v>59.737209319999998</v>
      </c>
      <c r="G1313">
        <v>1388.7727050999999</v>
      </c>
      <c r="H1313">
        <v>1373.8732910000001</v>
      </c>
      <c r="I1313">
        <v>1294.078125</v>
      </c>
      <c r="J1313">
        <v>1277.8399658000001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732.38724300000001</v>
      </c>
      <c r="B1314" s="1">
        <f>DATE(2012,5,2) + TIME(9,17,37)</f>
        <v>41031.387233796297</v>
      </c>
      <c r="C1314">
        <v>90</v>
      </c>
      <c r="D1314">
        <v>87.292274474999999</v>
      </c>
      <c r="E1314">
        <v>60</v>
      </c>
      <c r="F1314">
        <v>59.729007721000002</v>
      </c>
      <c r="G1314">
        <v>1388.6785889</v>
      </c>
      <c r="H1314">
        <v>1373.8214111</v>
      </c>
      <c r="I1314">
        <v>1294.0769043</v>
      </c>
      <c r="J1314">
        <v>1277.8381348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732.45026900000005</v>
      </c>
      <c r="B1315" s="1">
        <f>DATE(2012,5,2) + TIME(10,48,23)</f>
        <v>41031.450266203705</v>
      </c>
      <c r="C1315">
        <v>90</v>
      </c>
      <c r="D1315">
        <v>87.531242371000005</v>
      </c>
      <c r="E1315">
        <v>60</v>
      </c>
      <c r="F1315">
        <v>59.720481872999997</v>
      </c>
      <c r="G1315">
        <v>1388.5852050999999</v>
      </c>
      <c r="H1315">
        <v>1373.769043</v>
      </c>
      <c r="I1315">
        <v>1294.0756836</v>
      </c>
      <c r="J1315">
        <v>1277.8363036999999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732.51655900000003</v>
      </c>
      <c r="B1316" s="1">
        <f>DATE(2012,5,2) + TIME(12,23,50)</f>
        <v>41031.516550925924</v>
      </c>
      <c r="C1316">
        <v>90</v>
      </c>
      <c r="D1316">
        <v>87.758766174000002</v>
      </c>
      <c r="E1316">
        <v>60</v>
      </c>
      <c r="F1316">
        <v>59.711605071999998</v>
      </c>
      <c r="G1316">
        <v>1388.4925536999999</v>
      </c>
      <c r="H1316">
        <v>1373.7159423999999</v>
      </c>
      <c r="I1316">
        <v>1294.0744629000001</v>
      </c>
      <c r="J1316">
        <v>1277.8344727000001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732.58644100000004</v>
      </c>
      <c r="B1317" s="1">
        <f>DATE(2012,5,2) + TIME(14,4,28)</f>
        <v>41031.586435185185</v>
      </c>
      <c r="C1317">
        <v>90</v>
      </c>
      <c r="D1317">
        <v>87.974777222</v>
      </c>
      <c r="E1317">
        <v>60</v>
      </c>
      <c r="F1317">
        <v>59.702331543</v>
      </c>
      <c r="G1317">
        <v>1388.4003906</v>
      </c>
      <c r="H1317">
        <v>1373.6619873</v>
      </c>
      <c r="I1317">
        <v>1294.0729980000001</v>
      </c>
      <c r="J1317">
        <v>1277.8323975000001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732.66031499999997</v>
      </c>
      <c r="B1318" s="1">
        <f>DATE(2012,5,2) + TIME(15,50,51)</f>
        <v>41031.660312499997</v>
      </c>
      <c r="C1318">
        <v>90</v>
      </c>
      <c r="D1318">
        <v>88.179260253999999</v>
      </c>
      <c r="E1318">
        <v>60</v>
      </c>
      <c r="F1318">
        <v>59.692630768000001</v>
      </c>
      <c r="G1318">
        <v>1388.3085937999999</v>
      </c>
      <c r="H1318">
        <v>1373.6070557</v>
      </c>
      <c r="I1318">
        <v>1294.0715332</v>
      </c>
      <c r="J1318">
        <v>1277.8303223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732.738653</v>
      </c>
      <c r="B1319" s="1">
        <f>DATE(2012,5,2) + TIME(17,43,39)</f>
        <v>41031.738645833335</v>
      </c>
      <c r="C1319">
        <v>90</v>
      </c>
      <c r="D1319">
        <v>88.372215271000002</v>
      </c>
      <c r="E1319">
        <v>60</v>
      </c>
      <c r="F1319">
        <v>59.682445526000002</v>
      </c>
      <c r="G1319">
        <v>1388.2167969</v>
      </c>
      <c r="H1319">
        <v>1373.5509033000001</v>
      </c>
      <c r="I1319">
        <v>1294.0700684000001</v>
      </c>
      <c r="J1319">
        <v>1277.8280029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732.82202800000005</v>
      </c>
      <c r="B1320" s="1">
        <f>DATE(2012,5,2) + TIME(19,43,43)</f>
        <v>41031.822025462963</v>
      </c>
      <c r="C1320">
        <v>90</v>
      </c>
      <c r="D1320">
        <v>88.553680420000006</v>
      </c>
      <c r="E1320">
        <v>60</v>
      </c>
      <c r="F1320">
        <v>59.671722412000001</v>
      </c>
      <c r="G1320">
        <v>1388.1248779</v>
      </c>
      <c r="H1320">
        <v>1373.4935303</v>
      </c>
      <c r="I1320">
        <v>1294.0683594</v>
      </c>
      <c r="J1320">
        <v>1277.8256836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732.91113800000005</v>
      </c>
      <c r="B1321" s="1">
        <f>DATE(2012,5,2) + TIME(21,52,2)</f>
        <v>41031.911134259259</v>
      </c>
      <c r="C1321">
        <v>90</v>
      </c>
      <c r="D1321">
        <v>88.723701477000006</v>
      </c>
      <c r="E1321">
        <v>60</v>
      </c>
      <c r="F1321">
        <v>59.660381317000002</v>
      </c>
      <c r="G1321">
        <v>1388.0324707</v>
      </c>
      <c r="H1321">
        <v>1373.4344481999999</v>
      </c>
      <c r="I1321">
        <v>1294.0666504000001</v>
      </c>
      <c r="J1321">
        <v>1277.8231201000001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733.00578599999994</v>
      </c>
      <c r="B1322" s="1">
        <f>DATE(2012,5,3) + TIME(0,8,19)</f>
        <v>41032.00577546296</v>
      </c>
      <c r="C1322">
        <v>90</v>
      </c>
      <c r="D1322">
        <v>88.880828856999997</v>
      </c>
      <c r="E1322">
        <v>60</v>
      </c>
      <c r="F1322">
        <v>59.648460387999997</v>
      </c>
      <c r="G1322">
        <v>1387.9400635</v>
      </c>
      <c r="H1322">
        <v>1373.3740233999999</v>
      </c>
      <c r="I1322">
        <v>1294.0646973</v>
      </c>
      <c r="J1322">
        <v>1277.8205565999999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733.10060199999998</v>
      </c>
      <c r="B1323" s="1">
        <f>DATE(2012,5,3) + TIME(2,24,51)</f>
        <v>41032.100590277776</v>
      </c>
      <c r="C1323">
        <v>90</v>
      </c>
      <c r="D1323">
        <v>89.017753600999995</v>
      </c>
      <c r="E1323">
        <v>60</v>
      </c>
      <c r="F1323">
        <v>59.636566162000001</v>
      </c>
      <c r="G1323">
        <v>1387.8514404</v>
      </c>
      <c r="H1323">
        <v>1373.3143310999999</v>
      </c>
      <c r="I1323">
        <v>1294.0626221</v>
      </c>
      <c r="J1323">
        <v>1277.817749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733.19595200000003</v>
      </c>
      <c r="B1324" s="1">
        <f>DATE(2012,5,3) + TIME(4,42,10)</f>
        <v>41032.195949074077</v>
      </c>
      <c r="C1324">
        <v>90</v>
      </c>
      <c r="D1324">
        <v>89.137474060000002</v>
      </c>
      <c r="E1324">
        <v>60</v>
      </c>
      <c r="F1324">
        <v>59.624652863000001</v>
      </c>
      <c r="G1324">
        <v>1387.7668457</v>
      </c>
      <c r="H1324">
        <v>1373.2563477000001</v>
      </c>
      <c r="I1324">
        <v>1294.0605469</v>
      </c>
      <c r="J1324">
        <v>1277.8148193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733.29204700000003</v>
      </c>
      <c r="B1325" s="1">
        <f>DATE(2012,5,3) + TIME(7,0,32)</f>
        <v>41032.292037037034</v>
      </c>
      <c r="C1325">
        <v>90</v>
      </c>
      <c r="D1325">
        <v>89.242263793999996</v>
      </c>
      <c r="E1325">
        <v>60</v>
      </c>
      <c r="F1325">
        <v>59.612701416</v>
      </c>
      <c r="G1325">
        <v>1387.6856689000001</v>
      </c>
      <c r="H1325">
        <v>1373.199707</v>
      </c>
      <c r="I1325">
        <v>1294.0584716999999</v>
      </c>
      <c r="J1325">
        <v>1277.8120117000001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733.38901699999997</v>
      </c>
      <c r="B1326" s="1">
        <f>DATE(2012,5,3) + TIME(9,20,11)</f>
        <v>41032.389016203706</v>
      </c>
      <c r="C1326">
        <v>90</v>
      </c>
      <c r="D1326">
        <v>89.334022521999998</v>
      </c>
      <c r="E1326">
        <v>60</v>
      </c>
      <c r="F1326">
        <v>59.600692748999997</v>
      </c>
      <c r="G1326">
        <v>1387.6075439000001</v>
      </c>
      <c r="H1326">
        <v>1373.1444091999999</v>
      </c>
      <c r="I1326">
        <v>1294.0563964999999</v>
      </c>
      <c r="J1326">
        <v>1277.8092041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733.48702600000001</v>
      </c>
      <c r="B1327" s="1">
        <f>DATE(2012,5,3) + TIME(11,41,19)</f>
        <v>41032.487025462964</v>
      </c>
      <c r="C1327">
        <v>90</v>
      </c>
      <c r="D1327">
        <v>89.414382935000006</v>
      </c>
      <c r="E1327">
        <v>60</v>
      </c>
      <c r="F1327">
        <v>59.588611602999997</v>
      </c>
      <c r="G1327">
        <v>1387.5319824000001</v>
      </c>
      <c r="H1327">
        <v>1373.0902100000001</v>
      </c>
      <c r="I1327">
        <v>1294.0541992000001</v>
      </c>
      <c r="J1327">
        <v>1277.8062743999999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733.58623799999998</v>
      </c>
      <c r="B1328" s="1">
        <f>DATE(2012,5,3) + TIME(14,4,10)</f>
        <v>41032.586226851854</v>
      </c>
      <c r="C1328">
        <v>90</v>
      </c>
      <c r="D1328">
        <v>89.484779357999997</v>
      </c>
      <c r="E1328">
        <v>60</v>
      </c>
      <c r="F1328">
        <v>59.576438904</v>
      </c>
      <c r="G1328">
        <v>1387.4587402</v>
      </c>
      <c r="H1328">
        <v>1373.0371094</v>
      </c>
      <c r="I1328">
        <v>1294.0520019999999</v>
      </c>
      <c r="J1328">
        <v>1277.8033447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733.68681900000001</v>
      </c>
      <c r="B1329" s="1">
        <f>DATE(2012,5,3) + TIME(16,29,1)</f>
        <v>41032.68681712963</v>
      </c>
      <c r="C1329">
        <v>90</v>
      </c>
      <c r="D1329">
        <v>89.546424865999995</v>
      </c>
      <c r="E1329">
        <v>60</v>
      </c>
      <c r="F1329">
        <v>59.564159392999997</v>
      </c>
      <c r="G1329">
        <v>1387.3874512</v>
      </c>
      <c r="H1329">
        <v>1372.9847411999999</v>
      </c>
      <c r="I1329">
        <v>1294.0498047000001</v>
      </c>
      <c r="J1329">
        <v>1277.8004149999999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733.78893700000003</v>
      </c>
      <c r="B1330" s="1">
        <f>DATE(2012,5,3) + TIME(18,56,4)</f>
        <v>41032.788935185185</v>
      </c>
      <c r="C1330">
        <v>90</v>
      </c>
      <c r="D1330">
        <v>89.600395203000005</v>
      </c>
      <c r="E1330">
        <v>60</v>
      </c>
      <c r="F1330">
        <v>59.551746368000003</v>
      </c>
      <c r="G1330">
        <v>1387.3181152</v>
      </c>
      <c r="H1330">
        <v>1372.9332274999999</v>
      </c>
      <c r="I1330">
        <v>1294.0476074000001</v>
      </c>
      <c r="J1330">
        <v>1277.7973632999999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733.89276500000005</v>
      </c>
      <c r="B1331" s="1">
        <f>DATE(2012,5,3) + TIME(21,25,34)</f>
        <v>41032.892754629633</v>
      </c>
      <c r="C1331">
        <v>90</v>
      </c>
      <c r="D1331">
        <v>89.647613524999997</v>
      </c>
      <c r="E1331">
        <v>60</v>
      </c>
      <c r="F1331">
        <v>59.539184570000003</v>
      </c>
      <c r="G1331">
        <v>1387.2502440999999</v>
      </c>
      <c r="H1331">
        <v>1372.8824463000001</v>
      </c>
      <c r="I1331">
        <v>1294.0452881000001</v>
      </c>
      <c r="J1331">
        <v>1277.7943115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733.99848399999996</v>
      </c>
      <c r="B1332" s="1">
        <f>DATE(2012,5,3) + TIME(23,57,48)</f>
        <v>41032.998472222222</v>
      </c>
      <c r="C1332">
        <v>90</v>
      </c>
      <c r="D1332">
        <v>89.688896178999997</v>
      </c>
      <c r="E1332">
        <v>60</v>
      </c>
      <c r="F1332">
        <v>59.526458740000002</v>
      </c>
      <c r="G1332">
        <v>1387.1837158000001</v>
      </c>
      <c r="H1332">
        <v>1372.8322754000001</v>
      </c>
      <c r="I1332">
        <v>1294.0429687999999</v>
      </c>
      <c r="J1332">
        <v>1277.7911377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734.10628199999996</v>
      </c>
      <c r="B1333" s="1">
        <f>DATE(2012,5,4) + TIME(2,33,2)</f>
        <v>41033.106273148151</v>
      </c>
      <c r="C1333">
        <v>90</v>
      </c>
      <c r="D1333">
        <v>89.724945067999997</v>
      </c>
      <c r="E1333">
        <v>60</v>
      </c>
      <c r="F1333">
        <v>59.513545989999997</v>
      </c>
      <c r="G1333">
        <v>1387.1184082</v>
      </c>
      <c r="H1333">
        <v>1372.7824707</v>
      </c>
      <c r="I1333">
        <v>1294.0405272999999</v>
      </c>
      <c r="J1333">
        <v>1277.7879639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734.21591699999999</v>
      </c>
      <c r="B1334" s="1">
        <f>DATE(2012,5,4) + TIME(5,10,55)</f>
        <v>41033.215914351851</v>
      </c>
      <c r="C1334">
        <v>90</v>
      </c>
      <c r="D1334">
        <v>89.756271362000007</v>
      </c>
      <c r="E1334">
        <v>60</v>
      </c>
      <c r="F1334">
        <v>59.500469207999998</v>
      </c>
      <c r="G1334">
        <v>1387.0541992000001</v>
      </c>
      <c r="H1334">
        <v>1372.7332764</v>
      </c>
      <c r="I1334">
        <v>1294.0380858999999</v>
      </c>
      <c r="J1334">
        <v>1277.7847899999999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734.32753100000002</v>
      </c>
      <c r="B1335" s="1">
        <f>DATE(2012,5,4) + TIME(7,51,38)</f>
        <v>41033.327523148146</v>
      </c>
      <c r="C1335">
        <v>90</v>
      </c>
      <c r="D1335">
        <v>89.783470154</v>
      </c>
      <c r="E1335">
        <v>60</v>
      </c>
      <c r="F1335">
        <v>59.487216949</v>
      </c>
      <c r="G1335">
        <v>1386.9910889</v>
      </c>
      <c r="H1335">
        <v>1372.6845702999999</v>
      </c>
      <c r="I1335">
        <v>1294.0356445</v>
      </c>
      <c r="J1335">
        <v>1277.7814940999999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734.44130600000005</v>
      </c>
      <c r="B1336" s="1">
        <f>DATE(2012,5,4) + TIME(10,35,28)</f>
        <v>41033.441296296296</v>
      </c>
      <c r="C1336">
        <v>90</v>
      </c>
      <c r="D1336">
        <v>89.807060242000006</v>
      </c>
      <c r="E1336">
        <v>60</v>
      </c>
      <c r="F1336">
        <v>59.473773956000002</v>
      </c>
      <c r="G1336">
        <v>1386.9288329999999</v>
      </c>
      <c r="H1336">
        <v>1372.6364745999999</v>
      </c>
      <c r="I1336">
        <v>1294.0330810999999</v>
      </c>
      <c r="J1336">
        <v>1277.7780762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734.55743199999995</v>
      </c>
      <c r="B1337" s="1">
        <f>DATE(2012,5,4) + TIME(13,22,42)</f>
        <v>41033.557430555556</v>
      </c>
      <c r="C1337">
        <v>90</v>
      </c>
      <c r="D1337">
        <v>89.827484131000006</v>
      </c>
      <c r="E1337">
        <v>60</v>
      </c>
      <c r="F1337">
        <v>59.460109711000001</v>
      </c>
      <c r="G1337">
        <v>1386.8675536999999</v>
      </c>
      <c r="H1337">
        <v>1372.5886230000001</v>
      </c>
      <c r="I1337">
        <v>1294.0305175999999</v>
      </c>
      <c r="J1337">
        <v>1277.7746582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734.67611299999999</v>
      </c>
      <c r="B1338" s="1">
        <f>DATE(2012,5,4) + TIME(16,13,36)</f>
        <v>41033.676111111112</v>
      </c>
      <c r="C1338">
        <v>90</v>
      </c>
      <c r="D1338">
        <v>89.845138550000001</v>
      </c>
      <c r="E1338">
        <v>60</v>
      </c>
      <c r="F1338">
        <v>59.446216583000002</v>
      </c>
      <c r="G1338">
        <v>1386.8068848</v>
      </c>
      <c r="H1338">
        <v>1372.5412598</v>
      </c>
      <c r="I1338">
        <v>1294.027832</v>
      </c>
      <c r="J1338">
        <v>1277.7711182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734.79759200000001</v>
      </c>
      <c r="B1339" s="1">
        <f>DATE(2012,5,4) + TIME(19,8,31)</f>
        <v>41033.797581018516</v>
      </c>
      <c r="C1339">
        <v>90</v>
      </c>
      <c r="D1339">
        <v>89.860389709000003</v>
      </c>
      <c r="E1339">
        <v>60</v>
      </c>
      <c r="F1339">
        <v>59.432060241999999</v>
      </c>
      <c r="G1339">
        <v>1386.7467041</v>
      </c>
      <c r="H1339">
        <v>1372.4940185999999</v>
      </c>
      <c r="I1339">
        <v>1294.0251464999999</v>
      </c>
      <c r="J1339">
        <v>1277.7675781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734.92214000000001</v>
      </c>
      <c r="B1340" s="1">
        <f>DATE(2012,5,4) + TIME(22,7,52)</f>
        <v>41033.922129629631</v>
      </c>
      <c r="C1340">
        <v>90</v>
      </c>
      <c r="D1340">
        <v>89.873527526999993</v>
      </c>
      <c r="E1340">
        <v>60</v>
      </c>
      <c r="F1340">
        <v>59.417617798000002</v>
      </c>
      <c r="G1340">
        <v>1386.6870117000001</v>
      </c>
      <c r="H1340">
        <v>1372.4470214999999</v>
      </c>
      <c r="I1340">
        <v>1294.0223389</v>
      </c>
      <c r="J1340">
        <v>1277.7637939000001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735.04995699999995</v>
      </c>
      <c r="B1341" s="1">
        <f>DATE(2012,5,5) + TIME(1,11,56)</f>
        <v>41034.049953703703</v>
      </c>
      <c r="C1341">
        <v>90</v>
      </c>
      <c r="D1341">
        <v>89.884826660000002</v>
      </c>
      <c r="E1341">
        <v>60</v>
      </c>
      <c r="F1341">
        <v>59.402866363999998</v>
      </c>
      <c r="G1341">
        <v>1386.6276855000001</v>
      </c>
      <c r="H1341">
        <v>1372.4001464999999</v>
      </c>
      <c r="I1341">
        <v>1294.0195312000001</v>
      </c>
      <c r="J1341">
        <v>1277.7600098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735.18132600000001</v>
      </c>
      <c r="B1342" s="1">
        <f>DATE(2012,5,5) + TIME(4,21,6)</f>
        <v>41034.181319444448</v>
      </c>
      <c r="C1342">
        <v>90</v>
      </c>
      <c r="D1342">
        <v>89.894523621000005</v>
      </c>
      <c r="E1342">
        <v>60</v>
      </c>
      <c r="F1342">
        <v>59.387786865000002</v>
      </c>
      <c r="G1342">
        <v>1386.5684814000001</v>
      </c>
      <c r="H1342">
        <v>1372.3533935999999</v>
      </c>
      <c r="I1342">
        <v>1294.0166016000001</v>
      </c>
      <c r="J1342">
        <v>1277.7562256000001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735.316551</v>
      </c>
      <c r="B1343" s="1">
        <f>DATE(2012,5,5) + TIME(7,35,50)</f>
        <v>41034.316550925927</v>
      </c>
      <c r="C1343">
        <v>90</v>
      </c>
      <c r="D1343">
        <v>89.902824401999993</v>
      </c>
      <c r="E1343">
        <v>60</v>
      </c>
      <c r="F1343">
        <v>59.372337340999998</v>
      </c>
      <c r="G1343">
        <v>1386.5093993999999</v>
      </c>
      <c r="H1343">
        <v>1372.3066406</v>
      </c>
      <c r="I1343">
        <v>1294.0135498</v>
      </c>
      <c r="J1343">
        <v>1277.7521973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735.45596499999999</v>
      </c>
      <c r="B1344" s="1">
        <f>DATE(2012,5,5) + TIME(10,56,35)</f>
        <v>41034.455960648149</v>
      </c>
      <c r="C1344">
        <v>90</v>
      </c>
      <c r="D1344">
        <v>89.909904479999994</v>
      </c>
      <c r="E1344">
        <v>60</v>
      </c>
      <c r="F1344">
        <v>59.356494904000002</v>
      </c>
      <c r="G1344">
        <v>1386.4504394999999</v>
      </c>
      <c r="H1344">
        <v>1372.2597656</v>
      </c>
      <c r="I1344">
        <v>1294.010376</v>
      </c>
      <c r="J1344">
        <v>1277.7480469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735.599917</v>
      </c>
      <c r="B1345" s="1">
        <f>DATE(2012,5,5) + TIME(14,23,52)</f>
        <v>41034.599907407406</v>
      </c>
      <c r="C1345">
        <v>90</v>
      </c>
      <c r="D1345">
        <v>89.915939331000004</v>
      </c>
      <c r="E1345">
        <v>60</v>
      </c>
      <c r="F1345">
        <v>59.340225220000001</v>
      </c>
      <c r="G1345">
        <v>1386.3912353999999</v>
      </c>
      <c r="H1345">
        <v>1372.2128906</v>
      </c>
      <c r="I1345">
        <v>1294.0072021000001</v>
      </c>
      <c r="J1345">
        <v>1277.7437743999999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735.74884899999995</v>
      </c>
      <c r="B1346" s="1">
        <f>DATE(2012,5,5) + TIME(17,58,20)</f>
        <v>41034.748842592591</v>
      </c>
      <c r="C1346">
        <v>90</v>
      </c>
      <c r="D1346">
        <v>89.921058654999996</v>
      </c>
      <c r="E1346">
        <v>60</v>
      </c>
      <c r="F1346">
        <v>59.323482513000002</v>
      </c>
      <c r="G1346">
        <v>1386.3319091999999</v>
      </c>
      <c r="H1346">
        <v>1372.1656493999999</v>
      </c>
      <c r="I1346">
        <v>1294.0039062000001</v>
      </c>
      <c r="J1346">
        <v>1277.7393798999999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735.90322400000002</v>
      </c>
      <c r="B1347" s="1">
        <f>DATE(2012,5,5) + TIME(21,40,38)</f>
        <v>41034.903217592589</v>
      </c>
      <c r="C1347">
        <v>90</v>
      </c>
      <c r="D1347">
        <v>89.925399780000006</v>
      </c>
      <c r="E1347">
        <v>60</v>
      </c>
      <c r="F1347">
        <v>59.306224823000001</v>
      </c>
      <c r="G1347">
        <v>1386.2720947</v>
      </c>
      <c r="H1347">
        <v>1372.1181641000001</v>
      </c>
      <c r="I1347">
        <v>1294.0003661999999</v>
      </c>
      <c r="J1347">
        <v>1277.7348632999999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736.06356500000004</v>
      </c>
      <c r="B1348" s="1">
        <f>DATE(2012,5,6) + TIME(1,31,32)</f>
        <v>41035.063564814816</v>
      </c>
      <c r="C1348">
        <v>90</v>
      </c>
      <c r="D1348">
        <v>89.929054260000001</v>
      </c>
      <c r="E1348">
        <v>60</v>
      </c>
      <c r="F1348">
        <v>59.288402556999998</v>
      </c>
      <c r="G1348">
        <v>1386.2119141000001</v>
      </c>
      <c r="H1348">
        <v>1372.0703125</v>
      </c>
      <c r="I1348">
        <v>1293.9968262</v>
      </c>
      <c r="J1348">
        <v>1277.7301024999999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736.22909200000004</v>
      </c>
      <c r="B1349" s="1">
        <f>DATE(2012,5,6) + TIME(5,29,53)</f>
        <v>41035.229085648149</v>
      </c>
      <c r="C1349">
        <v>90</v>
      </c>
      <c r="D1349">
        <v>89.932113646999994</v>
      </c>
      <c r="E1349">
        <v>60</v>
      </c>
      <c r="F1349">
        <v>59.270088196000003</v>
      </c>
      <c r="G1349">
        <v>1386.1512451000001</v>
      </c>
      <c r="H1349">
        <v>1372.0219727000001</v>
      </c>
      <c r="I1349">
        <v>1293.9930420000001</v>
      </c>
      <c r="J1349">
        <v>1277.7252197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736.39947099999995</v>
      </c>
      <c r="B1350" s="1">
        <f>DATE(2012,5,6) + TIME(9,35,14)</f>
        <v>41035.399467592593</v>
      </c>
      <c r="C1350">
        <v>90</v>
      </c>
      <c r="D1350">
        <v>89.934661864999995</v>
      </c>
      <c r="E1350">
        <v>60</v>
      </c>
      <c r="F1350">
        <v>59.251312255999999</v>
      </c>
      <c r="G1350">
        <v>1386.0902100000001</v>
      </c>
      <c r="H1350">
        <v>1371.9733887</v>
      </c>
      <c r="I1350">
        <v>1293.9891356999999</v>
      </c>
      <c r="J1350">
        <v>1277.7202147999999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736.57512599999995</v>
      </c>
      <c r="B1351" s="1">
        <f>DATE(2012,5,6) + TIME(13,48,10)</f>
        <v>41035.575115740743</v>
      </c>
      <c r="C1351">
        <v>90</v>
      </c>
      <c r="D1351">
        <v>89.936767578000001</v>
      </c>
      <c r="E1351">
        <v>60</v>
      </c>
      <c r="F1351">
        <v>59.232044219999999</v>
      </c>
      <c r="G1351">
        <v>1386.0291748</v>
      </c>
      <c r="H1351">
        <v>1371.9248047000001</v>
      </c>
      <c r="I1351">
        <v>1293.9851074000001</v>
      </c>
      <c r="J1351">
        <v>1277.7149658000001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736.75647500000002</v>
      </c>
      <c r="B1352" s="1">
        <f>DATE(2012,5,6) + TIME(18,9,19)</f>
        <v>41035.756469907406</v>
      </c>
      <c r="C1352">
        <v>90</v>
      </c>
      <c r="D1352">
        <v>89.938514709000003</v>
      </c>
      <c r="E1352">
        <v>60</v>
      </c>
      <c r="F1352">
        <v>59.212238311999997</v>
      </c>
      <c r="G1352">
        <v>1385.9678954999999</v>
      </c>
      <c r="H1352">
        <v>1371.8760986</v>
      </c>
      <c r="I1352">
        <v>1293.980957</v>
      </c>
      <c r="J1352">
        <v>1277.7095947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736.94401200000004</v>
      </c>
      <c r="B1353" s="1">
        <f>DATE(2012,5,6) + TIME(22,39,22)</f>
        <v>41035.944004629629</v>
      </c>
      <c r="C1353">
        <v>90</v>
      </c>
      <c r="D1353">
        <v>89.939956664999997</v>
      </c>
      <c r="E1353">
        <v>60</v>
      </c>
      <c r="F1353">
        <v>59.191860198999997</v>
      </c>
      <c r="G1353">
        <v>1385.9063721</v>
      </c>
      <c r="H1353">
        <v>1371.8272704999999</v>
      </c>
      <c r="I1353">
        <v>1293.9766846</v>
      </c>
      <c r="J1353">
        <v>1277.7039795000001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737.13686700000005</v>
      </c>
      <c r="B1354" s="1">
        <f>DATE(2012,5,7) + TIME(3,17,5)</f>
        <v>41036.136863425927</v>
      </c>
      <c r="C1354">
        <v>90</v>
      </c>
      <c r="D1354">
        <v>89.941146850999999</v>
      </c>
      <c r="E1354">
        <v>60</v>
      </c>
      <c r="F1354">
        <v>59.170978546000001</v>
      </c>
      <c r="G1354">
        <v>1385.8443603999999</v>
      </c>
      <c r="H1354">
        <v>1371.7780762</v>
      </c>
      <c r="I1354">
        <v>1293.9722899999999</v>
      </c>
      <c r="J1354">
        <v>1277.6982422000001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737.33089299999995</v>
      </c>
      <c r="B1355" s="1">
        <f>DATE(2012,5,7) + TIME(7,56,29)</f>
        <v>41036.330891203703</v>
      </c>
      <c r="C1355">
        <v>90</v>
      </c>
      <c r="D1355">
        <v>89.942100525000001</v>
      </c>
      <c r="E1355">
        <v>60</v>
      </c>
      <c r="F1355">
        <v>59.149967193999998</v>
      </c>
      <c r="G1355">
        <v>1385.7824707</v>
      </c>
      <c r="H1355">
        <v>1371.7290039</v>
      </c>
      <c r="I1355">
        <v>1293.9676514</v>
      </c>
      <c r="J1355">
        <v>1277.6922606999999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737.52648899999997</v>
      </c>
      <c r="B1356" s="1">
        <f>DATE(2012,5,7) + TIME(12,38,8)</f>
        <v>41036.52648148148</v>
      </c>
      <c r="C1356">
        <v>90</v>
      </c>
      <c r="D1356">
        <v>89.942878723000007</v>
      </c>
      <c r="E1356">
        <v>60</v>
      </c>
      <c r="F1356">
        <v>59.128807068</v>
      </c>
      <c r="G1356">
        <v>1385.7216797000001</v>
      </c>
      <c r="H1356">
        <v>1371.6807861</v>
      </c>
      <c r="I1356">
        <v>1293.9630127</v>
      </c>
      <c r="J1356">
        <v>1277.6862793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737.72402499999998</v>
      </c>
      <c r="B1357" s="1">
        <f>DATE(2012,5,7) + TIME(17,22,35)</f>
        <v>41036.724016203705</v>
      </c>
      <c r="C1357">
        <v>90</v>
      </c>
      <c r="D1357">
        <v>89.943504333000007</v>
      </c>
      <c r="E1357">
        <v>60</v>
      </c>
      <c r="F1357">
        <v>59.107471466</v>
      </c>
      <c r="G1357">
        <v>1385.6619873</v>
      </c>
      <c r="H1357">
        <v>1371.6335449000001</v>
      </c>
      <c r="I1357">
        <v>1293.9582519999999</v>
      </c>
      <c r="J1357">
        <v>1277.6802978999999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737.92387099999996</v>
      </c>
      <c r="B1358" s="1">
        <f>DATE(2012,5,7) + TIME(22,10,22)</f>
        <v>41036.92386574074</v>
      </c>
      <c r="C1358">
        <v>90</v>
      </c>
      <c r="D1358">
        <v>89.944023131999998</v>
      </c>
      <c r="E1358">
        <v>60</v>
      </c>
      <c r="F1358">
        <v>59.085945129000002</v>
      </c>
      <c r="G1358">
        <v>1385.6032714999999</v>
      </c>
      <c r="H1358">
        <v>1371.5870361</v>
      </c>
      <c r="I1358">
        <v>1293.9536132999999</v>
      </c>
      <c r="J1358">
        <v>1277.6741943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738.12640199999998</v>
      </c>
      <c r="B1359" s="1">
        <f>DATE(2012,5,8) + TIME(3,2,1)</f>
        <v>41037.126400462963</v>
      </c>
      <c r="C1359">
        <v>90</v>
      </c>
      <c r="D1359">
        <v>89.944442749000004</v>
      </c>
      <c r="E1359">
        <v>60</v>
      </c>
      <c r="F1359">
        <v>59.064193725999999</v>
      </c>
      <c r="G1359">
        <v>1385.5451660000001</v>
      </c>
      <c r="H1359">
        <v>1371.5412598</v>
      </c>
      <c r="I1359">
        <v>1293.9487305</v>
      </c>
      <c r="J1359">
        <v>1277.6679687999999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738.33212000000003</v>
      </c>
      <c r="B1360" s="1">
        <f>DATE(2012,5,8) + TIME(7,58,15)</f>
        <v>41037.332118055558</v>
      </c>
      <c r="C1360">
        <v>90</v>
      </c>
      <c r="D1360">
        <v>89.944786071999999</v>
      </c>
      <c r="E1360">
        <v>60</v>
      </c>
      <c r="F1360">
        <v>59.042182922000002</v>
      </c>
      <c r="G1360">
        <v>1385.487793</v>
      </c>
      <c r="H1360">
        <v>1371.4959716999999</v>
      </c>
      <c r="I1360">
        <v>1293.9438477000001</v>
      </c>
      <c r="J1360">
        <v>1277.6617432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738.54080099999999</v>
      </c>
      <c r="B1361" s="1">
        <f>DATE(2012,5,8) + TIME(12,58,45)</f>
        <v>41037.540798611109</v>
      </c>
      <c r="C1361">
        <v>90</v>
      </c>
      <c r="D1361">
        <v>89.945075989000003</v>
      </c>
      <c r="E1361">
        <v>60</v>
      </c>
      <c r="F1361">
        <v>59.019935607999997</v>
      </c>
      <c r="G1361">
        <v>1385.4307861</v>
      </c>
      <c r="H1361">
        <v>1371.4510498</v>
      </c>
      <c r="I1361">
        <v>1293.9389647999999</v>
      </c>
      <c r="J1361">
        <v>1277.6552733999999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738.75191600000005</v>
      </c>
      <c r="B1362" s="1">
        <f>DATE(2012,5,8) + TIME(18,2,45)</f>
        <v>41037.751909722225</v>
      </c>
      <c r="C1362">
        <v>90</v>
      </c>
      <c r="D1362">
        <v>89.9453125</v>
      </c>
      <c r="E1362">
        <v>60</v>
      </c>
      <c r="F1362">
        <v>58.997497559000003</v>
      </c>
      <c r="G1362">
        <v>1385.3742675999999</v>
      </c>
      <c r="H1362">
        <v>1371.4066161999999</v>
      </c>
      <c r="I1362">
        <v>1293.9339600000001</v>
      </c>
      <c r="J1362">
        <v>1277.6488036999999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738.96582599999999</v>
      </c>
      <c r="B1363" s="1">
        <f>DATE(2012,5,8) + TIME(23,10,47)</f>
        <v>41037.965821759259</v>
      </c>
      <c r="C1363">
        <v>90</v>
      </c>
      <c r="D1363">
        <v>89.945510863999999</v>
      </c>
      <c r="E1363">
        <v>60</v>
      </c>
      <c r="F1363">
        <v>58.974842072000001</v>
      </c>
      <c r="G1363">
        <v>1385.3184814000001</v>
      </c>
      <c r="H1363">
        <v>1371.3626709</v>
      </c>
      <c r="I1363">
        <v>1293.9288329999999</v>
      </c>
      <c r="J1363">
        <v>1277.6423339999999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739.18289200000004</v>
      </c>
      <c r="B1364" s="1">
        <f>DATE(2012,5,9) + TIME(4,23,21)</f>
        <v>41038.182881944442</v>
      </c>
      <c r="C1364">
        <v>90</v>
      </c>
      <c r="D1364">
        <v>89.945671082000004</v>
      </c>
      <c r="E1364">
        <v>60</v>
      </c>
      <c r="F1364">
        <v>58.951938628999997</v>
      </c>
      <c r="G1364">
        <v>1385.2630615</v>
      </c>
      <c r="H1364">
        <v>1371.3192139</v>
      </c>
      <c r="I1364">
        <v>1293.9237060999999</v>
      </c>
      <c r="J1364">
        <v>1277.6356201000001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739.40353600000003</v>
      </c>
      <c r="B1365" s="1">
        <f>DATE(2012,5,9) + TIME(9,41,5)</f>
        <v>41038.40353009259</v>
      </c>
      <c r="C1365">
        <v>90</v>
      </c>
      <c r="D1365">
        <v>89.945800781000003</v>
      </c>
      <c r="E1365">
        <v>60</v>
      </c>
      <c r="F1365">
        <v>58.928760529000002</v>
      </c>
      <c r="G1365">
        <v>1385.2081298999999</v>
      </c>
      <c r="H1365">
        <v>1371.2761230000001</v>
      </c>
      <c r="I1365">
        <v>1293.918457</v>
      </c>
      <c r="J1365">
        <v>1277.6289062000001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739.62823600000002</v>
      </c>
      <c r="B1366" s="1">
        <f>DATE(2012,5,9) + TIME(15,4,39)</f>
        <v>41038.628229166665</v>
      </c>
      <c r="C1366">
        <v>90</v>
      </c>
      <c r="D1366">
        <v>89.945915221999996</v>
      </c>
      <c r="E1366">
        <v>60</v>
      </c>
      <c r="F1366">
        <v>58.905261993000003</v>
      </c>
      <c r="G1366">
        <v>1385.1535644999999</v>
      </c>
      <c r="H1366">
        <v>1371.2332764</v>
      </c>
      <c r="I1366">
        <v>1293.9130858999999</v>
      </c>
      <c r="J1366">
        <v>1277.6219481999999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739.85731199999998</v>
      </c>
      <c r="B1367" s="1">
        <f>DATE(2012,5,9) + TIME(20,34,31)</f>
        <v>41038.857303240744</v>
      </c>
      <c r="C1367">
        <v>90</v>
      </c>
      <c r="D1367">
        <v>89.946006775000001</v>
      </c>
      <c r="E1367">
        <v>60</v>
      </c>
      <c r="F1367">
        <v>58.881420134999999</v>
      </c>
      <c r="G1367">
        <v>1385.0991211</v>
      </c>
      <c r="H1367">
        <v>1371.1906738</v>
      </c>
      <c r="I1367">
        <v>1293.9075928</v>
      </c>
      <c r="J1367">
        <v>1277.6149902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740.09122500000001</v>
      </c>
      <c r="B1368" s="1">
        <f>DATE(2012,5,10) + TIME(2,11,21)</f>
        <v>41039.091215277775</v>
      </c>
      <c r="C1368">
        <v>90</v>
      </c>
      <c r="D1368">
        <v>89.946083068999997</v>
      </c>
      <c r="E1368">
        <v>60</v>
      </c>
      <c r="F1368">
        <v>58.857196807999998</v>
      </c>
      <c r="G1368">
        <v>1385.0447998</v>
      </c>
      <c r="H1368">
        <v>1371.1480713000001</v>
      </c>
      <c r="I1368">
        <v>1293.9020995999999</v>
      </c>
      <c r="J1368">
        <v>1277.6077881000001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740.33046899999999</v>
      </c>
      <c r="B1369" s="1">
        <f>DATE(2012,5,10) + TIME(7,55,52)</f>
        <v>41039.330462962964</v>
      </c>
      <c r="C1369">
        <v>90</v>
      </c>
      <c r="D1369">
        <v>89.946144103999998</v>
      </c>
      <c r="E1369">
        <v>60</v>
      </c>
      <c r="F1369">
        <v>58.832542418999999</v>
      </c>
      <c r="G1369">
        <v>1384.9904785000001</v>
      </c>
      <c r="H1369">
        <v>1371.1057129000001</v>
      </c>
      <c r="I1369">
        <v>1293.8963623</v>
      </c>
      <c r="J1369">
        <v>1277.6004639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740.57557699999995</v>
      </c>
      <c r="B1370" s="1">
        <f>DATE(2012,5,10) + TIME(13,48,49)</f>
        <v>41039.575567129628</v>
      </c>
      <c r="C1370">
        <v>90</v>
      </c>
      <c r="D1370">
        <v>89.946189880000006</v>
      </c>
      <c r="E1370">
        <v>60</v>
      </c>
      <c r="F1370">
        <v>58.807422637999998</v>
      </c>
      <c r="G1370">
        <v>1384.9360352000001</v>
      </c>
      <c r="H1370">
        <v>1371.0632324000001</v>
      </c>
      <c r="I1370">
        <v>1293.8905029</v>
      </c>
      <c r="J1370">
        <v>1277.5930175999999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740.82709699999998</v>
      </c>
      <c r="B1371" s="1">
        <f>DATE(2012,5,10) + TIME(19,51,1)</f>
        <v>41039.827094907407</v>
      </c>
      <c r="C1371">
        <v>90</v>
      </c>
      <c r="D1371">
        <v>89.946228027000004</v>
      </c>
      <c r="E1371">
        <v>60</v>
      </c>
      <c r="F1371">
        <v>58.781780243</v>
      </c>
      <c r="G1371">
        <v>1384.8814697</v>
      </c>
      <c r="H1371">
        <v>1371.0206298999999</v>
      </c>
      <c r="I1371">
        <v>1293.8846435999999</v>
      </c>
      <c r="J1371">
        <v>1277.5853271000001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741.08573000000001</v>
      </c>
      <c r="B1372" s="1">
        <f>DATE(2012,5,11) + TIME(2,3,27)</f>
        <v>41040.085729166669</v>
      </c>
      <c r="C1372">
        <v>90</v>
      </c>
      <c r="D1372">
        <v>89.946266174000002</v>
      </c>
      <c r="E1372">
        <v>60</v>
      </c>
      <c r="F1372">
        <v>58.755561829000001</v>
      </c>
      <c r="G1372">
        <v>1384.8266602000001</v>
      </c>
      <c r="H1372">
        <v>1370.9779053</v>
      </c>
      <c r="I1372">
        <v>1293.878418</v>
      </c>
      <c r="J1372">
        <v>1277.5773925999999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741.35219700000005</v>
      </c>
      <c r="B1373" s="1">
        <f>DATE(2012,5,11) + TIME(8,27,9)</f>
        <v>41040.352187500001</v>
      </c>
      <c r="C1373">
        <v>90</v>
      </c>
      <c r="D1373">
        <v>89.946281432999996</v>
      </c>
      <c r="E1373">
        <v>60</v>
      </c>
      <c r="F1373">
        <v>58.728710175000003</v>
      </c>
      <c r="G1373">
        <v>1384.7713623</v>
      </c>
      <c r="H1373">
        <v>1370.9349365</v>
      </c>
      <c r="I1373">
        <v>1293.8720702999999</v>
      </c>
      <c r="J1373">
        <v>1277.5693358999999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741.62730999999997</v>
      </c>
      <c r="B1374" s="1">
        <f>DATE(2012,5,11) + TIME(15,3,19)</f>
        <v>41040.627303240741</v>
      </c>
      <c r="C1374">
        <v>90</v>
      </c>
      <c r="D1374">
        <v>89.946304321</v>
      </c>
      <c r="E1374">
        <v>60</v>
      </c>
      <c r="F1374">
        <v>58.701152802000003</v>
      </c>
      <c r="G1374">
        <v>1384.7155762</v>
      </c>
      <c r="H1374">
        <v>1370.8914795000001</v>
      </c>
      <c r="I1374">
        <v>1293.8656006000001</v>
      </c>
      <c r="J1374">
        <v>1277.5609131000001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741.90814999999998</v>
      </c>
      <c r="B1375" s="1">
        <f>DATE(2012,5,11) + TIME(21,47,44)</f>
        <v>41040.908148148148</v>
      </c>
      <c r="C1375">
        <v>90</v>
      </c>
      <c r="D1375">
        <v>89.946311950999998</v>
      </c>
      <c r="E1375">
        <v>60</v>
      </c>
      <c r="F1375">
        <v>58.673099518000001</v>
      </c>
      <c r="G1375">
        <v>1384.6593018000001</v>
      </c>
      <c r="H1375">
        <v>1370.8477783000001</v>
      </c>
      <c r="I1375">
        <v>1293.8588867000001</v>
      </c>
      <c r="J1375">
        <v>1277.5522461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742.19450900000004</v>
      </c>
      <c r="B1376" s="1">
        <f>DATE(2012,5,12) + TIME(4,40,5)</f>
        <v>41041.194502314815</v>
      </c>
      <c r="C1376">
        <v>90</v>
      </c>
      <c r="D1376">
        <v>89.946311950999998</v>
      </c>
      <c r="E1376">
        <v>60</v>
      </c>
      <c r="F1376">
        <v>58.644580841</v>
      </c>
      <c r="G1376">
        <v>1384.6029053</v>
      </c>
      <c r="H1376">
        <v>1370.8039550999999</v>
      </c>
      <c r="I1376">
        <v>1293.8519286999999</v>
      </c>
      <c r="J1376">
        <v>1277.5433350000001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742.48686099999998</v>
      </c>
      <c r="B1377" s="1">
        <f>DATE(2012,5,12) + TIME(11,41,4)</f>
        <v>41041.486851851849</v>
      </c>
      <c r="C1377">
        <v>90</v>
      </c>
      <c r="D1377">
        <v>89.946311950999998</v>
      </c>
      <c r="E1377">
        <v>60</v>
      </c>
      <c r="F1377">
        <v>58.615570067999997</v>
      </c>
      <c r="G1377">
        <v>1384.5466309000001</v>
      </c>
      <c r="H1377">
        <v>1370.760376</v>
      </c>
      <c r="I1377">
        <v>1293.8448486</v>
      </c>
      <c r="J1377">
        <v>1277.5343018000001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742.78569300000004</v>
      </c>
      <c r="B1378" s="1">
        <f>DATE(2012,5,12) + TIME(18,51,23)</f>
        <v>41041.785682870373</v>
      </c>
      <c r="C1378">
        <v>90</v>
      </c>
      <c r="D1378">
        <v>89.946304321</v>
      </c>
      <c r="E1378">
        <v>60</v>
      </c>
      <c r="F1378">
        <v>58.586040496999999</v>
      </c>
      <c r="G1378">
        <v>1384.4904785000001</v>
      </c>
      <c r="H1378">
        <v>1370.7166748</v>
      </c>
      <c r="I1378">
        <v>1293.8375243999999</v>
      </c>
      <c r="J1378">
        <v>1277.5250243999999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743.08947599999999</v>
      </c>
      <c r="B1379" s="1">
        <f>DATE(2012,5,13) + TIME(2,8,50)</f>
        <v>41042.089467592596</v>
      </c>
      <c r="C1379">
        <v>90</v>
      </c>
      <c r="D1379">
        <v>89.946296692000004</v>
      </c>
      <c r="E1379">
        <v>60</v>
      </c>
      <c r="F1379">
        <v>58.556102752999998</v>
      </c>
      <c r="G1379">
        <v>1384.434082</v>
      </c>
      <c r="H1379">
        <v>1370.6730957</v>
      </c>
      <c r="I1379">
        <v>1293.8302002</v>
      </c>
      <c r="J1379">
        <v>1277.515625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743.39606900000001</v>
      </c>
      <c r="B1380" s="1">
        <f>DATE(2012,5,13) + TIME(9,30,20)</f>
        <v>41042.396064814813</v>
      </c>
      <c r="C1380">
        <v>90</v>
      </c>
      <c r="D1380">
        <v>89.946281432999996</v>
      </c>
      <c r="E1380">
        <v>60</v>
      </c>
      <c r="F1380">
        <v>58.525928497000002</v>
      </c>
      <c r="G1380">
        <v>1384.3779297000001</v>
      </c>
      <c r="H1380">
        <v>1370.6296387</v>
      </c>
      <c r="I1380">
        <v>1293.8226318</v>
      </c>
      <c r="J1380">
        <v>1277.5059814000001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743.70528899999999</v>
      </c>
      <c r="B1381" s="1">
        <f>DATE(2012,5,13) + TIME(16,55,36)</f>
        <v>41042.705277777779</v>
      </c>
      <c r="C1381">
        <v>90</v>
      </c>
      <c r="D1381">
        <v>89.946266174000002</v>
      </c>
      <c r="E1381">
        <v>60</v>
      </c>
      <c r="F1381">
        <v>58.495552062999998</v>
      </c>
      <c r="G1381">
        <v>1384.3225098</v>
      </c>
      <c r="H1381">
        <v>1370.5866699000001</v>
      </c>
      <c r="I1381">
        <v>1293.8149414</v>
      </c>
      <c r="J1381">
        <v>1277.4962158000001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744.01770799999997</v>
      </c>
      <c r="B1382" s="1">
        <f>DATE(2012,5,14) + TIME(0,25,29)</f>
        <v>41043.017696759256</v>
      </c>
      <c r="C1382">
        <v>90</v>
      </c>
      <c r="D1382">
        <v>89.946250915999997</v>
      </c>
      <c r="E1382">
        <v>60</v>
      </c>
      <c r="F1382">
        <v>58.464954376000001</v>
      </c>
      <c r="G1382">
        <v>1384.2675781</v>
      </c>
      <c r="H1382">
        <v>1370.5443115</v>
      </c>
      <c r="I1382">
        <v>1293.807251</v>
      </c>
      <c r="J1382">
        <v>1277.4863281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744.33389899999997</v>
      </c>
      <c r="B1383" s="1">
        <f>DATE(2012,5,14) + TIME(8,0,48)</f>
        <v>41043.33388888889</v>
      </c>
      <c r="C1383">
        <v>90</v>
      </c>
      <c r="D1383">
        <v>89.946228027000004</v>
      </c>
      <c r="E1383">
        <v>60</v>
      </c>
      <c r="F1383">
        <v>58.434104918999999</v>
      </c>
      <c r="G1383">
        <v>1384.2132568</v>
      </c>
      <c r="H1383">
        <v>1370.5023193</v>
      </c>
      <c r="I1383">
        <v>1293.7993164</v>
      </c>
      <c r="J1383">
        <v>1277.4763184000001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744.65455299999996</v>
      </c>
      <c r="B1384" s="1">
        <f>DATE(2012,5,14) + TIME(15,42,33)</f>
        <v>41043.654548611114</v>
      </c>
      <c r="C1384">
        <v>90</v>
      </c>
      <c r="D1384">
        <v>89.946205139</v>
      </c>
      <c r="E1384">
        <v>60</v>
      </c>
      <c r="F1384">
        <v>58.402961730999998</v>
      </c>
      <c r="G1384">
        <v>1384.1593018000001</v>
      </c>
      <c r="H1384">
        <v>1370.4605713000001</v>
      </c>
      <c r="I1384">
        <v>1293.7913818</v>
      </c>
      <c r="J1384">
        <v>1277.4661865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744.98031000000003</v>
      </c>
      <c r="B1385" s="1">
        <f>DATE(2012,5,14) + TIME(23,31,38)</f>
        <v>41043.980300925927</v>
      </c>
      <c r="C1385">
        <v>90</v>
      </c>
      <c r="D1385">
        <v>89.946182250999996</v>
      </c>
      <c r="E1385">
        <v>60</v>
      </c>
      <c r="F1385">
        <v>58.371479033999996</v>
      </c>
      <c r="G1385">
        <v>1384.1055908000001</v>
      </c>
      <c r="H1385">
        <v>1370.4191894999999</v>
      </c>
      <c r="I1385">
        <v>1293.7833252</v>
      </c>
      <c r="J1385">
        <v>1277.4559326000001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745.31059600000003</v>
      </c>
      <c r="B1386" s="1">
        <f>DATE(2012,5,15) + TIME(7,27,15)</f>
        <v>41044.310590277775</v>
      </c>
      <c r="C1386">
        <v>90</v>
      </c>
      <c r="D1386">
        <v>89.946159363000007</v>
      </c>
      <c r="E1386">
        <v>60</v>
      </c>
      <c r="F1386">
        <v>58.339694977000001</v>
      </c>
      <c r="G1386">
        <v>1384.0520019999999</v>
      </c>
      <c r="H1386">
        <v>1370.3778076000001</v>
      </c>
      <c r="I1386">
        <v>1293.7751464999999</v>
      </c>
      <c r="J1386">
        <v>1277.4454346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745.64557600000001</v>
      </c>
      <c r="B1387" s="1">
        <f>DATE(2012,5,15) + TIME(15,29,37)</f>
        <v>41044.645567129628</v>
      </c>
      <c r="C1387">
        <v>90</v>
      </c>
      <c r="D1387">
        <v>89.946136475000003</v>
      </c>
      <c r="E1387">
        <v>60</v>
      </c>
      <c r="F1387">
        <v>58.307601929</v>
      </c>
      <c r="G1387">
        <v>1383.9987793</v>
      </c>
      <c r="H1387">
        <v>1370.3367920000001</v>
      </c>
      <c r="I1387">
        <v>1293.7668457</v>
      </c>
      <c r="J1387">
        <v>1277.4346923999999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745.98586499999999</v>
      </c>
      <c r="B1388" s="1">
        <f>DATE(2012,5,15) + TIME(23,39,38)</f>
        <v>41044.985856481479</v>
      </c>
      <c r="C1388">
        <v>90</v>
      </c>
      <c r="D1388">
        <v>89.946105957</v>
      </c>
      <c r="E1388">
        <v>60</v>
      </c>
      <c r="F1388">
        <v>58.275161742999998</v>
      </c>
      <c r="G1388">
        <v>1383.9456786999999</v>
      </c>
      <c r="H1388">
        <v>1370.2958983999999</v>
      </c>
      <c r="I1388">
        <v>1293.7583007999999</v>
      </c>
      <c r="J1388">
        <v>1277.4238281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746.33204899999998</v>
      </c>
      <c r="B1389" s="1">
        <f>DATE(2012,5,16) + TIME(7,58,9)</f>
        <v>41045.332048611112</v>
      </c>
      <c r="C1389">
        <v>90</v>
      </c>
      <c r="D1389">
        <v>89.946083068999997</v>
      </c>
      <c r="E1389">
        <v>60</v>
      </c>
      <c r="F1389">
        <v>58.242324828999998</v>
      </c>
      <c r="G1389">
        <v>1383.8927002</v>
      </c>
      <c r="H1389">
        <v>1370.2551269999999</v>
      </c>
      <c r="I1389">
        <v>1293.7496338000001</v>
      </c>
      <c r="J1389">
        <v>1277.4128418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746.68384800000001</v>
      </c>
      <c r="B1390" s="1">
        <f>DATE(2012,5,16) + TIME(16,24,44)</f>
        <v>41045.683842592596</v>
      </c>
      <c r="C1390">
        <v>90</v>
      </c>
      <c r="D1390">
        <v>89.946052550999994</v>
      </c>
      <c r="E1390">
        <v>60</v>
      </c>
      <c r="F1390">
        <v>58.209117888999998</v>
      </c>
      <c r="G1390">
        <v>1383.8398437999999</v>
      </c>
      <c r="H1390">
        <v>1370.2143555</v>
      </c>
      <c r="I1390">
        <v>1293.7408447</v>
      </c>
      <c r="J1390">
        <v>1277.4014893000001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747.041876</v>
      </c>
      <c r="B1391" s="1">
        <f>DATE(2012,5,17) + TIME(1,0,18)</f>
        <v>41046.041875000003</v>
      </c>
      <c r="C1391">
        <v>90</v>
      </c>
      <c r="D1391">
        <v>89.946029663000004</v>
      </c>
      <c r="E1391">
        <v>60</v>
      </c>
      <c r="F1391">
        <v>58.175491332999997</v>
      </c>
      <c r="G1391">
        <v>1383.7871094</v>
      </c>
      <c r="H1391">
        <v>1370.1737060999999</v>
      </c>
      <c r="I1391">
        <v>1293.7318115</v>
      </c>
      <c r="J1391">
        <v>1277.3900146000001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747.406612</v>
      </c>
      <c r="B1392" s="1">
        <f>DATE(2012,5,17) + TIME(9,45,31)</f>
        <v>41046.406608796293</v>
      </c>
      <c r="C1392">
        <v>90</v>
      </c>
      <c r="D1392">
        <v>89.945999146000005</v>
      </c>
      <c r="E1392">
        <v>60</v>
      </c>
      <c r="F1392">
        <v>58.141410827999998</v>
      </c>
      <c r="G1392">
        <v>1383.734375</v>
      </c>
      <c r="H1392">
        <v>1370.1331786999999</v>
      </c>
      <c r="I1392">
        <v>1293.7226562000001</v>
      </c>
      <c r="J1392">
        <v>1277.3782959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747.77881500000001</v>
      </c>
      <c r="B1393" s="1">
        <f>DATE(2012,5,17) + TIME(18,41,29)</f>
        <v>41046.778807870367</v>
      </c>
      <c r="C1393">
        <v>90</v>
      </c>
      <c r="D1393">
        <v>89.945968628000003</v>
      </c>
      <c r="E1393">
        <v>60</v>
      </c>
      <c r="F1393">
        <v>58.106830596999998</v>
      </c>
      <c r="G1393">
        <v>1383.6815185999999</v>
      </c>
      <c r="H1393">
        <v>1370.0925293</v>
      </c>
      <c r="I1393">
        <v>1293.7132568</v>
      </c>
      <c r="J1393">
        <v>1277.3663329999999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748.15930300000002</v>
      </c>
      <c r="B1394" s="1">
        <f>DATE(2012,5,18) + TIME(3,49,23)</f>
        <v>41047.15929398148</v>
      </c>
      <c r="C1394">
        <v>90</v>
      </c>
      <c r="D1394">
        <v>89.94593811</v>
      </c>
      <c r="E1394">
        <v>60</v>
      </c>
      <c r="F1394">
        <v>58.071685791</v>
      </c>
      <c r="G1394">
        <v>1383.6286620999999</v>
      </c>
      <c r="H1394">
        <v>1370.0517577999999</v>
      </c>
      <c r="I1394">
        <v>1293.7037353999999</v>
      </c>
      <c r="J1394">
        <v>1277.354126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748.54896399999996</v>
      </c>
      <c r="B1395" s="1">
        <f>DATE(2012,5,18) + TIME(13,10,30)</f>
        <v>41047.548958333333</v>
      </c>
      <c r="C1395">
        <v>90</v>
      </c>
      <c r="D1395">
        <v>89.945915221999996</v>
      </c>
      <c r="E1395">
        <v>60</v>
      </c>
      <c r="F1395">
        <v>58.035911560000002</v>
      </c>
      <c r="G1395">
        <v>1383.5754394999999</v>
      </c>
      <c r="H1395">
        <v>1370.0109863</v>
      </c>
      <c r="I1395">
        <v>1293.6938477000001</v>
      </c>
      <c r="J1395">
        <v>1277.3415527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748.94869300000005</v>
      </c>
      <c r="B1396" s="1">
        <f>DATE(2012,5,18) + TIME(22,46,7)</f>
        <v>41047.948692129627</v>
      </c>
      <c r="C1396">
        <v>90</v>
      </c>
      <c r="D1396">
        <v>89.945884704999997</v>
      </c>
      <c r="E1396">
        <v>60</v>
      </c>
      <c r="F1396">
        <v>57.999443053999997</v>
      </c>
      <c r="G1396">
        <v>1383.5219727000001</v>
      </c>
      <c r="H1396">
        <v>1369.9698486</v>
      </c>
      <c r="I1396">
        <v>1293.6837158000001</v>
      </c>
      <c r="J1396">
        <v>1277.3286132999999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749.35250699999995</v>
      </c>
      <c r="B1397" s="1">
        <f>DATE(2012,5,19) + TIME(8,27,36)</f>
        <v>41048.352500000001</v>
      </c>
      <c r="C1397">
        <v>90</v>
      </c>
      <c r="D1397">
        <v>89.945854186999995</v>
      </c>
      <c r="E1397">
        <v>60</v>
      </c>
      <c r="F1397">
        <v>57.962638855000002</v>
      </c>
      <c r="G1397">
        <v>1383.4681396000001</v>
      </c>
      <c r="H1397">
        <v>1369.9283447</v>
      </c>
      <c r="I1397">
        <v>1293.6733397999999</v>
      </c>
      <c r="J1397">
        <v>1277.3153076000001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749.75823700000001</v>
      </c>
      <c r="B1398" s="1">
        <f>DATE(2012,5,19) + TIME(18,11,51)</f>
        <v>41048.758229166669</v>
      </c>
      <c r="C1398">
        <v>90</v>
      </c>
      <c r="D1398">
        <v>89.945823669000006</v>
      </c>
      <c r="E1398">
        <v>60</v>
      </c>
      <c r="F1398">
        <v>57.925670623999999</v>
      </c>
      <c r="G1398">
        <v>1383.4145507999999</v>
      </c>
      <c r="H1398">
        <v>1369.8873291</v>
      </c>
      <c r="I1398">
        <v>1293.6627197</v>
      </c>
      <c r="J1398">
        <v>1277.3018798999999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750.16665899999998</v>
      </c>
      <c r="B1399" s="1">
        <f>DATE(2012,5,20) + TIME(3,59,59)</f>
        <v>41049.166655092595</v>
      </c>
      <c r="C1399">
        <v>90</v>
      </c>
      <c r="D1399">
        <v>89.945793151999993</v>
      </c>
      <c r="E1399">
        <v>60</v>
      </c>
      <c r="F1399">
        <v>57.888545989999997</v>
      </c>
      <c r="G1399">
        <v>1383.3616943</v>
      </c>
      <c r="H1399">
        <v>1369.8466797000001</v>
      </c>
      <c r="I1399">
        <v>1293.6520995999999</v>
      </c>
      <c r="J1399">
        <v>1277.2883300999999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750.57853799999998</v>
      </c>
      <c r="B1400" s="1">
        <f>DATE(2012,5,20) + TIME(13,53,5)</f>
        <v>41049.578530092593</v>
      </c>
      <c r="C1400">
        <v>90</v>
      </c>
      <c r="D1400">
        <v>89.945762634000005</v>
      </c>
      <c r="E1400">
        <v>60</v>
      </c>
      <c r="F1400">
        <v>57.85124588</v>
      </c>
      <c r="G1400">
        <v>1383.3094481999999</v>
      </c>
      <c r="H1400">
        <v>1369.8065185999999</v>
      </c>
      <c r="I1400">
        <v>1293.6413574000001</v>
      </c>
      <c r="J1400">
        <v>1277.2745361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750.99467600000003</v>
      </c>
      <c r="B1401" s="1">
        <f>DATE(2012,5,20) + TIME(23,52,20)</f>
        <v>41049.994675925926</v>
      </c>
      <c r="C1401">
        <v>90</v>
      </c>
      <c r="D1401">
        <v>89.945739746000001</v>
      </c>
      <c r="E1401">
        <v>60</v>
      </c>
      <c r="F1401">
        <v>57.813732147000003</v>
      </c>
      <c r="G1401">
        <v>1383.2576904</v>
      </c>
      <c r="H1401">
        <v>1369.7667236</v>
      </c>
      <c r="I1401">
        <v>1293.6304932</v>
      </c>
      <c r="J1401">
        <v>1277.2607422000001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751.41609700000004</v>
      </c>
      <c r="B1402" s="1">
        <f>DATE(2012,5,21) + TIME(9,59,10)</f>
        <v>41050.416087962964</v>
      </c>
      <c r="C1402">
        <v>90</v>
      </c>
      <c r="D1402">
        <v>89.945709229000002</v>
      </c>
      <c r="E1402">
        <v>60</v>
      </c>
      <c r="F1402">
        <v>57.775951384999999</v>
      </c>
      <c r="G1402">
        <v>1383.2061768000001</v>
      </c>
      <c r="H1402">
        <v>1369.7270507999999</v>
      </c>
      <c r="I1402">
        <v>1293.6193848</v>
      </c>
      <c r="J1402">
        <v>1277.246582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751.84338300000002</v>
      </c>
      <c r="B1403" s="1">
        <f>DATE(2012,5,21) + TIME(20,14,28)</f>
        <v>41050.84337962963</v>
      </c>
      <c r="C1403">
        <v>90</v>
      </c>
      <c r="D1403">
        <v>89.945678710999999</v>
      </c>
      <c r="E1403">
        <v>60</v>
      </c>
      <c r="F1403">
        <v>57.737861633000001</v>
      </c>
      <c r="G1403">
        <v>1383.1547852000001</v>
      </c>
      <c r="H1403">
        <v>1369.6876221</v>
      </c>
      <c r="I1403">
        <v>1293.6082764</v>
      </c>
      <c r="J1403">
        <v>1277.2321777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752.27740300000005</v>
      </c>
      <c r="B1404" s="1">
        <f>DATE(2012,5,22) + TIME(6,39,27)</f>
        <v>41051.277395833335</v>
      </c>
      <c r="C1404">
        <v>90</v>
      </c>
      <c r="D1404">
        <v>89.945655822999996</v>
      </c>
      <c r="E1404">
        <v>60</v>
      </c>
      <c r="F1404">
        <v>57.699398041000002</v>
      </c>
      <c r="G1404">
        <v>1383.1036377</v>
      </c>
      <c r="H1404">
        <v>1369.6483154</v>
      </c>
      <c r="I1404">
        <v>1293.5968018000001</v>
      </c>
      <c r="J1404">
        <v>1277.2176514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752.71907099999999</v>
      </c>
      <c r="B1405" s="1">
        <f>DATE(2012,5,22) + TIME(17,15,27)</f>
        <v>41051.7190625</v>
      </c>
      <c r="C1405">
        <v>90</v>
      </c>
      <c r="D1405">
        <v>89.945625304999993</v>
      </c>
      <c r="E1405">
        <v>60</v>
      </c>
      <c r="F1405">
        <v>57.660499573000003</v>
      </c>
      <c r="G1405">
        <v>1383.0524902</v>
      </c>
      <c r="H1405">
        <v>1369.6090088000001</v>
      </c>
      <c r="I1405">
        <v>1293.5852050999999</v>
      </c>
      <c r="J1405">
        <v>1277.2027588000001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753.16936699999997</v>
      </c>
      <c r="B1406" s="1">
        <f>DATE(2012,5,23) + TIME(4,3,53)</f>
        <v>41052.169363425928</v>
      </c>
      <c r="C1406">
        <v>90</v>
      </c>
      <c r="D1406">
        <v>89.945602417000003</v>
      </c>
      <c r="E1406">
        <v>60</v>
      </c>
      <c r="F1406">
        <v>57.62109375</v>
      </c>
      <c r="G1406">
        <v>1383.0012207</v>
      </c>
      <c r="H1406">
        <v>1369.5697021000001</v>
      </c>
      <c r="I1406">
        <v>1293.5732422000001</v>
      </c>
      <c r="J1406">
        <v>1277.1875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753.62701000000004</v>
      </c>
      <c r="B1407" s="1">
        <f>DATE(2012,5,23) + TIME(15,2,53)</f>
        <v>41052.627002314817</v>
      </c>
      <c r="C1407">
        <v>90</v>
      </c>
      <c r="D1407">
        <v>89.945571899000001</v>
      </c>
      <c r="E1407">
        <v>60</v>
      </c>
      <c r="F1407">
        <v>57.581237793</v>
      </c>
      <c r="G1407">
        <v>1382.9498291</v>
      </c>
      <c r="H1407">
        <v>1369.5301514</v>
      </c>
      <c r="I1407">
        <v>1293.5611572</v>
      </c>
      <c r="J1407">
        <v>1277.171875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754.09005400000001</v>
      </c>
      <c r="B1408" s="1">
        <f>DATE(2012,5,24) + TIME(2,9,40)</f>
        <v>41053.090046296296</v>
      </c>
      <c r="C1408">
        <v>90</v>
      </c>
      <c r="D1408">
        <v>89.945549010999997</v>
      </c>
      <c r="E1408">
        <v>60</v>
      </c>
      <c r="F1408">
        <v>57.541046143000003</v>
      </c>
      <c r="G1408">
        <v>1382.8984375</v>
      </c>
      <c r="H1408">
        <v>1369.4907227000001</v>
      </c>
      <c r="I1408">
        <v>1293.5487060999999</v>
      </c>
      <c r="J1408">
        <v>1277.1560059000001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754.55950299999995</v>
      </c>
      <c r="B1409" s="1">
        <f>DATE(2012,5,24) + TIME(13,25,41)</f>
        <v>41053.559502314813</v>
      </c>
      <c r="C1409">
        <v>90</v>
      </c>
      <c r="D1409">
        <v>89.945518493999998</v>
      </c>
      <c r="E1409">
        <v>60</v>
      </c>
      <c r="F1409">
        <v>57.500484467</v>
      </c>
      <c r="G1409">
        <v>1382.8472899999999</v>
      </c>
      <c r="H1409">
        <v>1369.4512939000001</v>
      </c>
      <c r="I1409">
        <v>1293.5360106999999</v>
      </c>
      <c r="J1409">
        <v>1277.1397704999999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755.03628900000001</v>
      </c>
      <c r="B1410" s="1">
        <f>DATE(2012,5,25) + TIME(0,52,15)</f>
        <v>41054.03628472222</v>
      </c>
      <c r="C1410">
        <v>90</v>
      </c>
      <c r="D1410">
        <v>89.945495605000005</v>
      </c>
      <c r="E1410">
        <v>60</v>
      </c>
      <c r="F1410">
        <v>57.459503173999998</v>
      </c>
      <c r="G1410">
        <v>1382.7961425999999</v>
      </c>
      <c r="H1410">
        <v>1369.4121094</v>
      </c>
      <c r="I1410">
        <v>1293.5231934000001</v>
      </c>
      <c r="J1410">
        <v>1277.1232910000001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755.52117899999996</v>
      </c>
      <c r="B1411" s="1">
        <f>DATE(2012,5,25) + TIME(12,30,29)</f>
        <v>41054.521168981482</v>
      </c>
      <c r="C1411">
        <v>90</v>
      </c>
      <c r="D1411">
        <v>89.945465088000006</v>
      </c>
      <c r="E1411">
        <v>60</v>
      </c>
      <c r="F1411">
        <v>57.418064117</v>
      </c>
      <c r="G1411">
        <v>1382.7451172000001</v>
      </c>
      <c r="H1411">
        <v>1369.3728027</v>
      </c>
      <c r="I1411">
        <v>1293.5100098</v>
      </c>
      <c r="J1411">
        <v>1277.1064452999999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756.01517999999999</v>
      </c>
      <c r="B1412" s="1">
        <f>DATE(2012,5,26) + TIME(0,21,51)</f>
        <v>41055.015173611115</v>
      </c>
      <c r="C1412">
        <v>90</v>
      </c>
      <c r="D1412">
        <v>89.945442200000002</v>
      </c>
      <c r="E1412">
        <v>60</v>
      </c>
      <c r="F1412">
        <v>57.376102447999997</v>
      </c>
      <c r="G1412">
        <v>1382.6939697</v>
      </c>
      <c r="H1412">
        <v>1369.333374</v>
      </c>
      <c r="I1412">
        <v>1293.496582</v>
      </c>
      <c r="J1412">
        <v>1277.0891113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756.51937899999996</v>
      </c>
      <c r="B1413" s="1">
        <f>DATE(2012,5,26) + TIME(12,27,54)</f>
        <v>41055.519375000003</v>
      </c>
      <c r="C1413">
        <v>90</v>
      </c>
      <c r="D1413">
        <v>89.945419311999999</v>
      </c>
      <c r="E1413">
        <v>60</v>
      </c>
      <c r="F1413">
        <v>57.333541869999998</v>
      </c>
      <c r="G1413">
        <v>1382.6427002</v>
      </c>
      <c r="H1413">
        <v>1369.2939452999999</v>
      </c>
      <c r="I1413">
        <v>1293.4829102000001</v>
      </c>
      <c r="J1413">
        <v>1277.0714111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757.03492000000006</v>
      </c>
      <c r="B1414" s="1">
        <f>DATE(2012,5,27) + TIME(0,50,17)</f>
        <v>41056.034918981481</v>
      </c>
      <c r="C1414">
        <v>90</v>
      </c>
      <c r="D1414">
        <v>89.945396423000005</v>
      </c>
      <c r="E1414">
        <v>60</v>
      </c>
      <c r="F1414">
        <v>57.290313720999997</v>
      </c>
      <c r="G1414">
        <v>1382.5910644999999</v>
      </c>
      <c r="H1414">
        <v>1369.2542725000001</v>
      </c>
      <c r="I1414">
        <v>1293.46875</v>
      </c>
      <c r="J1414">
        <v>1277.0532227000001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757.55482800000004</v>
      </c>
      <c r="B1415" s="1">
        <f>DATE(2012,5,27) + TIME(13,18,57)</f>
        <v>41056.554826388892</v>
      </c>
      <c r="C1415">
        <v>90</v>
      </c>
      <c r="D1415">
        <v>89.945373535000002</v>
      </c>
      <c r="E1415">
        <v>60</v>
      </c>
      <c r="F1415">
        <v>57.246757506999998</v>
      </c>
      <c r="G1415">
        <v>1382.5391846</v>
      </c>
      <c r="H1415">
        <v>1369.2143555</v>
      </c>
      <c r="I1415">
        <v>1293.4542236</v>
      </c>
      <c r="J1415">
        <v>1277.0345459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758.077898</v>
      </c>
      <c r="B1416" s="1">
        <f>DATE(2012,5,28) + TIME(1,52,10)</f>
        <v>41057.077893518515</v>
      </c>
      <c r="C1416">
        <v>90</v>
      </c>
      <c r="D1416">
        <v>89.945343018000003</v>
      </c>
      <c r="E1416">
        <v>60</v>
      </c>
      <c r="F1416">
        <v>57.203002929999997</v>
      </c>
      <c r="G1416">
        <v>1382.4876709</v>
      </c>
      <c r="H1416">
        <v>1369.1745605000001</v>
      </c>
      <c r="I1416">
        <v>1293.4394531</v>
      </c>
      <c r="J1416">
        <v>1277.015625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758.60515099999998</v>
      </c>
      <c r="B1417" s="1">
        <f>DATE(2012,5,28) + TIME(14,31,25)</f>
        <v>41057.605150462965</v>
      </c>
      <c r="C1417">
        <v>90</v>
      </c>
      <c r="D1417">
        <v>89.945320128999995</v>
      </c>
      <c r="E1417">
        <v>60</v>
      </c>
      <c r="F1417">
        <v>57.159049988</v>
      </c>
      <c r="G1417">
        <v>1382.4365233999999</v>
      </c>
      <c r="H1417">
        <v>1369.1352539</v>
      </c>
      <c r="I1417">
        <v>1293.4245605000001</v>
      </c>
      <c r="J1417">
        <v>1276.9964600000001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759.13784199999998</v>
      </c>
      <c r="B1418" s="1">
        <f>DATE(2012,5,29) + TIME(3,18,29)</f>
        <v>41058.137835648151</v>
      </c>
      <c r="C1418">
        <v>90</v>
      </c>
      <c r="D1418">
        <v>89.945297241000006</v>
      </c>
      <c r="E1418">
        <v>60</v>
      </c>
      <c r="F1418">
        <v>57.114868164000001</v>
      </c>
      <c r="G1418">
        <v>1382.3858643000001</v>
      </c>
      <c r="H1418">
        <v>1369.0961914</v>
      </c>
      <c r="I1418">
        <v>1293.4094238</v>
      </c>
      <c r="J1418">
        <v>1276.9769286999999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759.67695200000003</v>
      </c>
      <c r="B1419" s="1">
        <f>DATE(2012,5,29) + TIME(16,14,48)</f>
        <v>41058.676944444444</v>
      </c>
      <c r="C1419">
        <v>90</v>
      </c>
      <c r="D1419">
        <v>89.945274353000002</v>
      </c>
      <c r="E1419">
        <v>60</v>
      </c>
      <c r="F1419">
        <v>57.070400237999998</v>
      </c>
      <c r="G1419">
        <v>1382.3353271000001</v>
      </c>
      <c r="H1419">
        <v>1369.057251</v>
      </c>
      <c r="I1419">
        <v>1293.394043</v>
      </c>
      <c r="J1419">
        <v>1276.9570312000001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760.22344699999996</v>
      </c>
      <c r="B1420" s="1">
        <f>DATE(2012,5,30) + TIME(5,21,45)</f>
        <v>41059.223437499997</v>
      </c>
      <c r="C1420">
        <v>90</v>
      </c>
      <c r="D1420">
        <v>89.945251464999998</v>
      </c>
      <c r="E1420">
        <v>60</v>
      </c>
      <c r="F1420">
        <v>57.025596618999998</v>
      </c>
      <c r="G1420">
        <v>1382.2850341999999</v>
      </c>
      <c r="H1420">
        <v>1369.0184326000001</v>
      </c>
      <c r="I1420">
        <v>1293.378418</v>
      </c>
      <c r="J1420">
        <v>1276.9367675999999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760.77848300000005</v>
      </c>
      <c r="B1421" s="1">
        <f>DATE(2012,5,30) + TIME(18,41,0)</f>
        <v>41059.77847222222</v>
      </c>
      <c r="C1421">
        <v>90</v>
      </c>
      <c r="D1421">
        <v>89.945236206000004</v>
      </c>
      <c r="E1421">
        <v>60</v>
      </c>
      <c r="F1421">
        <v>56.980381012000002</v>
      </c>
      <c r="G1421">
        <v>1382.2347411999999</v>
      </c>
      <c r="H1421">
        <v>1368.9796143000001</v>
      </c>
      <c r="I1421">
        <v>1293.3624268000001</v>
      </c>
      <c r="J1421">
        <v>1276.9160156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761.34328600000003</v>
      </c>
      <c r="B1422" s="1">
        <f>DATE(2012,5,31) + TIME(8,14,19)</f>
        <v>41060.343275462961</v>
      </c>
      <c r="C1422">
        <v>90</v>
      </c>
      <c r="D1422">
        <v>89.945213318</v>
      </c>
      <c r="E1422">
        <v>60</v>
      </c>
      <c r="F1422">
        <v>56.934669495000001</v>
      </c>
      <c r="G1422">
        <v>1382.1843262</v>
      </c>
      <c r="H1422">
        <v>1368.9406738</v>
      </c>
      <c r="I1422">
        <v>1293.3460693</v>
      </c>
      <c r="J1422">
        <v>1276.8947754000001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761.91812900000002</v>
      </c>
      <c r="B1423" s="1">
        <f>DATE(2012,5,31) + TIME(22,2,6)</f>
        <v>41060.918124999997</v>
      </c>
      <c r="C1423">
        <v>90</v>
      </c>
      <c r="D1423">
        <v>89.945190429999997</v>
      </c>
      <c r="E1423">
        <v>60</v>
      </c>
      <c r="F1423">
        <v>56.888431549000003</v>
      </c>
      <c r="G1423">
        <v>1382.1337891000001</v>
      </c>
      <c r="H1423">
        <v>1368.9017334</v>
      </c>
      <c r="I1423">
        <v>1293.3293457</v>
      </c>
      <c r="J1423">
        <v>1276.8730469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762</v>
      </c>
      <c r="B1424" s="1">
        <f>DATE(2012,6,1) + TIME(0,0,0)</f>
        <v>41061</v>
      </c>
      <c r="C1424">
        <v>90</v>
      </c>
      <c r="D1424">
        <v>89.945182799999998</v>
      </c>
      <c r="E1424">
        <v>60</v>
      </c>
      <c r="F1424">
        <v>56.878410338999998</v>
      </c>
      <c r="G1424">
        <v>1382.0845947</v>
      </c>
      <c r="H1424">
        <v>1368.8638916</v>
      </c>
      <c r="I1424">
        <v>1293.3100586</v>
      </c>
      <c r="J1424">
        <v>1276.8544922000001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762.58364700000004</v>
      </c>
      <c r="B1425" s="1">
        <f>DATE(2012,6,1) + TIME(14,0,27)</f>
        <v>41061.583645833336</v>
      </c>
      <c r="C1425">
        <v>90</v>
      </c>
      <c r="D1425">
        <v>89.945167541999993</v>
      </c>
      <c r="E1425">
        <v>60</v>
      </c>
      <c r="F1425">
        <v>56.833061217999997</v>
      </c>
      <c r="G1425">
        <v>1382.0756836</v>
      </c>
      <c r="H1425">
        <v>1368.8566894999999</v>
      </c>
      <c r="I1425">
        <v>1293.3096923999999</v>
      </c>
      <c r="J1425">
        <v>1276.847168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763.17889500000001</v>
      </c>
      <c r="B1426" s="1">
        <f>DATE(2012,6,2) + TIME(4,17,36)</f>
        <v>41062.178888888891</v>
      </c>
      <c r="C1426">
        <v>90</v>
      </c>
      <c r="D1426">
        <v>89.945144653</v>
      </c>
      <c r="E1426">
        <v>60</v>
      </c>
      <c r="F1426">
        <v>56.786567687999998</v>
      </c>
      <c r="G1426">
        <v>1382.0253906</v>
      </c>
      <c r="H1426">
        <v>1368.8178711</v>
      </c>
      <c r="I1426">
        <v>1293.2921143000001</v>
      </c>
      <c r="J1426">
        <v>1276.8244629000001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763.78403300000002</v>
      </c>
      <c r="B1427" s="1">
        <f>DATE(2012,6,2) + TIME(18,49,0)</f>
        <v>41062.78402777778</v>
      </c>
      <c r="C1427">
        <v>90</v>
      </c>
      <c r="D1427">
        <v>89.945129394999995</v>
      </c>
      <c r="E1427">
        <v>60</v>
      </c>
      <c r="F1427">
        <v>56.739181518999999</v>
      </c>
      <c r="G1427">
        <v>1381.9746094</v>
      </c>
      <c r="H1427">
        <v>1368.7785644999999</v>
      </c>
      <c r="I1427">
        <v>1293.2740478999999</v>
      </c>
      <c r="J1427">
        <v>1276.8010254000001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764.397378</v>
      </c>
      <c r="B1428" s="1">
        <f>DATE(2012,6,3) + TIME(9,32,13)</f>
        <v>41063.397372685184</v>
      </c>
      <c r="C1428">
        <v>90</v>
      </c>
      <c r="D1428">
        <v>89.945114136000001</v>
      </c>
      <c r="E1428">
        <v>60</v>
      </c>
      <c r="F1428">
        <v>56.691123961999999</v>
      </c>
      <c r="G1428">
        <v>1381.9235839999999</v>
      </c>
      <c r="H1428">
        <v>1368.7390137</v>
      </c>
      <c r="I1428">
        <v>1293.2554932</v>
      </c>
      <c r="J1428">
        <v>1276.7768555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765.01993300000004</v>
      </c>
      <c r="B1429" s="1">
        <f>DATE(2012,6,4) + TIME(0,28,42)</f>
        <v>41064.019930555558</v>
      </c>
      <c r="C1429">
        <v>90</v>
      </c>
      <c r="D1429">
        <v>89.945091247999997</v>
      </c>
      <c r="E1429">
        <v>60</v>
      </c>
      <c r="F1429">
        <v>56.642456054999997</v>
      </c>
      <c r="G1429">
        <v>1381.8725586</v>
      </c>
      <c r="H1429">
        <v>1368.6995850000001</v>
      </c>
      <c r="I1429">
        <v>1293.2365723</v>
      </c>
      <c r="J1429">
        <v>1276.7520752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765.65291000000002</v>
      </c>
      <c r="B1430" s="1">
        <f>DATE(2012,6,4) + TIME(15,40,11)</f>
        <v>41064.652905092589</v>
      </c>
      <c r="C1430">
        <v>90</v>
      </c>
      <c r="D1430">
        <v>89.945075989000003</v>
      </c>
      <c r="E1430">
        <v>60</v>
      </c>
      <c r="F1430">
        <v>56.593173981</v>
      </c>
      <c r="G1430">
        <v>1381.8216553</v>
      </c>
      <c r="H1430">
        <v>1368.6600341999999</v>
      </c>
      <c r="I1430">
        <v>1293.2171631000001</v>
      </c>
      <c r="J1430">
        <v>1276.7268065999999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766.29768999999999</v>
      </c>
      <c r="B1431" s="1">
        <f>DATE(2012,6,5) + TIME(7,8,40)</f>
        <v>41065.297685185185</v>
      </c>
      <c r="C1431">
        <v>90</v>
      </c>
      <c r="D1431">
        <v>89.945053100999999</v>
      </c>
      <c r="E1431">
        <v>60</v>
      </c>
      <c r="F1431">
        <v>56.543239593999999</v>
      </c>
      <c r="G1431">
        <v>1381.7705077999999</v>
      </c>
      <c r="H1431">
        <v>1368.6203613</v>
      </c>
      <c r="I1431">
        <v>1293.1973877</v>
      </c>
      <c r="J1431">
        <v>1276.7006836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766.94825700000001</v>
      </c>
      <c r="B1432" s="1">
        <f>DATE(2012,6,5) + TIME(22,45,29)</f>
        <v>41065.948252314818</v>
      </c>
      <c r="C1432">
        <v>90</v>
      </c>
      <c r="D1432">
        <v>89.945037842000005</v>
      </c>
      <c r="E1432">
        <v>60</v>
      </c>
      <c r="F1432">
        <v>56.492908477999997</v>
      </c>
      <c r="G1432">
        <v>1381.7191161999999</v>
      </c>
      <c r="H1432">
        <v>1368.5805664</v>
      </c>
      <c r="I1432">
        <v>1293.1768798999999</v>
      </c>
      <c r="J1432">
        <v>1276.6738281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767.60204999999996</v>
      </c>
      <c r="B1433" s="1">
        <f>DATE(2012,6,6) + TIME(14,26,57)</f>
        <v>41066.602048611108</v>
      </c>
      <c r="C1433">
        <v>90</v>
      </c>
      <c r="D1433">
        <v>89.945022582999997</v>
      </c>
      <c r="E1433">
        <v>60</v>
      </c>
      <c r="F1433">
        <v>56.442378998000002</v>
      </c>
      <c r="G1433">
        <v>1381.6680908000001</v>
      </c>
      <c r="H1433">
        <v>1368.5408935999999</v>
      </c>
      <c r="I1433">
        <v>1293.1561279</v>
      </c>
      <c r="J1433">
        <v>1276.6464844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768.25869899999998</v>
      </c>
      <c r="B1434" s="1">
        <f>DATE(2012,6,7) + TIME(6,12,31)</f>
        <v>41067.258692129632</v>
      </c>
      <c r="C1434">
        <v>90</v>
      </c>
      <c r="D1434">
        <v>89.945007324000002</v>
      </c>
      <c r="E1434">
        <v>60</v>
      </c>
      <c r="F1434">
        <v>56.391746521000002</v>
      </c>
      <c r="G1434">
        <v>1381.6174315999999</v>
      </c>
      <c r="H1434">
        <v>1368.5014647999999</v>
      </c>
      <c r="I1434">
        <v>1293.1350098</v>
      </c>
      <c r="J1434">
        <v>1276.6186522999999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768.91940699999998</v>
      </c>
      <c r="B1435" s="1">
        <f>DATE(2012,6,7) + TIME(22,3,56)</f>
        <v>41067.919398148151</v>
      </c>
      <c r="C1435">
        <v>90</v>
      </c>
      <c r="D1435">
        <v>89.944992064999994</v>
      </c>
      <c r="E1435">
        <v>60</v>
      </c>
      <c r="F1435">
        <v>56.341011047000002</v>
      </c>
      <c r="G1435">
        <v>1381.5672606999999</v>
      </c>
      <c r="H1435">
        <v>1368.4624022999999</v>
      </c>
      <c r="I1435">
        <v>1293.1135254000001</v>
      </c>
      <c r="J1435">
        <v>1276.5904541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769.58538499999997</v>
      </c>
      <c r="B1436" s="1">
        <f>DATE(2012,6,8) + TIME(14,2,57)</f>
        <v>41068.585381944446</v>
      </c>
      <c r="C1436">
        <v>90</v>
      </c>
      <c r="D1436">
        <v>89.944976807000003</v>
      </c>
      <c r="E1436">
        <v>60</v>
      </c>
      <c r="F1436">
        <v>56.290134430000002</v>
      </c>
      <c r="G1436">
        <v>1381.5174560999999</v>
      </c>
      <c r="H1436">
        <v>1368.4237060999999</v>
      </c>
      <c r="I1436">
        <v>1293.0917969</v>
      </c>
      <c r="J1436">
        <v>1276.5616454999999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770.25787500000001</v>
      </c>
      <c r="B1437" s="1">
        <f>DATE(2012,6,9) + TIME(6,11,20)</f>
        <v>41069.257870370369</v>
      </c>
      <c r="C1437">
        <v>90</v>
      </c>
      <c r="D1437">
        <v>89.944961547999995</v>
      </c>
      <c r="E1437">
        <v>60</v>
      </c>
      <c r="F1437">
        <v>56.239051818999997</v>
      </c>
      <c r="G1437">
        <v>1381.4678954999999</v>
      </c>
      <c r="H1437">
        <v>1368.3850098</v>
      </c>
      <c r="I1437">
        <v>1293.0697021000001</v>
      </c>
      <c r="J1437">
        <v>1276.5323486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770.93845799999997</v>
      </c>
      <c r="B1438" s="1">
        <f>DATE(2012,6,9) + TIME(22,31,22)</f>
        <v>41069.938449074078</v>
      </c>
      <c r="C1438">
        <v>90</v>
      </c>
      <c r="D1438">
        <v>89.944946289000001</v>
      </c>
      <c r="E1438">
        <v>60</v>
      </c>
      <c r="F1438">
        <v>56.187671661000003</v>
      </c>
      <c r="G1438">
        <v>1381.4185791</v>
      </c>
      <c r="H1438">
        <v>1368.3465576000001</v>
      </c>
      <c r="I1438">
        <v>1293.0471190999999</v>
      </c>
      <c r="J1438">
        <v>1276.5023193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771.62837100000002</v>
      </c>
      <c r="B1439" s="1">
        <f>DATE(2012,6,10) + TIME(15,4,51)</f>
        <v>41070.628368055557</v>
      </c>
      <c r="C1439">
        <v>90</v>
      </c>
      <c r="D1439">
        <v>89.944931030000006</v>
      </c>
      <c r="E1439">
        <v>60</v>
      </c>
      <c r="F1439">
        <v>56.135906218999999</v>
      </c>
      <c r="G1439">
        <v>1381.3692627</v>
      </c>
      <c r="H1439">
        <v>1368.3081055</v>
      </c>
      <c r="I1439">
        <v>1293.0240478999999</v>
      </c>
      <c r="J1439">
        <v>1276.4715576000001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772.32886499999995</v>
      </c>
      <c r="B1440" s="1">
        <f>DATE(2012,6,11) + TIME(7,53,33)</f>
        <v>41071.32885416667</v>
      </c>
      <c r="C1440">
        <v>90</v>
      </c>
      <c r="D1440">
        <v>89.944923400999997</v>
      </c>
      <c r="E1440">
        <v>60</v>
      </c>
      <c r="F1440">
        <v>56.08367157</v>
      </c>
      <c r="G1440">
        <v>1381.3199463000001</v>
      </c>
      <c r="H1440">
        <v>1368.2695312000001</v>
      </c>
      <c r="I1440">
        <v>1293.0003661999999</v>
      </c>
      <c r="J1440">
        <v>1276.4400635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773.041427</v>
      </c>
      <c r="B1441" s="1">
        <f>DATE(2012,6,12) + TIME(0,59,39)</f>
        <v>41072.04142361111</v>
      </c>
      <c r="C1441">
        <v>90</v>
      </c>
      <c r="D1441">
        <v>89.944908142000003</v>
      </c>
      <c r="E1441">
        <v>60</v>
      </c>
      <c r="F1441">
        <v>56.030864716000004</v>
      </c>
      <c r="G1441">
        <v>1381.2703856999999</v>
      </c>
      <c r="H1441">
        <v>1368.2308350000001</v>
      </c>
      <c r="I1441">
        <v>1292.9761963000001</v>
      </c>
      <c r="J1441">
        <v>1276.4075928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773.76765899999998</v>
      </c>
      <c r="B1442" s="1">
        <f>DATE(2012,6,12) + TIME(18,25,25)</f>
        <v>41072.767650462964</v>
      </c>
      <c r="C1442">
        <v>90</v>
      </c>
      <c r="D1442">
        <v>89.944900512999993</v>
      </c>
      <c r="E1442">
        <v>60</v>
      </c>
      <c r="F1442">
        <v>55.977382660000004</v>
      </c>
      <c r="G1442">
        <v>1381.2208252</v>
      </c>
      <c r="H1442">
        <v>1368.1920166</v>
      </c>
      <c r="I1442">
        <v>1292.9512939000001</v>
      </c>
      <c r="J1442">
        <v>1276.3742675999999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774.50920099999996</v>
      </c>
      <c r="B1443" s="1">
        <f>DATE(2012,6,13) + TIME(12,13,14)</f>
        <v>41073.509189814817</v>
      </c>
      <c r="C1443">
        <v>90</v>
      </c>
      <c r="D1443">
        <v>89.944885253999999</v>
      </c>
      <c r="E1443">
        <v>60</v>
      </c>
      <c r="F1443">
        <v>55.923114777000002</v>
      </c>
      <c r="G1443">
        <v>1381.1707764</v>
      </c>
      <c r="H1443">
        <v>1368.1529541</v>
      </c>
      <c r="I1443">
        <v>1292.9256591999999</v>
      </c>
      <c r="J1443">
        <v>1276.3398437999999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775.26793999999995</v>
      </c>
      <c r="B1444" s="1">
        <f>DATE(2012,6,14) + TIME(6,25,50)</f>
        <v>41074.267939814818</v>
      </c>
      <c r="C1444">
        <v>90</v>
      </c>
      <c r="D1444">
        <v>89.944877625000004</v>
      </c>
      <c r="E1444">
        <v>60</v>
      </c>
      <c r="F1444">
        <v>55.867938995000003</v>
      </c>
      <c r="G1444">
        <v>1381.1204834</v>
      </c>
      <c r="H1444">
        <v>1368.1134033000001</v>
      </c>
      <c r="I1444">
        <v>1292.8990478999999</v>
      </c>
      <c r="J1444">
        <v>1276.3040771000001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775.65680999999995</v>
      </c>
      <c r="B1445" s="1">
        <f>DATE(2012,6,14) + TIME(15,45,48)</f>
        <v>41074.656805555554</v>
      </c>
      <c r="C1445">
        <v>90</v>
      </c>
      <c r="D1445">
        <v>89.944862365999995</v>
      </c>
      <c r="E1445">
        <v>60</v>
      </c>
      <c r="F1445">
        <v>55.831195831000002</v>
      </c>
      <c r="G1445">
        <v>1381.0694579999999</v>
      </c>
      <c r="H1445">
        <v>1368.0733643000001</v>
      </c>
      <c r="I1445">
        <v>1292.8707274999999</v>
      </c>
      <c r="J1445">
        <v>1276.2697754000001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776.04567999999995</v>
      </c>
      <c r="B1446" s="1">
        <f>DATE(2012,6,15) + TIME(1,5,46)</f>
        <v>41075.045671296299</v>
      </c>
      <c r="C1446">
        <v>90</v>
      </c>
      <c r="D1446">
        <v>89.944847107000001</v>
      </c>
      <c r="E1446">
        <v>60</v>
      </c>
      <c r="F1446">
        <v>55.796985626000001</v>
      </c>
      <c r="G1446">
        <v>1381.0432129000001</v>
      </c>
      <c r="H1446">
        <v>1368.0527344</v>
      </c>
      <c r="I1446">
        <v>1292.8563231999999</v>
      </c>
      <c r="J1446">
        <v>1276.2492675999999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776.43454999999994</v>
      </c>
      <c r="B1447" s="1">
        <f>DATE(2012,6,15) + TIME(10,25,45)</f>
        <v>41075.434548611112</v>
      </c>
      <c r="C1447">
        <v>90</v>
      </c>
      <c r="D1447">
        <v>89.944839478000006</v>
      </c>
      <c r="E1447">
        <v>60</v>
      </c>
      <c r="F1447">
        <v>55.764545441000003</v>
      </c>
      <c r="G1447">
        <v>1381.0175781</v>
      </c>
      <c r="H1447">
        <v>1368.0325928</v>
      </c>
      <c r="I1447">
        <v>1292.8420410000001</v>
      </c>
      <c r="J1447">
        <v>1276.229126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776.82342000000006</v>
      </c>
      <c r="B1448" s="1">
        <f>DATE(2012,6,15) + TIME(19,45,43)</f>
        <v>41075.823414351849</v>
      </c>
      <c r="C1448">
        <v>90</v>
      </c>
      <c r="D1448">
        <v>89.944831848000007</v>
      </c>
      <c r="E1448">
        <v>60</v>
      </c>
      <c r="F1448">
        <v>55.733348845999998</v>
      </c>
      <c r="G1448">
        <v>1380.9921875</v>
      </c>
      <c r="H1448">
        <v>1368.0125731999999</v>
      </c>
      <c r="I1448">
        <v>1292.8276367000001</v>
      </c>
      <c r="J1448">
        <v>1276.2089844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777.60115900000005</v>
      </c>
      <c r="B1449" s="1">
        <f>DATE(2012,6,16) + TIME(14,25,40)</f>
        <v>41076.601157407407</v>
      </c>
      <c r="C1449">
        <v>90</v>
      </c>
      <c r="D1449">
        <v>89.944839478000006</v>
      </c>
      <c r="E1449">
        <v>60</v>
      </c>
      <c r="F1449">
        <v>55.686950684000003</v>
      </c>
      <c r="G1449">
        <v>1380.9671631000001</v>
      </c>
      <c r="H1449">
        <v>1367.9929199000001</v>
      </c>
      <c r="I1449">
        <v>1292.8140868999999</v>
      </c>
      <c r="J1449">
        <v>1276.1867675999999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778.37963400000001</v>
      </c>
      <c r="B1450" s="1">
        <f>DATE(2012,6,17) + TIME(9,6,40)</f>
        <v>41077.379629629628</v>
      </c>
      <c r="C1450">
        <v>90</v>
      </c>
      <c r="D1450">
        <v>89.944831848000007</v>
      </c>
      <c r="E1450">
        <v>60</v>
      </c>
      <c r="F1450">
        <v>55.635753631999997</v>
      </c>
      <c r="G1450">
        <v>1380.9172363</v>
      </c>
      <c r="H1450">
        <v>1367.9537353999999</v>
      </c>
      <c r="I1450">
        <v>1292.7850341999999</v>
      </c>
      <c r="J1450">
        <v>1276.1485596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779.16229199999998</v>
      </c>
      <c r="B1451" s="1">
        <f>DATE(2012,6,18) + TIME(3,53,42)</f>
        <v>41078.162291666667</v>
      </c>
      <c r="C1451">
        <v>90</v>
      </c>
      <c r="D1451">
        <v>89.944824218999997</v>
      </c>
      <c r="E1451">
        <v>60</v>
      </c>
      <c r="F1451">
        <v>55.581970214999998</v>
      </c>
      <c r="G1451">
        <v>1380.8675536999999</v>
      </c>
      <c r="H1451">
        <v>1367.9146728999999</v>
      </c>
      <c r="I1451">
        <v>1292.7554932</v>
      </c>
      <c r="J1451">
        <v>1276.1090088000001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779.95056099999999</v>
      </c>
      <c r="B1452" s="1">
        <f>DATE(2012,6,18) + TIME(22,48,48)</f>
        <v>41078.950555555559</v>
      </c>
      <c r="C1452">
        <v>90</v>
      </c>
      <c r="D1452">
        <v>89.944816588999998</v>
      </c>
      <c r="E1452">
        <v>60</v>
      </c>
      <c r="F1452">
        <v>55.526714325</v>
      </c>
      <c r="G1452">
        <v>1380.8183594</v>
      </c>
      <c r="H1452">
        <v>1367.8757324000001</v>
      </c>
      <c r="I1452">
        <v>1292.7253418</v>
      </c>
      <c r="J1452">
        <v>1276.0682373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780.74591499999997</v>
      </c>
      <c r="B1453" s="1">
        <f>DATE(2012,6,19) + TIME(17,54,7)</f>
        <v>41079.74591435185</v>
      </c>
      <c r="C1453">
        <v>90</v>
      </c>
      <c r="D1453">
        <v>89.944816588999998</v>
      </c>
      <c r="E1453">
        <v>60</v>
      </c>
      <c r="F1453">
        <v>55.470527648999997</v>
      </c>
      <c r="G1453">
        <v>1380.7692870999999</v>
      </c>
      <c r="H1453">
        <v>1367.8371582</v>
      </c>
      <c r="I1453">
        <v>1292.6947021000001</v>
      </c>
      <c r="J1453">
        <v>1276.0264893000001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781.54998399999999</v>
      </c>
      <c r="B1454" s="1">
        <f>DATE(2012,6,20) + TIME(13,11,58)</f>
        <v>41080.549976851849</v>
      </c>
      <c r="C1454">
        <v>90</v>
      </c>
      <c r="D1454">
        <v>89.944808960000003</v>
      </c>
      <c r="E1454">
        <v>60</v>
      </c>
      <c r="F1454">
        <v>55.413639068999998</v>
      </c>
      <c r="G1454">
        <v>1380.7204589999999</v>
      </c>
      <c r="H1454">
        <v>1367.7984618999999</v>
      </c>
      <c r="I1454">
        <v>1292.6634521000001</v>
      </c>
      <c r="J1454">
        <v>1275.9836425999999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782.36467400000004</v>
      </c>
      <c r="B1455" s="1">
        <f>DATE(2012,6,21) + TIME(8,45,7)</f>
        <v>41081.364664351851</v>
      </c>
      <c r="C1455">
        <v>90</v>
      </c>
      <c r="D1455">
        <v>89.944801330999994</v>
      </c>
      <c r="E1455">
        <v>60</v>
      </c>
      <c r="F1455">
        <v>55.356105804000002</v>
      </c>
      <c r="G1455">
        <v>1380.6716309000001</v>
      </c>
      <c r="H1455">
        <v>1367.7598877</v>
      </c>
      <c r="I1455">
        <v>1292.6313477000001</v>
      </c>
      <c r="J1455">
        <v>1275.9395752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783.19124899999997</v>
      </c>
      <c r="B1456" s="1">
        <f>DATE(2012,6,22) + TIME(4,35,23)</f>
        <v>41082.191238425927</v>
      </c>
      <c r="C1456">
        <v>90</v>
      </c>
      <c r="D1456">
        <v>89.944793700999995</v>
      </c>
      <c r="E1456">
        <v>60</v>
      </c>
      <c r="F1456">
        <v>55.297916411999999</v>
      </c>
      <c r="G1456">
        <v>1380.6228027</v>
      </c>
      <c r="H1456">
        <v>1367.7211914</v>
      </c>
      <c r="I1456">
        <v>1292.5985106999999</v>
      </c>
      <c r="J1456">
        <v>1275.8944091999999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784.03146800000002</v>
      </c>
      <c r="B1457" s="1">
        <f>DATE(2012,6,23) + TIME(0,45,18)</f>
        <v>41083.031458333331</v>
      </c>
      <c r="C1457">
        <v>90</v>
      </c>
      <c r="D1457">
        <v>89.944793700999995</v>
      </c>
      <c r="E1457">
        <v>60</v>
      </c>
      <c r="F1457">
        <v>55.239006042</v>
      </c>
      <c r="G1457">
        <v>1380.5737305</v>
      </c>
      <c r="H1457">
        <v>1367.6823730000001</v>
      </c>
      <c r="I1457">
        <v>1292.5646973</v>
      </c>
      <c r="J1457">
        <v>1275.8477783000001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784.887202</v>
      </c>
      <c r="B1458" s="1">
        <f>DATE(2012,6,23) + TIME(21,17,34)</f>
        <v>41083.887199074074</v>
      </c>
      <c r="C1458">
        <v>90</v>
      </c>
      <c r="D1458">
        <v>89.944786071999999</v>
      </c>
      <c r="E1458">
        <v>60</v>
      </c>
      <c r="F1458">
        <v>55.179279327000003</v>
      </c>
      <c r="G1458">
        <v>1380.5245361</v>
      </c>
      <c r="H1458">
        <v>1367.6433105000001</v>
      </c>
      <c r="I1458">
        <v>1292.5300293</v>
      </c>
      <c r="J1458">
        <v>1275.7995605000001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785.76047100000005</v>
      </c>
      <c r="B1459" s="1">
        <f>DATE(2012,6,24) + TIME(18,15,4)</f>
        <v>41084.760462962964</v>
      </c>
      <c r="C1459">
        <v>90</v>
      </c>
      <c r="D1459">
        <v>89.944786071999999</v>
      </c>
      <c r="E1459">
        <v>60</v>
      </c>
      <c r="F1459">
        <v>55.118614196999999</v>
      </c>
      <c r="G1459">
        <v>1380.4749756000001</v>
      </c>
      <c r="H1459">
        <v>1367.6040039</v>
      </c>
      <c r="I1459">
        <v>1292.4941406</v>
      </c>
      <c r="J1459">
        <v>1275.7497559000001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786.65335200000004</v>
      </c>
      <c r="B1460" s="1">
        <f>DATE(2012,6,25) + TIME(15,40,49)</f>
        <v>41085.653344907405</v>
      </c>
      <c r="C1460">
        <v>90</v>
      </c>
      <c r="D1460">
        <v>89.944786071999999</v>
      </c>
      <c r="E1460">
        <v>60</v>
      </c>
      <c r="F1460">
        <v>55.056880950999997</v>
      </c>
      <c r="G1460">
        <v>1380.4250488</v>
      </c>
      <c r="H1460">
        <v>1367.5643310999999</v>
      </c>
      <c r="I1460">
        <v>1292.4571533000001</v>
      </c>
      <c r="J1460">
        <v>1275.6982422000001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787.56244900000002</v>
      </c>
      <c r="B1461" s="1">
        <f>DATE(2012,6,26) + TIME(13,29,55)</f>
        <v>41086.562442129631</v>
      </c>
      <c r="C1461">
        <v>90</v>
      </c>
      <c r="D1461">
        <v>89.944778442</v>
      </c>
      <c r="E1461">
        <v>60</v>
      </c>
      <c r="F1461">
        <v>54.994121552000003</v>
      </c>
      <c r="G1461">
        <v>1380.3746338000001</v>
      </c>
      <c r="H1461">
        <v>1367.5241699000001</v>
      </c>
      <c r="I1461">
        <v>1292.4187012</v>
      </c>
      <c r="J1461">
        <v>1275.6446533000001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788.48377600000003</v>
      </c>
      <c r="B1462" s="1">
        <f>DATE(2012,6,27) + TIME(11,36,38)</f>
        <v>41087.483773148146</v>
      </c>
      <c r="C1462">
        <v>90</v>
      </c>
      <c r="D1462">
        <v>89.944778442</v>
      </c>
      <c r="E1462">
        <v>60</v>
      </c>
      <c r="F1462">
        <v>54.930500031000001</v>
      </c>
      <c r="G1462">
        <v>1380.3238524999999</v>
      </c>
      <c r="H1462">
        <v>1367.4836425999999</v>
      </c>
      <c r="I1462">
        <v>1292.3791504000001</v>
      </c>
      <c r="J1462">
        <v>1275.5893555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789.40624200000002</v>
      </c>
      <c r="B1463" s="1">
        <f>DATE(2012,6,28) + TIME(9,44,59)</f>
        <v>41088.406238425923</v>
      </c>
      <c r="C1463">
        <v>90</v>
      </c>
      <c r="D1463">
        <v>89.944778442</v>
      </c>
      <c r="E1463">
        <v>60</v>
      </c>
      <c r="F1463">
        <v>54.866474152000002</v>
      </c>
      <c r="G1463">
        <v>1380.2729492000001</v>
      </c>
      <c r="H1463">
        <v>1367.4431152</v>
      </c>
      <c r="I1463">
        <v>1292.3383789</v>
      </c>
      <c r="J1463">
        <v>1275.5323486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790.33164899999997</v>
      </c>
      <c r="B1464" s="1">
        <f>DATE(2012,6,29) + TIME(7,57,34)</f>
        <v>41089.331643518519</v>
      </c>
      <c r="C1464">
        <v>90</v>
      </c>
      <c r="D1464">
        <v>89.944778442</v>
      </c>
      <c r="E1464">
        <v>60</v>
      </c>
      <c r="F1464">
        <v>54.802215576000002</v>
      </c>
      <c r="G1464">
        <v>1380.2226562000001</v>
      </c>
      <c r="H1464">
        <v>1367.4029541</v>
      </c>
      <c r="I1464">
        <v>1292.2971190999999</v>
      </c>
      <c r="J1464">
        <v>1275.4742432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791.26182500000004</v>
      </c>
      <c r="B1465" s="1">
        <f>DATE(2012,6,30) + TIME(6,17,1)</f>
        <v>41090.261817129627</v>
      </c>
      <c r="C1465">
        <v>90</v>
      </c>
      <c r="D1465">
        <v>89.944778442</v>
      </c>
      <c r="E1465">
        <v>60</v>
      </c>
      <c r="F1465">
        <v>54.737747192</v>
      </c>
      <c r="G1465">
        <v>1380.1727295000001</v>
      </c>
      <c r="H1465">
        <v>1367.3630370999999</v>
      </c>
      <c r="I1465">
        <v>1292.2551269999999</v>
      </c>
      <c r="J1465">
        <v>1275.4150391000001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792</v>
      </c>
      <c r="B1466" s="1">
        <f>DATE(2012,7,1) + TIME(0,0,0)</f>
        <v>41091</v>
      </c>
      <c r="C1466">
        <v>90</v>
      </c>
      <c r="D1466">
        <v>89.944770813000005</v>
      </c>
      <c r="E1466">
        <v>60</v>
      </c>
      <c r="F1466">
        <v>54.680465697999999</v>
      </c>
      <c r="G1466">
        <v>1380.1230469</v>
      </c>
      <c r="H1466">
        <v>1367.3232422000001</v>
      </c>
      <c r="I1466">
        <v>1292.2122803</v>
      </c>
      <c r="J1466">
        <v>1275.3562012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792.936736</v>
      </c>
      <c r="B1467" s="1">
        <f>DATE(2012,7,1) + TIME(22,28,53)</f>
        <v>41091.936724537038</v>
      </c>
      <c r="C1467">
        <v>90</v>
      </c>
      <c r="D1467">
        <v>89.944778442</v>
      </c>
      <c r="E1467">
        <v>60</v>
      </c>
      <c r="F1467">
        <v>54.618869781000001</v>
      </c>
      <c r="G1467">
        <v>1380.0841064000001</v>
      </c>
      <c r="H1467">
        <v>1367.2919922000001</v>
      </c>
      <c r="I1467">
        <v>1292.1776123</v>
      </c>
      <c r="J1467">
        <v>1275.3045654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793.889994</v>
      </c>
      <c r="B1468" s="1">
        <f>DATE(2012,7,2) + TIME(21,21,35)</f>
        <v>41092.889988425923</v>
      </c>
      <c r="C1468">
        <v>90</v>
      </c>
      <c r="D1468">
        <v>89.944778442</v>
      </c>
      <c r="E1468">
        <v>60</v>
      </c>
      <c r="F1468">
        <v>54.555057525999999</v>
      </c>
      <c r="G1468">
        <v>1380.0352783000001</v>
      </c>
      <c r="H1468">
        <v>1367.2529297000001</v>
      </c>
      <c r="I1468">
        <v>1292.1337891000001</v>
      </c>
      <c r="J1468">
        <v>1275.2424315999999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794.85567800000001</v>
      </c>
      <c r="B1469" s="1">
        <f>DATE(2012,7,3) + TIME(20,32,10)</f>
        <v>41093.855671296296</v>
      </c>
      <c r="C1469">
        <v>90</v>
      </c>
      <c r="D1469">
        <v>89.944778442</v>
      </c>
      <c r="E1469">
        <v>60</v>
      </c>
      <c r="F1469">
        <v>54.489757537999999</v>
      </c>
      <c r="G1469">
        <v>1379.9860839999999</v>
      </c>
      <c r="H1469">
        <v>1367.2133789</v>
      </c>
      <c r="I1469">
        <v>1292.0883789</v>
      </c>
      <c r="J1469">
        <v>1275.1779785000001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795.83531900000003</v>
      </c>
      <c r="B1470" s="1">
        <f>DATE(2012,7,4) + TIME(20,2,51)</f>
        <v>41094.835312499999</v>
      </c>
      <c r="C1470">
        <v>90</v>
      </c>
      <c r="D1470">
        <v>89.944786071999999</v>
      </c>
      <c r="E1470">
        <v>60</v>
      </c>
      <c r="F1470">
        <v>54.423290252999998</v>
      </c>
      <c r="G1470">
        <v>1379.9367675999999</v>
      </c>
      <c r="H1470">
        <v>1367.1737060999999</v>
      </c>
      <c r="I1470">
        <v>1292.0417480000001</v>
      </c>
      <c r="J1470">
        <v>1275.1114502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796.82907</v>
      </c>
      <c r="B1471" s="1">
        <f>DATE(2012,7,5) + TIME(19,53,51)</f>
        <v>41095.829062500001</v>
      </c>
      <c r="C1471">
        <v>90</v>
      </c>
      <c r="D1471">
        <v>89.944786071999999</v>
      </c>
      <c r="E1471">
        <v>60</v>
      </c>
      <c r="F1471">
        <v>54.355792999000002</v>
      </c>
      <c r="G1471">
        <v>1379.8873291</v>
      </c>
      <c r="H1471">
        <v>1367.1337891000001</v>
      </c>
      <c r="I1471">
        <v>1291.9938964999999</v>
      </c>
      <c r="J1471">
        <v>1275.0427245999999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797.83414200000004</v>
      </c>
      <c r="B1472" s="1">
        <f>DATE(2012,7,6) + TIME(20,1,9)</f>
        <v>41096.834131944444</v>
      </c>
      <c r="C1472">
        <v>90</v>
      </c>
      <c r="D1472">
        <v>89.944793700999995</v>
      </c>
      <c r="E1472">
        <v>60</v>
      </c>
      <c r="F1472">
        <v>54.287418365000001</v>
      </c>
      <c r="G1472">
        <v>1379.8376464999999</v>
      </c>
      <c r="H1472">
        <v>1367.09375</v>
      </c>
      <c r="I1472">
        <v>1291.9445800999999</v>
      </c>
      <c r="J1472">
        <v>1274.9720459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798.85281999999995</v>
      </c>
      <c r="B1473" s="1">
        <f>DATE(2012,7,7) + TIME(20,28,3)</f>
        <v>41097.852812500001</v>
      </c>
      <c r="C1473">
        <v>90</v>
      </c>
      <c r="D1473">
        <v>89.944801330999994</v>
      </c>
      <c r="E1473">
        <v>60</v>
      </c>
      <c r="F1473">
        <v>54.218173981</v>
      </c>
      <c r="G1473">
        <v>1379.7879639</v>
      </c>
      <c r="H1473">
        <v>1367.0537108999999</v>
      </c>
      <c r="I1473">
        <v>1291.8941649999999</v>
      </c>
      <c r="J1473">
        <v>1274.8992920000001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799.88741700000003</v>
      </c>
      <c r="B1474" s="1">
        <f>DATE(2012,7,8) + TIME(21,17,52)</f>
        <v>41098.887407407405</v>
      </c>
      <c r="C1474">
        <v>90</v>
      </c>
      <c r="D1474">
        <v>89.944801330999994</v>
      </c>
      <c r="E1474">
        <v>60</v>
      </c>
      <c r="F1474">
        <v>54.147979736000003</v>
      </c>
      <c r="G1474">
        <v>1379.7381591999999</v>
      </c>
      <c r="H1474">
        <v>1367.0135498</v>
      </c>
      <c r="I1474">
        <v>1291.8422852000001</v>
      </c>
      <c r="J1474">
        <v>1274.8244629000001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800.93977700000005</v>
      </c>
      <c r="B1475" s="1">
        <f>DATE(2012,7,9) + TIME(22,33,16)</f>
        <v>41099.939768518518</v>
      </c>
      <c r="C1475">
        <v>90</v>
      </c>
      <c r="D1475">
        <v>89.944808960000003</v>
      </c>
      <c r="E1475">
        <v>60</v>
      </c>
      <c r="F1475">
        <v>54.076713562000002</v>
      </c>
      <c r="G1475">
        <v>1379.6882324000001</v>
      </c>
      <c r="H1475">
        <v>1366.9730225000001</v>
      </c>
      <c r="I1475">
        <v>1291.7890625</v>
      </c>
      <c r="J1475">
        <v>1274.7471923999999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802.01231399999995</v>
      </c>
      <c r="B1476" s="1">
        <f>DATE(2012,7,11) + TIME(0,17,43)</f>
        <v>41101.012303240743</v>
      </c>
      <c r="C1476">
        <v>90</v>
      </c>
      <c r="D1476">
        <v>89.944816588999998</v>
      </c>
      <c r="E1476">
        <v>60</v>
      </c>
      <c r="F1476">
        <v>54.004238129000001</v>
      </c>
      <c r="G1476">
        <v>1379.6379394999999</v>
      </c>
      <c r="H1476">
        <v>1366.932251</v>
      </c>
      <c r="I1476">
        <v>1291.7341309000001</v>
      </c>
      <c r="J1476">
        <v>1274.6673584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803.09484899999995</v>
      </c>
      <c r="B1477" s="1">
        <f>DATE(2012,7,12) + TIME(2,16,34)</f>
        <v>41102.094837962963</v>
      </c>
      <c r="C1477">
        <v>90</v>
      </c>
      <c r="D1477">
        <v>89.944824218999997</v>
      </c>
      <c r="E1477">
        <v>60</v>
      </c>
      <c r="F1477">
        <v>53.930770873999997</v>
      </c>
      <c r="G1477">
        <v>1379.5871582</v>
      </c>
      <c r="H1477">
        <v>1366.8911132999999</v>
      </c>
      <c r="I1477">
        <v>1291.6774902</v>
      </c>
      <c r="J1477">
        <v>1274.5848389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804.18212900000003</v>
      </c>
      <c r="B1478" s="1">
        <f>DATE(2012,7,13) + TIME(4,22,15)</f>
        <v>41103.182118055556</v>
      </c>
      <c r="C1478">
        <v>90</v>
      </c>
      <c r="D1478">
        <v>89.944831848000007</v>
      </c>
      <c r="E1478">
        <v>60</v>
      </c>
      <c r="F1478">
        <v>53.856639862000002</v>
      </c>
      <c r="G1478">
        <v>1379.5366211</v>
      </c>
      <c r="H1478">
        <v>1366.8499756000001</v>
      </c>
      <c r="I1478">
        <v>1291.6195068</v>
      </c>
      <c r="J1478">
        <v>1274.5002440999999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805.27631699999995</v>
      </c>
      <c r="B1479" s="1">
        <f>DATE(2012,7,14) + TIME(6,37,53)</f>
        <v>41104.276307870372</v>
      </c>
      <c r="C1479">
        <v>90</v>
      </c>
      <c r="D1479">
        <v>89.944839478000006</v>
      </c>
      <c r="E1479">
        <v>60</v>
      </c>
      <c r="F1479">
        <v>53.781955719000003</v>
      </c>
      <c r="G1479">
        <v>1379.4863281</v>
      </c>
      <c r="H1479">
        <v>1366.809082</v>
      </c>
      <c r="I1479">
        <v>1291.5605469</v>
      </c>
      <c r="J1479">
        <v>1274.4138184000001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806.379591</v>
      </c>
      <c r="B1480" s="1">
        <f>DATE(2012,7,15) + TIME(9,6,36)</f>
        <v>41105.379583333335</v>
      </c>
      <c r="C1480">
        <v>90</v>
      </c>
      <c r="D1480">
        <v>89.944847107000001</v>
      </c>
      <c r="E1480">
        <v>60</v>
      </c>
      <c r="F1480">
        <v>53.706680298000002</v>
      </c>
      <c r="G1480">
        <v>1379.4361572</v>
      </c>
      <c r="H1480">
        <v>1366.7683105000001</v>
      </c>
      <c r="I1480">
        <v>1291.5004882999999</v>
      </c>
      <c r="J1480">
        <v>1274.3254394999999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807.49419499999999</v>
      </c>
      <c r="B1481" s="1">
        <f>DATE(2012,7,16) + TIME(11,51,38)</f>
        <v>41106.494189814817</v>
      </c>
      <c r="C1481">
        <v>90</v>
      </c>
      <c r="D1481">
        <v>89.944862365999995</v>
      </c>
      <c r="E1481">
        <v>60</v>
      </c>
      <c r="F1481">
        <v>53.630714417</v>
      </c>
      <c r="G1481">
        <v>1379.3862305</v>
      </c>
      <c r="H1481">
        <v>1366.7275391000001</v>
      </c>
      <c r="I1481">
        <v>1291.4390868999999</v>
      </c>
      <c r="J1481">
        <v>1274.2349853999999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808.61742900000002</v>
      </c>
      <c r="B1482" s="1">
        <f>DATE(2012,7,17) + TIME(14,49,5)</f>
        <v>41107.617418981485</v>
      </c>
      <c r="C1482">
        <v>90</v>
      </c>
      <c r="D1482">
        <v>89.944869995000005</v>
      </c>
      <c r="E1482">
        <v>60</v>
      </c>
      <c r="F1482">
        <v>53.55406189</v>
      </c>
      <c r="G1482">
        <v>1379.3363036999999</v>
      </c>
      <c r="H1482">
        <v>1366.6866454999999</v>
      </c>
      <c r="I1482">
        <v>1291.3764647999999</v>
      </c>
      <c r="J1482">
        <v>1274.1423339999999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809.74938599999996</v>
      </c>
      <c r="B1483" s="1">
        <f>DATE(2012,7,18) + TIME(17,59,6)</f>
        <v>41108.749374999999</v>
      </c>
      <c r="C1483">
        <v>90</v>
      </c>
      <c r="D1483">
        <v>89.944885253999999</v>
      </c>
      <c r="E1483">
        <v>60</v>
      </c>
      <c r="F1483">
        <v>53.476741791000002</v>
      </c>
      <c r="G1483">
        <v>1379.2863769999999</v>
      </c>
      <c r="H1483">
        <v>1366.6459961</v>
      </c>
      <c r="I1483">
        <v>1291.3125</v>
      </c>
      <c r="J1483">
        <v>1274.0474853999999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810.89222299999994</v>
      </c>
      <c r="B1484" s="1">
        <f>DATE(2012,7,19) + TIME(21,24,48)</f>
        <v>41109.892222222225</v>
      </c>
      <c r="C1484">
        <v>90</v>
      </c>
      <c r="D1484">
        <v>89.944892882999994</v>
      </c>
      <c r="E1484">
        <v>60</v>
      </c>
      <c r="F1484">
        <v>53.398696899000001</v>
      </c>
      <c r="G1484">
        <v>1379.2366943</v>
      </c>
      <c r="H1484">
        <v>1366.6052245999999</v>
      </c>
      <c r="I1484">
        <v>1291.2474365</v>
      </c>
      <c r="J1484">
        <v>1273.9505615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812.04814899999997</v>
      </c>
      <c r="B1485" s="1">
        <f>DATE(2012,7,21) + TIME(1,9,20)</f>
        <v>41111.048148148147</v>
      </c>
      <c r="C1485">
        <v>90</v>
      </c>
      <c r="D1485">
        <v>89.944908142000003</v>
      </c>
      <c r="E1485">
        <v>60</v>
      </c>
      <c r="F1485">
        <v>53.319805144999997</v>
      </c>
      <c r="G1485">
        <v>1379.1870117000001</v>
      </c>
      <c r="H1485">
        <v>1366.5644531</v>
      </c>
      <c r="I1485">
        <v>1291.1809082</v>
      </c>
      <c r="J1485">
        <v>1273.8513184000001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813.21970299999998</v>
      </c>
      <c r="B1486" s="1">
        <f>DATE(2012,7,22) + TIME(5,16,22)</f>
        <v>41112.219699074078</v>
      </c>
      <c r="C1486">
        <v>90</v>
      </c>
      <c r="D1486">
        <v>89.944923400999997</v>
      </c>
      <c r="E1486">
        <v>60</v>
      </c>
      <c r="F1486">
        <v>53.239925384999999</v>
      </c>
      <c r="G1486">
        <v>1379.1373291</v>
      </c>
      <c r="H1486">
        <v>1366.5236815999999</v>
      </c>
      <c r="I1486">
        <v>1291.112793</v>
      </c>
      <c r="J1486">
        <v>1273.7495117000001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814.40995299999997</v>
      </c>
      <c r="B1487" s="1">
        <f>DATE(2012,7,23) + TIME(9,50,19)</f>
        <v>41113.409942129627</v>
      </c>
      <c r="C1487">
        <v>90</v>
      </c>
      <c r="D1487">
        <v>89.944931030000006</v>
      </c>
      <c r="E1487">
        <v>60</v>
      </c>
      <c r="F1487">
        <v>53.158866881999998</v>
      </c>
      <c r="G1487">
        <v>1379.0874022999999</v>
      </c>
      <c r="H1487">
        <v>1366.4826660000001</v>
      </c>
      <c r="I1487">
        <v>1291.0432129000001</v>
      </c>
      <c r="J1487">
        <v>1273.6450195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815.62095799999997</v>
      </c>
      <c r="B1488" s="1">
        <f>DATE(2012,7,24) + TIME(14,54,10)</f>
        <v>41114.620949074073</v>
      </c>
      <c r="C1488">
        <v>90</v>
      </c>
      <c r="D1488">
        <v>89.944946289000001</v>
      </c>
      <c r="E1488">
        <v>60</v>
      </c>
      <c r="F1488">
        <v>53.076457976999997</v>
      </c>
      <c r="G1488">
        <v>1379.0372314000001</v>
      </c>
      <c r="H1488">
        <v>1366.4412841999999</v>
      </c>
      <c r="I1488">
        <v>1290.9716797000001</v>
      </c>
      <c r="J1488">
        <v>1273.5373535000001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816.84948699999995</v>
      </c>
      <c r="B1489" s="1">
        <f>DATE(2012,7,25) + TIME(20,23,15)</f>
        <v>41115.849479166667</v>
      </c>
      <c r="C1489">
        <v>90</v>
      </c>
      <c r="D1489">
        <v>89.944961547999995</v>
      </c>
      <c r="E1489">
        <v>60</v>
      </c>
      <c r="F1489">
        <v>52.992694855000003</v>
      </c>
      <c r="G1489">
        <v>1378.9866943</v>
      </c>
      <c r="H1489">
        <v>1366.3995361</v>
      </c>
      <c r="I1489">
        <v>1290.8980713000001</v>
      </c>
      <c r="J1489">
        <v>1273.4263916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818.094604</v>
      </c>
      <c r="B1490" s="1">
        <f>DATE(2012,7,27) + TIME(2,16,13)</f>
        <v>41117.094594907408</v>
      </c>
      <c r="C1490">
        <v>90</v>
      </c>
      <c r="D1490">
        <v>89.944984435999999</v>
      </c>
      <c r="E1490">
        <v>60</v>
      </c>
      <c r="F1490">
        <v>52.907634735000002</v>
      </c>
      <c r="G1490">
        <v>1378.9359131000001</v>
      </c>
      <c r="H1490">
        <v>1366.3576660000001</v>
      </c>
      <c r="I1490">
        <v>1290.8227539</v>
      </c>
      <c r="J1490">
        <v>1273.3123779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819.35917800000004</v>
      </c>
      <c r="B1491" s="1">
        <f>DATE(2012,7,28) + TIME(8,37,13)</f>
        <v>41118.359178240738</v>
      </c>
      <c r="C1491">
        <v>90</v>
      </c>
      <c r="D1491">
        <v>89.944999695000007</v>
      </c>
      <c r="E1491">
        <v>60</v>
      </c>
      <c r="F1491">
        <v>52.821224213000001</v>
      </c>
      <c r="G1491">
        <v>1378.8848877</v>
      </c>
      <c r="H1491">
        <v>1366.3154297000001</v>
      </c>
      <c r="I1491">
        <v>1290.7457274999999</v>
      </c>
      <c r="J1491">
        <v>1273.1951904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820.63699499999996</v>
      </c>
      <c r="B1492" s="1">
        <f>DATE(2012,7,29) + TIME(15,17,16)</f>
        <v>41119.636990740742</v>
      </c>
      <c r="C1492">
        <v>90</v>
      </c>
      <c r="D1492">
        <v>89.945014954000001</v>
      </c>
      <c r="E1492">
        <v>60</v>
      </c>
      <c r="F1492">
        <v>52.733592987000002</v>
      </c>
      <c r="G1492">
        <v>1378.8337402</v>
      </c>
      <c r="H1492">
        <v>1366.2730713000001</v>
      </c>
      <c r="I1492">
        <v>1290.666626</v>
      </c>
      <c r="J1492">
        <v>1273.0749512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821.92276300000003</v>
      </c>
      <c r="B1493" s="1">
        <f>DATE(2012,7,30) + TIME(22,8,46)</f>
        <v>41120.922754629632</v>
      </c>
      <c r="C1493">
        <v>90</v>
      </c>
      <c r="D1493">
        <v>89.945030212000006</v>
      </c>
      <c r="E1493">
        <v>60</v>
      </c>
      <c r="F1493">
        <v>52.645015717</v>
      </c>
      <c r="G1493">
        <v>1378.7823486</v>
      </c>
      <c r="H1493">
        <v>1366.2304687999999</v>
      </c>
      <c r="I1493">
        <v>1290.5860596</v>
      </c>
      <c r="J1493">
        <v>1272.9517822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823</v>
      </c>
      <c r="B1494" s="1">
        <f>DATE(2012,8,1) + TIME(0,0,0)</f>
        <v>41122</v>
      </c>
      <c r="C1494">
        <v>90</v>
      </c>
      <c r="D1494">
        <v>89.945045471</v>
      </c>
      <c r="E1494">
        <v>60</v>
      </c>
      <c r="F1494">
        <v>52.562362671000002</v>
      </c>
      <c r="G1494">
        <v>1378.7312012</v>
      </c>
      <c r="H1494">
        <v>1366.1879882999999</v>
      </c>
      <c r="I1494">
        <v>1290.5047606999999</v>
      </c>
      <c r="J1494">
        <v>1272.8291016000001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824.28916600000002</v>
      </c>
      <c r="B1495" s="1">
        <f>DATE(2012,8,2) + TIME(6,56,23)</f>
        <v>41123.289155092592</v>
      </c>
      <c r="C1495">
        <v>90</v>
      </c>
      <c r="D1495">
        <v>89.945068359000004</v>
      </c>
      <c r="E1495">
        <v>60</v>
      </c>
      <c r="F1495">
        <v>52.477714538999997</v>
      </c>
      <c r="G1495">
        <v>1378.6888428</v>
      </c>
      <c r="H1495">
        <v>1366.1525879000001</v>
      </c>
      <c r="I1495">
        <v>1290.4339600000001</v>
      </c>
      <c r="J1495">
        <v>1272.7174072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825.59284000000002</v>
      </c>
      <c r="B1496" s="1">
        <f>DATE(2012,8,3) + TIME(14,13,41)</f>
        <v>41124.592835648145</v>
      </c>
      <c r="C1496">
        <v>90</v>
      </c>
      <c r="D1496">
        <v>89.945083617999998</v>
      </c>
      <c r="E1496">
        <v>60</v>
      </c>
      <c r="F1496">
        <v>52.389595032000003</v>
      </c>
      <c r="G1496">
        <v>1378.6384277</v>
      </c>
      <c r="H1496">
        <v>1366.1107178</v>
      </c>
      <c r="I1496">
        <v>1290.3511963000001</v>
      </c>
      <c r="J1496">
        <v>1272.590332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826.90958599999999</v>
      </c>
      <c r="B1497" s="1">
        <f>DATE(2012,8,4) + TIME(21,49,48)</f>
        <v>41125.909583333334</v>
      </c>
      <c r="C1497">
        <v>90</v>
      </c>
      <c r="D1497">
        <v>89.945106506000002</v>
      </c>
      <c r="E1497">
        <v>60</v>
      </c>
      <c r="F1497">
        <v>52.299507140999999</v>
      </c>
      <c r="G1497">
        <v>1378.5880127</v>
      </c>
      <c r="H1497">
        <v>1366.0687256000001</v>
      </c>
      <c r="I1497">
        <v>1290.2664795000001</v>
      </c>
      <c r="J1497">
        <v>1272.4595947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828.24206500000003</v>
      </c>
      <c r="B1498" s="1">
        <f>DATE(2012,8,6) + TIME(5,48,34)</f>
        <v>41127.242060185185</v>
      </c>
      <c r="C1498">
        <v>90</v>
      </c>
      <c r="D1498">
        <v>89.945129394999995</v>
      </c>
      <c r="E1498">
        <v>60</v>
      </c>
      <c r="F1498">
        <v>52.208015441999997</v>
      </c>
      <c r="G1498">
        <v>1378.5374756000001</v>
      </c>
      <c r="H1498">
        <v>1366.0264893000001</v>
      </c>
      <c r="I1498">
        <v>1290.1801757999999</v>
      </c>
      <c r="J1498">
        <v>1272.3256836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829.59304599999996</v>
      </c>
      <c r="B1499" s="1">
        <f>DATE(2012,8,7) + TIME(14,13,59)</f>
        <v>41128.593043981484</v>
      </c>
      <c r="C1499">
        <v>90</v>
      </c>
      <c r="D1499">
        <v>89.945152282999999</v>
      </c>
      <c r="E1499">
        <v>60</v>
      </c>
      <c r="F1499">
        <v>52.115264893000003</v>
      </c>
      <c r="G1499">
        <v>1378.4869385</v>
      </c>
      <c r="H1499">
        <v>1365.9841309000001</v>
      </c>
      <c r="I1499">
        <v>1290.0922852000001</v>
      </c>
      <c r="J1499">
        <v>1272.1888428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830.96580400000005</v>
      </c>
      <c r="B1500" s="1">
        <f>DATE(2012,8,8) + TIME(23,10,45)</f>
        <v>41129.965798611112</v>
      </c>
      <c r="C1500">
        <v>90</v>
      </c>
      <c r="D1500">
        <v>89.945175171000002</v>
      </c>
      <c r="E1500">
        <v>60</v>
      </c>
      <c r="F1500">
        <v>52.021205901999998</v>
      </c>
      <c r="G1500">
        <v>1378.4360352000001</v>
      </c>
      <c r="H1500">
        <v>1365.9415283000001</v>
      </c>
      <c r="I1500">
        <v>1290.0025635</v>
      </c>
      <c r="J1500">
        <v>1272.0487060999999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832.35601399999996</v>
      </c>
      <c r="B1501" s="1">
        <f>DATE(2012,8,10) + TIME(8,32,39)</f>
        <v>41131.356006944443</v>
      </c>
      <c r="C1501">
        <v>90</v>
      </c>
      <c r="D1501">
        <v>89.945198059000006</v>
      </c>
      <c r="E1501">
        <v>60</v>
      </c>
      <c r="F1501">
        <v>51.925914763999998</v>
      </c>
      <c r="G1501">
        <v>1378.3847656</v>
      </c>
      <c r="H1501">
        <v>1365.8984375</v>
      </c>
      <c r="I1501">
        <v>1289.9110106999999</v>
      </c>
      <c r="J1501">
        <v>1271.9051514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833.76020700000004</v>
      </c>
      <c r="B1502" s="1">
        <f>DATE(2012,8,11) + TIME(18,14,41)</f>
        <v>41132.760196759256</v>
      </c>
      <c r="C1502">
        <v>90</v>
      </c>
      <c r="D1502">
        <v>89.945220946999996</v>
      </c>
      <c r="E1502">
        <v>60</v>
      </c>
      <c r="F1502">
        <v>51.829616547000001</v>
      </c>
      <c r="G1502">
        <v>1378.333374</v>
      </c>
      <c r="H1502">
        <v>1365.8552245999999</v>
      </c>
      <c r="I1502">
        <v>1289.817749</v>
      </c>
      <c r="J1502">
        <v>1271.7585449000001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835.17660999999998</v>
      </c>
      <c r="B1503" s="1">
        <f>DATE(2012,8,13) + TIME(4,14,19)</f>
        <v>41134.176608796297</v>
      </c>
      <c r="C1503">
        <v>90</v>
      </c>
      <c r="D1503">
        <v>89.945243834999999</v>
      </c>
      <c r="E1503">
        <v>60</v>
      </c>
      <c r="F1503">
        <v>51.732547760000003</v>
      </c>
      <c r="G1503">
        <v>1378.2818603999999</v>
      </c>
      <c r="H1503">
        <v>1365.8118896000001</v>
      </c>
      <c r="I1503">
        <v>1289.7231445</v>
      </c>
      <c r="J1503">
        <v>1271.6091309000001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836.60809500000005</v>
      </c>
      <c r="B1504" s="1">
        <f>DATE(2012,8,14) + TIME(14,35,39)</f>
        <v>41135.608090277776</v>
      </c>
      <c r="C1504">
        <v>90</v>
      </c>
      <c r="D1504">
        <v>89.945274353000002</v>
      </c>
      <c r="E1504">
        <v>60</v>
      </c>
      <c r="F1504">
        <v>51.634807586999997</v>
      </c>
      <c r="G1504">
        <v>1378.2303466999999</v>
      </c>
      <c r="H1504">
        <v>1365.7684326000001</v>
      </c>
      <c r="I1504">
        <v>1289.6271973</v>
      </c>
      <c r="J1504">
        <v>1271.4572754000001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838.05371700000001</v>
      </c>
      <c r="B1505" s="1">
        <f>DATE(2012,8,16) + TIME(1,17,21)</f>
        <v>41137.053715277776</v>
      </c>
      <c r="C1505">
        <v>90</v>
      </c>
      <c r="D1505">
        <v>89.945297241000006</v>
      </c>
      <c r="E1505">
        <v>60</v>
      </c>
      <c r="F1505">
        <v>51.536464690999999</v>
      </c>
      <c r="G1505">
        <v>1378.1787108999999</v>
      </c>
      <c r="H1505">
        <v>1365.7248535000001</v>
      </c>
      <c r="I1505">
        <v>1289.5300293</v>
      </c>
      <c r="J1505">
        <v>1271.3028564000001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839.51406399999996</v>
      </c>
      <c r="B1506" s="1">
        <f>DATE(2012,8,17) + TIME(12,20,15)</f>
        <v>41138.514062499999</v>
      </c>
      <c r="C1506">
        <v>90</v>
      </c>
      <c r="D1506">
        <v>89.945327758999994</v>
      </c>
      <c r="E1506">
        <v>60</v>
      </c>
      <c r="F1506">
        <v>51.437614441000001</v>
      </c>
      <c r="G1506">
        <v>1378.1270752</v>
      </c>
      <c r="H1506">
        <v>1365.6811522999999</v>
      </c>
      <c r="I1506">
        <v>1289.4316406</v>
      </c>
      <c r="J1506">
        <v>1271.145874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840.99401399999999</v>
      </c>
      <c r="B1507" s="1">
        <f>DATE(2012,8,18) + TIME(23,51,22)</f>
        <v>41139.994004629632</v>
      </c>
      <c r="C1507">
        <v>90</v>
      </c>
      <c r="D1507">
        <v>89.945350646999998</v>
      </c>
      <c r="E1507">
        <v>60</v>
      </c>
      <c r="F1507">
        <v>51.338237761999999</v>
      </c>
      <c r="G1507">
        <v>1378.0751952999999</v>
      </c>
      <c r="H1507">
        <v>1365.6373291</v>
      </c>
      <c r="I1507">
        <v>1289.3320312000001</v>
      </c>
      <c r="J1507">
        <v>1270.9864502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842.49171000000001</v>
      </c>
      <c r="B1508" s="1">
        <f>DATE(2012,8,20) + TIME(11,48,3)</f>
        <v>41141.491701388892</v>
      </c>
      <c r="C1508">
        <v>90</v>
      </c>
      <c r="D1508">
        <v>89.945381165000001</v>
      </c>
      <c r="E1508">
        <v>60</v>
      </c>
      <c r="F1508">
        <v>51.238388061999999</v>
      </c>
      <c r="G1508">
        <v>1378.0231934000001</v>
      </c>
      <c r="H1508">
        <v>1365.5931396000001</v>
      </c>
      <c r="I1508">
        <v>1289.2310791</v>
      </c>
      <c r="J1508">
        <v>1270.8240966999999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844.00129800000002</v>
      </c>
      <c r="B1509" s="1">
        <f>DATE(2012,8,22) + TIME(0,1,52)</f>
        <v>41143.001296296294</v>
      </c>
      <c r="C1509">
        <v>90</v>
      </c>
      <c r="D1509">
        <v>89.945411682</v>
      </c>
      <c r="E1509">
        <v>60</v>
      </c>
      <c r="F1509">
        <v>51.138389586999999</v>
      </c>
      <c r="G1509">
        <v>1377.9709473</v>
      </c>
      <c r="H1509">
        <v>1365.5488281</v>
      </c>
      <c r="I1509">
        <v>1289.1287841999999</v>
      </c>
      <c r="J1509">
        <v>1270.6593018000001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845.524315</v>
      </c>
      <c r="B1510" s="1">
        <f>DATE(2012,8,23) + TIME(12,35,0)</f>
        <v>41144.524305555555</v>
      </c>
      <c r="C1510">
        <v>90</v>
      </c>
      <c r="D1510">
        <v>89.945434570000003</v>
      </c>
      <c r="E1510">
        <v>60</v>
      </c>
      <c r="F1510">
        <v>51.038516997999999</v>
      </c>
      <c r="G1510">
        <v>1377.9187012</v>
      </c>
      <c r="H1510">
        <v>1365.5042725000001</v>
      </c>
      <c r="I1510">
        <v>1289.0257568</v>
      </c>
      <c r="J1510">
        <v>1270.4925536999999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847.06372399999998</v>
      </c>
      <c r="B1511" s="1">
        <f>DATE(2012,8,25) + TIME(1,31,45)</f>
        <v>41146.063715277778</v>
      </c>
      <c r="C1511">
        <v>90</v>
      </c>
      <c r="D1511">
        <v>89.945465088000006</v>
      </c>
      <c r="E1511">
        <v>60</v>
      </c>
      <c r="F1511">
        <v>50.938899994000003</v>
      </c>
      <c r="G1511">
        <v>1377.8664550999999</v>
      </c>
      <c r="H1511">
        <v>1365.4597168</v>
      </c>
      <c r="I1511">
        <v>1288.9219971</v>
      </c>
      <c r="J1511">
        <v>1270.3238524999999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848.610229</v>
      </c>
      <c r="B1512" s="1">
        <f>DATE(2012,8,26) + TIME(14,38,43)</f>
        <v>41147.610219907408</v>
      </c>
      <c r="C1512">
        <v>90</v>
      </c>
      <c r="D1512">
        <v>89.945495605000005</v>
      </c>
      <c r="E1512">
        <v>60</v>
      </c>
      <c r="F1512">
        <v>50.839893341</v>
      </c>
      <c r="G1512">
        <v>1377.8139647999999</v>
      </c>
      <c r="H1512">
        <v>1365.4149170000001</v>
      </c>
      <c r="I1512">
        <v>1288.8173827999999</v>
      </c>
      <c r="J1512">
        <v>1270.1533202999999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850.16630599999996</v>
      </c>
      <c r="B1513" s="1">
        <f>DATE(2012,8,28) + TIME(3,59,28)</f>
        <v>41149.166296296295</v>
      </c>
      <c r="C1513">
        <v>90</v>
      </c>
      <c r="D1513">
        <v>89.945533752000003</v>
      </c>
      <c r="E1513">
        <v>60</v>
      </c>
      <c r="F1513">
        <v>50.74187088</v>
      </c>
      <c r="G1513">
        <v>1377.7617187999999</v>
      </c>
      <c r="H1513">
        <v>1365.3702393000001</v>
      </c>
      <c r="I1513">
        <v>1288.7126464999999</v>
      </c>
      <c r="J1513">
        <v>1269.9816894999999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851.73603100000003</v>
      </c>
      <c r="B1514" s="1">
        <f>DATE(2012,8,29) + TIME(17,39,53)</f>
        <v>41150.736030092594</v>
      </c>
      <c r="C1514">
        <v>90</v>
      </c>
      <c r="D1514">
        <v>89.945564270000006</v>
      </c>
      <c r="E1514">
        <v>60</v>
      </c>
      <c r="F1514">
        <v>50.644996642999999</v>
      </c>
      <c r="G1514">
        <v>1377.7094727000001</v>
      </c>
      <c r="H1514">
        <v>1365.3254394999999</v>
      </c>
      <c r="I1514">
        <v>1288.6076660000001</v>
      </c>
      <c r="J1514">
        <v>1269.8092041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853.32260900000006</v>
      </c>
      <c r="B1515" s="1">
        <f>DATE(2012,8,31) + TIME(7,44,33)</f>
        <v>41152.322604166664</v>
      </c>
      <c r="C1515">
        <v>90</v>
      </c>
      <c r="D1515">
        <v>89.945594787999994</v>
      </c>
      <c r="E1515">
        <v>60</v>
      </c>
      <c r="F1515">
        <v>50.549354553000001</v>
      </c>
      <c r="G1515">
        <v>1377.6571045000001</v>
      </c>
      <c r="H1515">
        <v>1365.2805175999999</v>
      </c>
      <c r="I1515">
        <v>1288.5023193</v>
      </c>
      <c r="J1515">
        <v>1269.6354980000001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854</v>
      </c>
      <c r="B1516" s="1">
        <f>DATE(2012,9,1) + TIME(0,0,0)</f>
        <v>41153</v>
      </c>
      <c r="C1516">
        <v>90</v>
      </c>
      <c r="D1516">
        <v>89.945594787999994</v>
      </c>
      <c r="E1516">
        <v>60</v>
      </c>
      <c r="F1516">
        <v>50.485237122000001</v>
      </c>
      <c r="G1516">
        <v>1377.6046143000001</v>
      </c>
      <c r="H1516">
        <v>1365.2353516000001</v>
      </c>
      <c r="I1516">
        <v>1288.4029541</v>
      </c>
      <c r="J1516">
        <v>1269.4804687999999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855.60700499999996</v>
      </c>
      <c r="B1517" s="1">
        <f>DATE(2012,9,2) + TIME(14,34,5)</f>
        <v>41154.607002314813</v>
      </c>
      <c r="C1517">
        <v>90</v>
      </c>
      <c r="D1517">
        <v>89.945640564000001</v>
      </c>
      <c r="E1517">
        <v>60</v>
      </c>
      <c r="F1517">
        <v>50.407657622999999</v>
      </c>
      <c r="G1517">
        <v>1377.5821533000001</v>
      </c>
      <c r="H1517">
        <v>1365.2160644999999</v>
      </c>
      <c r="I1517">
        <v>1288.3474120999999</v>
      </c>
      <c r="J1517">
        <v>1269.3759766000001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856.42136400000004</v>
      </c>
      <c r="B1518" s="1">
        <f>DATE(2012,9,3) + TIME(10,6,45)</f>
        <v>41155.421354166669</v>
      </c>
      <c r="C1518">
        <v>90</v>
      </c>
      <c r="D1518">
        <v>89.945648192999997</v>
      </c>
      <c r="E1518">
        <v>60</v>
      </c>
      <c r="F1518">
        <v>50.343303679999998</v>
      </c>
      <c r="G1518">
        <v>1377.5295410000001</v>
      </c>
      <c r="H1518">
        <v>1365.1707764</v>
      </c>
      <c r="I1518">
        <v>1288.2496338000001</v>
      </c>
      <c r="J1518">
        <v>1269.2218018000001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857.23572200000001</v>
      </c>
      <c r="B1519" s="1">
        <f>DATE(2012,9,4) + TIME(5,39,26)</f>
        <v>41156.235717592594</v>
      </c>
      <c r="C1519">
        <v>90</v>
      </c>
      <c r="D1519">
        <v>89.945663452000005</v>
      </c>
      <c r="E1519">
        <v>60</v>
      </c>
      <c r="F1519">
        <v>50.288928986000002</v>
      </c>
      <c r="G1519">
        <v>1377.5026855000001</v>
      </c>
      <c r="H1519">
        <v>1365.1474608999999</v>
      </c>
      <c r="I1519">
        <v>1288.1923827999999</v>
      </c>
      <c r="J1519">
        <v>1269.1231689000001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858.86443899999995</v>
      </c>
      <c r="B1520" s="1">
        <f>DATE(2012,9,5) + TIME(20,44,47)</f>
        <v>41157.864432870374</v>
      </c>
      <c r="C1520">
        <v>90</v>
      </c>
      <c r="D1520">
        <v>89.945709229000002</v>
      </c>
      <c r="E1520">
        <v>60</v>
      </c>
      <c r="F1520">
        <v>50.223468781000001</v>
      </c>
      <c r="G1520">
        <v>1377.4765625</v>
      </c>
      <c r="H1520">
        <v>1365.1248779</v>
      </c>
      <c r="I1520">
        <v>1288.1335449000001</v>
      </c>
      <c r="J1520">
        <v>1269.0178223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860.49339599999996</v>
      </c>
      <c r="B1521" s="1">
        <f>DATE(2012,9,7) + TIME(11,50,29)</f>
        <v>41159.493391203701</v>
      </c>
      <c r="C1521">
        <v>90</v>
      </c>
      <c r="D1521">
        <v>89.945747374999996</v>
      </c>
      <c r="E1521">
        <v>60</v>
      </c>
      <c r="F1521">
        <v>50.145545959000003</v>
      </c>
      <c r="G1521">
        <v>1377.4240723</v>
      </c>
      <c r="H1521">
        <v>1365.0795897999999</v>
      </c>
      <c r="I1521">
        <v>1288.0334473</v>
      </c>
      <c r="J1521">
        <v>1268.8524170000001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862.13495799999998</v>
      </c>
      <c r="B1522" s="1">
        <f>DATE(2012,9,9) + TIME(3,14,20)</f>
        <v>41161.134953703702</v>
      </c>
      <c r="C1522">
        <v>90</v>
      </c>
      <c r="D1522">
        <v>89.945777892999999</v>
      </c>
      <c r="E1522">
        <v>60</v>
      </c>
      <c r="F1522">
        <v>50.065876007</v>
      </c>
      <c r="G1522">
        <v>1377.3717041</v>
      </c>
      <c r="H1522">
        <v>1365.0343018000001</v>
      </c>
      <c r="I1522">
        <v>1287.9313964999999</v>
      </c>
      <c r="J1522">
        <v>1268.6813964999999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863.801286</v>
      </c>
      <c r="B1523" s="1">
        <f>DATE(2012,9,10) + TIME(19,13,51)</f>
        <v>41162.80128472222</v>
      </c>
      <c r="C1523">
        <v>90</v>
      </c>
      <c r="D1523">
        <v>89.945816039999997</v>
      </c>
      <c r="E1523">
        <v>60</v>
      </c>
      <c r="F1523">
        <v>49.987972259999999</v>
      </c>
      <c r="G1523">
        <v>1377.3193358999999</v>
      </c>
      <c r="H1523">
        <v>1364.9887695</v>
      </c>
      <c r="I1523">
        <v>1287.8289795000001</v>
      </c>
      <c r="J1523">
        <v>1268.5086670000001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865.49717699999997</v>
      </c>
      <c r="B1524" s="1">
        <f>DATE(2012,9,12) + TIME(11,55,56)</f>
        <v>41164.497175925928</v>
      </c>
      <c r="C1524">
        <v>90</v>
      </c>
      <c r="D1524">
        <v>89.945854186999995</v>
      </c>
      <c r="E1524">
        <v>60</v>
      </c>
      <c r="F1524">
        <v>49.913127899000003</v>
      </c>
      <c r="G1524">
        <v>1377.2664795000001</v>
      </c>
      <c r="H1524">
        <v>1364.9428711</v>
      </c>
      <c r="I1524">
        <v>1287.7264404</v>
      </c>
      <c r="J1524">
        <v>1268.3350829999999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867.22713499999998</v>
      </c>
      <c r="B1525" s="1">
        <f>DATE(2012,9,14) + TIME(5,27,4)</f>
        <v>41166.227129629631</v>
      </c>
      <c r="C1525">
        <v>90</v>
      </c>
      <c r="D1525">
        <v>89.945892334000007</v>
      </c>
      <c r="E1525">
        <v>60</v>
      </c>
      <c r="F1525">
        <v>49.842182158999996</v>
      </c>
      <c r="G1525">
        <v>1377.2130127</v>
      </c>
      <c r="H1525">
        <v>1364.8963623</v>
      </c>
      <c r="I1525">
        <v>1287.6239014</v>
      </c>
      <c r="J1525">
        <v>1268.1607666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868.96506399999998</v>
      </c>
      <c r="B1526" s="1">
        <f>DATE(2012,9,15) + TIME(23,9,41)</f>
        <v>41167.965057870373</v>
      </c>
      <c r="C1526">
        <v>90</v>
      </c>
      <c r="D1526">
        <v>89.945930481000005</v>
      </c>
      <c r="E1526">
        <v>60</v>
      </c>
      <c r="F1526">
        <v>49.776206969999997</v>
      </c>
      <c r="G1526">
        <v>1377.1588135</v>
      </c>
      <c r="H1526">
        <v>1364.8491211</v>
      </c>
      <c r="I1526">
        <v>1287.5214844</v>
      </c>
      <c r="J1526">
        <v>1267.9863281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870.71734500000002</v>
      </c>
      <c r="B1527" s="1">
        <f>DATE(2012,9,17) + TIME(17,12,58)</f>
        <v>41169.71733796296</v>
      </c>
      <c r="C1527">
        <v>90</v>
      </c>
      <c r="D1527">
        <v>89.945968628000003</v>
      </c>
      <c r="E1527">
        <v>60</v>
      </c>
      <c r="F1527">
        <v>49.716293335000003</v>
      </c>
      <c r="G1527">
        <v>1377.1047363</v>
      </c>
      <c r="H1527">
        <v>1364.8018798999999</v>
      </c>
      <c r="I1527">
        <v>1287.4205322</v>
      </c>
      <c r="J1527">
        <v>1267.8140868999999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872.49030900000002</v>
      </c>
      <c r="B1528" s="1">
        <f>DATE(2012,9,19) + TIME(11,46,2)</f>
        <v>41171.490300925929</v>
      </c>
      <c r="C1528">
        <v>90</v>
      </c>
      <c r="D1528">
        <v>89.946014403999996</v>
      </c>
      <c r="E1528">
        <v>60</v>
      </c>
      <c r="F1528">
        <v>49.663116455000001</v>
      </c>
      <c r="G1528">
        <v>1377.0504149999999</v>
      </c>
      <c r="H1528">
        <v>1364.7545166</v>
      </c>
      <c r="I1528">
        <v>1287.3211670000001</v>
      </c>
      <c r="J1528">
        <v>1267.6441649999999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874.28776000000005</v>
      </c>
      <c r="B1529" s="1">
        <f>DATE(2012,9,21) + TIME(6,54,22)</f>
        <v>41173.287754629629</v>
      </c>
      <c r="C1529">
        <v>90</v>
      </c>
      <c r="D1529">
        <v>89.946052550999994</v>
      </c>
      <c r="E1529">
        <v>60</v>
      </c>
      <c r="F1529">
        <v>49.617351532000001</v>
      </c>
      <c r="G1529">
        <v>1376.9958495999999</v>
      </c>
      <c r="H1529">
        <v>1364.7066649999999</v>
      </c>
      <c r="I1529">
        <v>1287.2232666</v>
      </c>
      <c r="J1529">
        <v>1267.4763184000001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876.11497599999996</v>
      </c>
      <c r="B1530" s="1">
        <f>DATE(2012,9,23) + TIME(2,45,33)</f>
        <v>41175.114965277775</v>
      </c>
      <c r="C1530">
        <v>90</v>
      </c>
      <c r="D1530">
        <v>89.946098328000005</v>
      </c>
      <c r="E1530">
        <v>60</v>
      </c>
      <c r="F1530">
        <v>49.579750060999999</v>
      </c>
      <c r="G1530">
        <v>1376.940918</v>
      </c>
      <c r="H1530">
        <v>1364.6584473</v>
      </c>
      <c r="I1530">
        <v>1287.1268310999999</v>
      </c>
      <c r="J1530">
        <v>1267.3110352000001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877.95908399999996</v>
      </c>
      <c r="B1531" s="1">
        <f>DATE(2012,9,24) + TIME(23,1,4)</f>
        <v>41176.959074074075</v>
      </c>
      <c r="C1531">
        <v>90</v>
      </c>
      <c r="D1531">
        <v>89.946136475000003</v>
      </c>
      <c r="E1531">
        <v>60</v>
      </c>
      <c r="F1531">
        <v>49.551265717</v>
      </c>
      <c r="G1531">
        <v>1376.885376</v>
      </c>
      <c r="H1531">
        <v>1364.6096190999999</v>
      </c>
      <c r="I1531">
        <v>1287.0317382999999</v>
      </c>
      <c r="J1531">
        <v>1267.1481934000001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878.88966200000004</v>
      </c>
      <c r="B1532" s="1">
        <f>DATE(2012,9,25) + TIME(21,21,6)</f>
        <v>41177.889652777776</v>
      </c>
      <c r="C1532">
        <v>90</v>
      </c>
      <c r="D1532">
        <v>89.946151732999994</v>
      </c>
      <c r="E1532">
        <v>60</v>
      </c>
      <c r="F1532">
        <v>49.537189484000002</v>
      </c>
      <c r="G1532">
        <v>1376.8295897999999</v>
      </c>
      <c r="H1532">
        <v>1364.5605469</v>
      </c>
      <c r="I1532">
        <v>1286.9468993999999</v>
      </c>
      <c r="J1532">
        <v>1267.0042725000001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879.82024100000001</v>
      </c>
      <c r="B1533" s="1">
        <f>DATE(2012,9,26) + TIME(19,41,8)</f>
        <v>41178.820231481484</v>
      </c>
      <c r="C1533">
        <v>90</v>
      </c>
      <c r="D1533">
        <v>89.946166992000002</v>
      </c>
      <c r="E1533">
        <v>60</v>
      </c>
      <c r="F1533">
        <v>49.529853821000003</v>
      </c>
      <c r="G1533">
        <v>1376.8012695</v>
      </c>
      <c r="H1533">
        <v>1364.5355225000001</v>
      </c>
      <c r="I1533">
        <v>1286.8956298999999</v>
      </c>
      <c r="J1533">
        <v>1266.9157714999999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880.75081999999998</v>
      </c>
      <c r="B1534" s="1">
        <f>DATE(2012,9,27) + TIME(18,1,10)</f>
        <v>41179.750810185185</v>
      </c>
      <c r="C1534">
        <v>90</v>
      </c>
      <c r="D1534">
        <v>89.946189880000006</v>
      </c>
      <c r="E1534">
        <v>60</v>
      </c>
      <c r="F1534">
        <v>49.527240753000001</v>
      </c>
      <c r="G1534">
        <v>1376.7733154</v>
      </c>
      <c r="H1534">
        <v>1364.5108643000001</v>
      </c>
      <c r="I1534">
        <v>1286.8483887</v>
      </c>
      <c r="J1534">
        <v>1266.8348389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881.68139900000006</v>
      </c>
      <c r="B1535" s="1">
        <f>DATE(2012,9,28) + TIME(16,21,12)</f>
        <v>41180.681388888886</v>
      </c>
      <c r="C1535">
        <v>90</v>
      </c>
      <c r="D1535">
        <v>89.946212768999999</v>
      </c>
      <c r="E1535">
        <v>60</v>
      </c>
      <c r="F1535">
        <v>49.528434752999999</v>
      </c>
      <c r="G1535">
        <v>1376.7456055</v>
      </c>
      <c r="H1535">
        <v>1364.4863281</v>
      </c>
      <c r="I1535">
        <v>1286.8035889</v>
      </c>
      <c r="J1535">
        <v>1266.7583007999999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882.61197800000002</v>
      </c>
      <c r="B1536" s="1">
        <f>DATE(2012,9,29) + TIME(14,41,14)</f>
        <v>41181.611967592595</v>
      </c>
      <c r="C1536">
        <v>90</v>
      </c>
      <c r="D1536">
        <v>89.946235657000003</v>
      </c>
      <c r="E1536">
        <v>60</v>
      </c>
      <c r="F1536">
        <v>49.533035278</v>
      </c>
      <c r="G1536">
        <v>1376.7178954999999</v>
      </c>
      <c r="H1536">
        <v>1364.4617920000001</v>
      </c>
      <c r="I1536">
        <v>1286.760376</v>
      </c>
      <c r="J1536">
        <v>1266.6848144999999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884</v>
      </c>
      <c r="B1537" s="1">
        <f>DATE(2012,10,1) + TIME(0,0,0)</f>
        <v>41183</v>
      </c>
      <c r="C1537">
        <v>90</v>
      </c>
      <c r="D1537">
        <v>89.946273804</v>
      </c>
      <c r="E1537">
        <v>60</v>
      </c>
      <c r="F1537">
        <v>49.542274474999999</v>
      </c>
      <c r="G1537">
        <v>1376.6903076000001</v>
      </c>
      <c r="H1537">
        <v>1364.4373779</v>
      </c>
      <c r="I1537">
        <v>1286.7149658000001</v>
      </c>
      <c r="J1537">
        <v>1266.6082764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885.86115800000005</v>
      </c>
      <c r="B1538" s="1">
        <f>DATE(2012,10,2) + TIME(20,40,4)</f>
        <v>41184.861157407409</v>
      </c>
      <c r="C1538">
        <v>90</v>
      </c>
      <c r="D1538">
        <v>89.946319579999994</v>
      </c>
      <c r="E1538">
        <v>60</v>
      </c>
      <c r="F1538">
        <v>49.560417174999998</v>
      </c>
      <c r="G1538">
        <v>1376.6494141000001</v>
      </c>
      <c r="H1538">
        <v>1364.4012451000001</v>
      </c>
      <c r="I1538">
        <v>1286.6544189000001</v>
      </c>
      <c r="J1538">
        <v>1266.5063477000001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887.72614499999997</v>
      </c>
      <c r="B1539" s="1">
        <f>DATE(2012,10,4) + TIME(17,25,38)</f>
        <v>41186.726134259261</v>
      </c>
      <c r="C1539">
        <v>90</v>
      </c>
      <c r="D1539">
        <v>89.946365356000001</v>
      </c>
      <c r="E1539">
        <v>60</v>
      </c>
      <c r="F1539">
        <v>49.591979979999998</v>
      </c>
      <c r="G1539">
        <v>1376.5947266000001</v>
      </c>
      <c r="H1539">
        <v>1364.3529053</v>
      </c>
      <c r="I1539">
        <v>1286.5797118999999</v>
      </c>
      <c r="J1539">
        <v>1266.3803711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889.61081799999999</v>
      </c>
      <c r="B1540" s="1">
        <f>DATE(2012,10,6) + TIME(14,39,34)</f>
        <v>41188.610810185186</v>
      </c>
      <c r="C1540">
        <v>90</v>
      </c>
      <c r="D1540">
        <v>89.946411132999998</v>
      </c>
      <c r="E1540">
        <v>60</v>
      </c>
      <c r="F1540">
        <v>49.636779785000002</v>
      </c>
      <c r="G1540">
        <v>1376.5402832</v>
      </c>
      <c r="H1540">
        <v>1364.3045654</v>
      </c>
      <c r="I1540">
        <v>1286.5051269999999</v>
      </c>
      <c r="J1540">
        <v>1266.2562256000001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891.51993600000003</v>
      </c>
      <c r="B1541" s="1">
        <f>DATE(2012,10,8) + TIME(12,28,42)</f>
        <v>41190.519930555558</v>
      </c>
      <c r="C1541">
        <v>90</v>
      </c>
      <c r="D1541">
        <v>89.946456909000005</v>
      </c>
      <c r="E1541">
        <v>60</v>
      </c>
      <c r="F1541">
        <v>49.695209503000001</v>
      </c>
      <c r="G1541">
        <v>1376.4855957</v>
      </c>
      <c r="H1541">
        <v>1364.2559814000001</v>
      </c>
      <c r="I1541">
        <v>1286.4326172000001</v>
      </c>
      <c r="J1541">
        <v>1266.1365966999999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893.46579899999995</v>
      </c>
      <c r="B1542" s="1">
        <f>DATE(2012,10,10) + TIME(11,10,45)</f>
        <v>41192.465798611112</v>
      </c>
      <c r="C1542">
        <v>90</v>
      </c>
      <c r="D1542">
        <v>89.946502686000002</v>
      </c>
      <c r="E1542">
        <v>60</v>
      </c>
      <c r="F1542">
        <v>49.767910004000001</v>
      </c>
      <c r="G1542">
        <v>1376.4305420000001</v>
      </c>
      <c r="H1542">
        <v>1364.2070312000001</v>
      </c>
      <c r="I1542">
        <v>1286.3624268000001</v>
      </c>
      <c r="J1542">
        <v>1266.0224608999999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895.45310700000005</v>
      </c>
      <c r="B1543" s="1">
        <f>DATE(2012,10,12) + TIME(10,52,28)</f>
        <v>41194.453101851854</v>
      </c>
      <c r="C1543">
        <v>90</v>
      </c>
      <c r="D1543">
        <v>89.946556091000005</v>
      </c>
      <c r="E1543">
        <v>60</v>
      </c>
      <c r="F1543">
        <v>49.855670928999999</v>
      </c>
      <c r="G1543">
        <v>1376.3748779</v>
      </c>
      <c r="H1543">
        <v>1364.1573486</v>
      </c>
      <c r="I1543">
        <v>1286.2945557</v>
      </c>
      <c r="J1543">
        <v>1265.9136963000001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897.46435599999995</v>
      </c>
      <c r="B1544" s="1">
        <f>DATE(2012,10,14) + TIME(11,8,40)</f>
        <v>41196.46435185185</v>
      </c>
      <c r="C1544">
        <v>90</v>
      </c>
      <c r="D1544">
        <v>89.946601868000002</v>
      </c>
      <c r="E1544">
        <v>60</v>
      </c>
      <c r="F1544">
        <v>49.958915709999999</v>
      </c>
      <c r="G1544">
        <v>1376.3184814000001</v>
      </c>
      <c r="H1544">
        <v>1364.1070557</v>
      </c>
      <c r="I1544">
        <v>1286.229126</v>
      </c>
      <c r="J1544">
        <v>1265.8106689000001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899.47961299999997</v>
      </c>
      <c r="B1545" s="1">
        <f>DATE(2012,10,16) + TIME(11,30,38)</f>
        <v>41198.47960648148</v>
      </c>
      <c r="C1545">
        <v>90</v>
      </c>
      <c r="D1545">
        <v>89.946647643999995</v>
      </c>
      <c r="E1545">
        <v>60</v>
      </c>
      <c r="F1545">
        <v>50.077060699</v>
      </c>
      <c r="G1545">
        <v>1376.2618408000001</v>
      </c>
      <c r="H1545">
        <v>1364.0565185999999</v>
      </c>
      <c r="I1545">
        <v>1286.1668701000001</v>
      </c>
      <c r="J1545">
        <v>1265.7147216999999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901.50989700000002</v>
      </c>
      <c r="B1546" s="1">
        <f>DATE(2012,10,18) + TIME(12,14,15)</f>
        <v>41200.509895833333</v>
      </c>
      <c r="C1546">
        <v>90</v>
      </c>
      <c r="D1546">
        <v>89.946701050000001</v>
      </c>
      <c r="E1546">
        <v>60</v>
      </c>
      <c r="F1546">
        <v>50.209384917999998</v>
      </c>
      <c r="G1546">
        <v>1376.2055664</v>
      </c>
      <c r="H1546">
        <v>1364.0062256000001</v>
      </c>
      <c r="I1546">
        <v>1286.1080322</v>
      </c>
      <c r="J1546">
        <v>1265.6263428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903.56399599999997</v>
      </c>
      <c r="B1547" s="1">
        <f>DATE(2012,10,20) + TIME(13,32,9)</f>
        <v>41202.563993055555</v>
      </c>
      <c r="C1547">
        <v>90</v>
      </c>
      <c r="D1547">
        <v>89.946746825999995</v>
      </c>
      <c r="E1547">
        <v>60</v>
      </c>
      <c r="F1547">
        <v>50.355659484999997</v>
      </c>
      <c r="G1547">
        <v>1376.1494141000001</v>
      </c>
      <c r="H1547">
        <v>1363.9560547000001</v>
      </c>
      <c r="I1547">
        <v>1286.0523682</v>
      </c>
      <c r="J1547">
        <v>1265.5451660000001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905.64821800000004</v>
      </c>
      <c r="B1548" s="1">
        <f>DATE(2012,10,22) + TIME(15,33,26)</f>
        <v>41204.648217592592</v>
      </c>
      <c r="C1548">
        <v>90</v>
      </c>
      <c r="D1548">
        <v>89.946800232000001</v>
      </c>
      <c r="E1548">
        <v>60</v>
      </c>
      <c r="F1548">
        <v>50.515811919999997</v>
      </c>
      <c r="G1548">
        <v>1376.0931396000001</v>
      </c>
      <c r="H1548">
        <v>1363.9056396000001</v>
      </c>
      <c r="I1548">
        <v>1285.9996338000001</v>
      </c>
      <c r="J1548">
        <v>1265.4710693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907.76716399999998</v>
      </c>
      <c r="B1549" s="1">
        <f>DATE(2012,10,24) + TIME(18,24,42)</f>
        <v>41206.767152777778</v>
      </c>
      <c r="C1549">
        <v>90</v>
      </c>
      <c r="D1549">
        <v>89.946853637999993</v>
      </c>
      <c r="E1549">
        <v>60</v>
      </c>
      <c r="F1549">
        <v>50.689662933000001</v>
      </c>
      <c r="G1549">
        <v>1376.0366211</v>
      </c>
      <c r="H1549">
        <v>1363.8549805</v>
      </c>
      <c r="I1549">
        <v>1285.9498291</v>
      </c>
      <c r="J1549">
        <v>1265.4035644999999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909.92341399999998</v>
      </c>
      <c r="B1550" s="1">
        <f>DATE(2012,10,26) + TIME(22,9,42)</f>
        <v>41208.923402777778</v>
      </c>
      <c r="C1550">
        <v>90</v>
      </c>
      <c r="D1550">
        <v>89.946907042999996</v>
      </c>
      <c r="E1550">
        <v>60</v>
      </c>
      <c r="F1550">
        <v>50.876895904999998</v>
      </c>
      <c r="G1550">
        <v>1375.9797363</v>
      </c>
      <c r="H1550">
        <v>1363.8039550999999</v>
      </c>
      <c r="I1550">
        <v>1285.9027100000001</v>
      </c>
      <c r="J1550">
        <v>1265.3424072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912.07981600000005</v>
      </c>
      <c r="B1551" s="1">
        <f>DATE(2012,10,29) + TIME(1,54,56)</f>
        <v>41211.079814814817</v>
      </c>
      <c r="C1551">
        <v>90</v>
      </c>
      <c r="D1551">
        <v>89.946960449000002</v>
      </c>
      <c r="E1551">
        <v>60</v>
      </c>
      <c r="F1551">
        <v>51.075988770000002</v>
      </c>
      <c r="G1551">
        <v>1375.9224853999999</v>
      </c>
      <c r="H1551">
        <v>1363.7525635</v>
      </c>
      <c r="I1551">
        <v>1285.8585204999999</v>
      </c>
      <c r="J1551">
        <v>1265.2878418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914.23950600000001</v>
      </c>
      <c r="B1552" s="1">
        <f>DATE(2012,10,31) + TIME(5,44,53)</f>
        <v>41213.239502314813</v>
      </c>
      <c r="C1552">
        <v>90</v>
      </c>
      <c r="D1552">
        <v>89.947013854999994</v>
      </c>
      <c r="E1552">
        <v>60</v>
      </c>
      <c r="F1552">
        <v>51.284030913999999</v>
      </c>
      <c r="G1552">
        <v>1375.8659668</v>
      </c>
      <c r="H1552">
        <v>1363.7017822</v>
      </c>
      <c r="I1552">
        <v>1285.8175048999999</v>
      </c>
      <c r="J1552">
        <v>1265.2401123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915</v>
      </c>
      <c r="B1553" s="1">
        <f>DATE(2012,11,1) + TIME(0,0,0)</f>
        <v>41214</v>
      </c>
      <c r="C1553">
        <v>90</v>
      </c>
      <c r="D1553">
        <v>89.947021484000004</v>
      </c>
      <c r="E1553">
        <v>60</v>
      </c>
      <c r="F1553">
        <v>51.429527282999999</v>
      </c>
      <c r="G1553">
        <v>1375.8104248</v>
      </c>
      <c r="H1553">
        <v>1363.6518555</v>
      </c>
      <c r="I1553">
        <v>1285.7966309000001</v>
      </c>
      <c r="J1553">
        <v>1265.2049560999999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915.000001</v>
      </c>
      <c r="B1554" s="1">
        <f>DATE(2012,11,1) + TIME(0,0,0)</f>
        <v>41214</v>
      </c>
      <c r="C1554">
        <v>90</v>
      </c>
      <c r="D1554">
        <v>89.946891785000005</v>
      </c>
      <c r="E1554">
        <v>60</v>
      </c>
      <c r="F1554">
        <v>51.429660796999997</v>
      </c>
      <c r="G1554">
        <v>1362.7810059000001</v>
      </c>
      <c r="H1554">
        <v>1352.3284911999999</v>
      </c>
      <c r="I1554">
        <v>1307.3527832</v>
      </c>
      <c r="J1554">
        <v>1286.760376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915.00000399999999</v>
      </c>
      <c r="B1555" s="1">
        <f>DATE(2012,11,1) + TIME(0,0,0)</f>
        <v>41214</v>
      </c>
      <c r="C1555">
        <v>90</v>
      </c>
      <c r="D1555">
        <v>89.946578978999995</v>
      </c>
      <c r="E1555">
        <v>60</v>
      </c>
      <c r="F1555">
        <v>51.430019379000001</v>
      </c>
      <c r="G1555">
        <v>1360.6209716999999</v>
      </c>
      <c r="H1555">
        <v>1350.1678466999999</v>
      </c>
      <c r="I1555">
        <v>1309.7438964999999</v>
      </c>
      <c r="J1555">
        <v>1289.3201904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915.00001299999997</v>
      </c>
      <c r="B1556" s="1">
        <f>DATE(2012,11,1) + TIME(0,0,1)</f>
        <v>41214.000011574077</v>
      </c>
      <c r="C1556">
        <v>90</v>
      </c>
      <c r="D1556">
        <v>89.945953368999994</v>
      </c>
      <c r="E1556">
        <v>60</v>
      </c>
      <c r="F1556">
        <v>51.430843353</v>
      </c>
      <c r="G1556">
        <v>1356.4001464999999</v>
      </c>
      <c r="H1556">
        <v>1345.9466553</v>
      </c>
      <c r="I1556">
        <v>1315.1801757999999</v>
      </c>
      <c r="J1556">
        <v>1295.020874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915.00004000000001</v>
      </c>
      <c r="B1557" s="1">
        <f>DATE(2012,11,1) + TIME(0,0,3)</f>
        <v>41214.000034722223</v>
      </c>
      <c r="C1557">
        <v>90</v>
      </c>
      <c r="D1557">
        <v>89.945075989000003</v>
      </c>
      <c r="E1557">
        <v>60</v>
      </c>
      <c r="F1557">
        <v>51.432331085000001</v>
      </c>
      <c r="G1557">
        <v>1350.4543457</v>
      </c>
      <c r="H1557">
        <v>1340.0031738</v>
      </c>
      <c r="I1557">
        <v>1324.4251709</v>
      </c>
      <c r="J1557">
        <v>1304.4197998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915.00012100000004</v>
      </c>
      <c r="B1558" s="1">
        <f>DATE(2012,11,1) + TIME(0,0,10)</f>
        <v>41214.000115740739</v>
      </c>
      <c r="C1558">
        <v>90</v>
      </c>
      <c r="D1558">
        <v>89.944107056000007</v>
      </c>
      <c r="E1558">
        <v>60</v>
      </c>
      <c r="F1558">
        <v>51.434677123999997</v>
      </c>
      <c r="G1558">
        <v>1343.9718018000001</v>
      </c>
      <c r="H1558">
        <v>1333.5256348</v>
      </c>
      <c r="I1558">
        <v>1335.9536132999999</v>
      </c>
      <c r="J1558">
        <v>1315.9228516000001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915.00036399999999</v>
      </c>
      <c r="B1559" s="1">
        <f>DATE(2012,11,1) + TIME(0,0,31)</f>
        <v>41214.000358796293</v>
      </c>
      <c r="C1559">
        <v>90</v>
      </c>
      <c r="D1559">
        <v>89.943092346</v>
      </c>
      <c r="E1559">
        <v>60</v>
      </c>
      <c r="F1559">
        <v>51.438873291</v>
      </c>
      <c r="G1559">
        <v>1337.4741211</v>
      </c>
      <c r="H1559">
        <v>1327.0303954999999</v>
      </c>
      <c r="I1559">
        <v>1348.0546875</v>
      </c>
      <c r="J1559">
        <v>1327.9692382999999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915.00109299999997</v>
      </c>
      <c r="B1560" s="1">
        <f>DATE(2012,11,1) + TIME(0,1,34)</f>
        <v>41214.001087962963</v>
      </c>
      <c r="C1560">
        <v>90</v>
      </c>
      <c r="D1560">
        <v>89.941947936999995</v>
      </c>
      <c r="E1560">
        <v>60</v>
      </c>
      <c r="F1560">
        <v>51.448459624999998</v>
      </c>
      <c r="G1560">
        <v>1330.8848877</v>
      </c>
      <c r="H1560">
        <v>1320.3937988</v>
      </c>
      <c r="I1560">
        <v>1360.4359131000001</v>
      </c>
      <c r="J1560">
        <v>1340.2806396000001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915.00328000000002</v>
      </c>
      <c r="B1561" s="1">
        <f>DATE(2012,11,1) + TIME(0,4,43)</f>
        <v>41214.003275462965</v>
      </c>
      <c r="C1561">
        <v>90</v>
      </c>
      <c r="D1561">
        <v>89.940376282000003</v>
      </c>
      <c r="E1561">
        <v>60</v>
      </c>
      <c r="F1561">
        <v>51.474224091000004</v>
      </c>
      <c r="G1561">
        <v>1323.8829346</v>
      </c>
      <c r="H1561">
        <v>1313.2301024999999</v>
      </c>
      <c r="I1561">
        <v>1373.1301269999999</v>
      </c>
      <c r="J1561">
        <v>1352.8349608999999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915.00984100000005</v>
      </c>
      <c r="B1562" s="1">
        <f>DATE(2012,11,1) + TIME(0,14,10)</f>
        <v>41214.009837962964</v>
      </c>
      <c r="C1562">
        <v>90</v>
      </c>
      <c r="D1562">
        <v>89.937660217000001</v>
      </c>
      <c r="E1562">
        <v>60</v>
      </c>
      <c r="F1562">
        <v>51.548347473</v>
      </c>
      <c r="G1562">
        <v>1316.6195068</v>
      </c>
      <c r="H1562">
        <v>1305.784668</v>
      </c>
      <c r="I1562">
        <v>1385.0272216999999</v>
      </c>
      <c r="J1562">
        <v>1364.5419922000001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915.02952400000004</v>
      </c>
      <c r="B1563" s="1">
        <f>DATE(2012,11,1) + TIME(0,42,30)</f>
        <v>41214.029513888891</v>
      </c>
      <c r="C1563">
        <v>90</v>
      </c>
      <c r="D1563">
        <v>89.931877135999997</v>
      </c>
      <c r="E1563">
        <v>60</v>
      </c>
      <c r="F1563">
        <v>51.763534546000002</v>
      </c>
      <c r="G1563">
        <v>1310.5744629000001</v>
      </c>
      <c r="H1563">
        <v>1299.6506348</v>
      </c>
      <c r="I1563">
        <v>1393.4667969</v>
      </c>
      <c r="J1563">
        <v>1372.8822021000001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915.06953099999998</v>
      </c>
      <c r="B1564" s="1">
        <f>DATE(2012,11,1) + TIME(1,40,7)</f>
        <v>41214.069525462961</v>
      </c>
      <c r="C1564">
        <v>90</v>
      </c>
      <c r="D1564">
        <v>89.921783446999996</v>
      </c>
      <c r="E1564">
        <v>60</v>
      </c>
      <c r="F1564">
        <v>52.178306579999997</v>
      </c>
      <c r="G1564">
        <v>1307.7258300999999</v>
      </c>
      <c r="H1564">
        <v>1296.7780762</v>
      </c>
      <c r="I1564">
        <v>1396.5229492000001</v>
      </c>
      <c r="J1564">
        <v>1376.0200195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915.11102900000003</v>
      </c>
      <c r="B1565" s="1">
        <f>DATE(2012,11,1) + TIME(2,39,52)</f>
        <v>41214.111018518517</v>
      </c>
      <c r="C1565">
        <v>90</v>
      </c>
      <c r="D1565">
        <v>89.911766052000004</v>
      </c>
      <c r="E1565">
        <v>60</v>
      </c>
      <c r="F1565">
        <v>52.585922240999999</v>
      </c>
      <c r="G1565">
        <v>1306.9219971</v>
      </c>
      <c r="H1565">
        <v>1295.9689940999999</v>
      </c>
      <c r="I1565">
        <v>1396.9812012</v>
      </c>
      <c r="J1565">
        <v>1376.6040039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915.15390300000001</v>
      </c>
      <c r="B1566" s="1">
        <f>DATE(2012,11,1) + TIME(3,41,37)</f>
        <v>41214.153900462959</v>
      </c>
      <c r="C1566">
        <v>90</v>
      </c>
      <c r="D1566">
        <v>89.901649474999999</v>
      </c>
      <c r="E1566">
        <v>60</v>
      </c>
      <c r="F1566">
        <v>52.984233856000003</v>
      </c>
      <c r="G1566">
        <v>1306.6727295000001</v>
      </c>
      <c r="H1566">
        <v>1295.7181396000001</v>
      </c>
      <c r="I1566">
        <v>1396.8670654</v>
      </c>
      <c r="J1566">
        <v>1376.6235352000001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915.19821100000001</v>
      </c>
      <c r="B1567" s="1">
        <f>DATE(2012,11,1) + TIME(4,45,25)</f>
        <v>41214.198206018518</v>
      </c>
      <c r="C1567">
        <v>90</v>
      </c>
      <c r="D1567">
        <v>89.891372681000007</v>
      </c>
      <c r="E1567">
        <v>60</v>
      </c>
      <c r="F1567">
        <v>53.372840881000002</v>
      </c>
      <c r="G1567">
        <v>1306.5881348</v>
      </c>
      <c r="H1567">
        <v>1295.6326904</v>
      </c>
      <c r="I1567">
        <v>1396.6362305</v>
      </c>
      <c r="J1567">
        <v>1376.5249022999999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915.24406099999999</v>
      </c>
      <c r="B1568" s="1">
        <f>DATE(2012,11,1) + TIME(5,51,26)</f>
        <v>41214.244050925925</v>
      </c>
      <c r="C1568">
        <v>90</v>
      </c>
      <c r="D1568">
        <v>89.880912781000006</v>
      </c>
      <c r="E1568">
        <v>60</v>
      </c>
      <c r="F1568">
        <v>53.751750946000001</v>
      </c>
      <c r="G1568">
        <v>1306.5561522999999</v>
      </c>
      <c r="H1568">
        <v>1295.6002197</v>
      </c>
      <c r="I1568">
        <v>1396.3918457</v>
      </c>
      <c r="J1568">
        <v>1376.4086914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915.29158299999995</v>
      </c>
      <c r="B1569" s="1">
        <f>DATE(2012,11,1) + TIME(6,59,52)</f>
        <v>41214.291574074072</v>
      </c>
      <c r="C1569">
        <v>90</v>
      </c>
      <c r="D1569">
        <v>89.870239257999998</v>
      </c>
      <c r="E1569">
        <v>60</v>
      </c>
      <c r="F1569">
        <v>54.121028899999999</v>
      </c>
      <c r="G1569">
        <v>1306.5424805</v>
      </c>
      <c r="H1569">
        <v>1295.5861815999999</v>
      </c>
      <c r="I1569">
        <v>1396.1539307</v>
      </c>
      <c r="J1569">
        <v>1376.2947998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915.34092899999996</v>
      </c>
      <c r="B1570" s="1">
        <f>DATE(2012,11,1) + TIME(8,10,56)</f>
        <v>41214.340925925928</v>
      </c>
      <c r="C1570">
        <v>90</v>
      </c>
      <c r="D1570">
        <v>89.859329224000007</v>
      </c>
      <c r="E1570">
        <v>60</v>
      </c>
      <c r="F1570">
        <v>54.480754851999997</v>
      </c>
      <c r="G1570">
        <v>1306.5356445</v>
      </c>
      <c r="H1570">
        <v>1295.5788574000001</v>
      </c>
      <c r="I1570">
        <v>1395.9250488</v>
      </c>
      <c r="J1570">
        <v>1376.1856689000001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915.39227000000005</v>
      </c>
      <c r="B1571" s="1">
        <f>DATE(2012,11,1) + TIME(9,24,52)</f>
        <v>41214.392268518517</v>
      </c>
      <c r="C1571">
        <v>90</v>
      </c>
      <c r="D1571">
        <v>89.848152161000002</v>
      </c>
      <c r="E1571">
        <v>60</v>
      </c>
      <c r="F1571">
        <v>54.830997467000003</v>
      </c>
      <c r="G1571">
        <v>1306.5314940999999</v>
      </c>
      <c r="H1571">
        <v>1295.5743408000001</v>
      </c>
      <c r="I1571">
        <v>1395.7041016000001</v>
      </c>
      <c r="J1571">
        <v>1376.0804443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915.44579999999996</v>
      </c>
      <c r="B1572" s="1">
        <f>DATE(2012,11,1) + TIME(10,41,57)</f>
        <v>41214.445798611108</v>
      </c>
      <c r="C1572">
        <v>90</v>
      </c>
      <c r="D1572">
        <v>89.836685181000007</v>
      </c>
      <c r="E1572">
        <v>60</v>
      </c>
      <c r="F1572">
        <v>55.171802520999996</v>
      </c>
      <c r="G1572">
        <v>1306.5283202999999</v>
      </c>
      <c r="H1572">
        <v>1295.5706786999999</v>
      </c>
      <c r="I1572">
        <v>1395.4901123</v>
      </c>
      <c r="J1572">
        <v>1375.9781493999999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915.50172899999995</v>
      </c>
      <c r="B1573" s="1">
        <f>DATE(2012,11,1) + TIME(12,2,29)</f>
        <v>41214.50172453704</v>
      </c>
      <c r="C1573">
        <v>90</v>
      </c>
      <c r="D1573">
        <v>89.824890136999997</v>
      </c>
      <c r="E1573">
        <v>60</v>
      </c>
      <c r="F1573">
        <v>55.503128052000001</v>
      </c>
      <c r="G1573">
        <v>1306.5255127</v>
      </c>
      <c r="H1573">
        <v>1295.5675048999999</v>
      </c>
      <c r="I1573">
        <v>1395.2822266000001</v>
      </c>
      <c r="J1573">
        <v>1375.8782959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915.56032400000004</v>
      </c>
      <c r="B1574" s="1">
        <f>DATE(2012,11,1) + TIME(13,26,51)</f>
        <v>41214.560312499998</v>
      </c>
      <c r="C1574">
        <v>90</v>
      </c>
      <c r="D1574">
        <v>89.812728882000002</v>
      </c>
      <c r="E1574">
        <v>60</v>
      </c>
      <c r="F1574">
        <v>55.825057983000001</v>
      </c>
      <c r="G1574">
        <v>1306.5227050999999</v>
      </c>
      <c r="H1574">
        <v>1295.5643310999999</v>
      </c>
      <c r="I1574">
        <v>1395.0800781</v>
      </c>
      <c r="J1574">
        <v>1375.7803954999999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915.62188200000003</v>
      </c>
      <c r="B1575" s="1">
        <f>DATE(2012,11,1) + TIME(14,55,30)</f>
        <v>41214.621874999997</v>
      </c>
      <c r="C1575">
        <v>90</v>
      </c>
      <c r="D1575">
        <v>89.80015564</v>
      </c>
      <c r="E1575">
        <v>60</v>
      </c>
      <c r="F1575">
        <v>56.137584685999997</v>
      </c>
      <c r="G1575">
        <v>1306.5200195</v>
      </c>
      <c r="H1575">
        <v>1295.5610352000001</v>
      </c>
      <c r="I1575">
        <v>1394.8831786999999</v>
      </c>
      <c r="J1575">
        <v>1375.6842041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915.68674799999997</v>
      </c>
      <c r="B1576" s="1">
        <f>DATE(2012,11,1) + TIME(16,28,55)</f>
        <v>41214.686747685184</v>
      </c>
      <c r="C1576">
        <v>90</v>
      </c>
      <c r="D1576">
        <v>89.787124633999994</v>
      </c>
      <c r="E1576">
        <v>60</v>
      </c>
      <c r="F1576">
        <v>56.440670013000002</v>
      </c>
      <c r="G1576">
        <v>1306.5170897999999</v>
      </c>
      <c r="H1576">
        <v>1295.5576172000001</v>
      </c>
      <c r="I1576">
        <v>1394.6911620999999</v>
      </c>
      <c r="J1576">
        <v>1375.5894774999999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915.75533099999996</v>
      </c>
      <c r="B1577" s="1">
        <f>DATE(2012,11,1) + TIME(18,7,40)</f>
        <v>41214.755324074074</v>
      </c>
      <c r="C1577">
        <v>90</v>
      </c>
      <c r="D1577">
        <v>89.773582458000007</v>
      </c>
      <c r="E1577">
        <v>60</v>
      </c>
      <c r="F1577">
        <v>56.734249114999997</v>
      </c>
      <c r="G1577">
        <v>1306.5139160000001</v>
      </c>
      <c r="H1577">
        <v>1295.5540771000001</v>
      </c>
      <c r="I1577">
        <v>1394.5037841999999</v>
      </c>
      <c r="J1577">
        <v>1375.4960937999999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915.82811600000002</v>
      </c>
      <c r="B1578" s="1">
        <f>DATE(2012,11,1) + TIME(19,52,29)</f>
        <v>41214.828113425923</v>
      </c>
      <c r="C1578">
        <v>90</v>
      </c>
      <c r="D1578">
        <v>89.759445189999994</v>
      </c>
      <c r="E1578">
        <v>60</v>
      </c>
      <c r="F1578">
        <v>57.018234253000003</v>
      </c>
      <c r="G1578">
        <v>1306.5107422000001</v>
      </c>
      <c r="H1578">
        <v>1295.550293</v>
      </c>
      <c r="I1578">
        <v>1394.3208007999999</v>
      </c>
      <c r="J1578">
        <v>1375.4038086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915.90568199999996</v>
      </c>
      <c r="B1579" s="1">
        <f>DATE(2012,11,1) + TIME(21,44,10)</f>
        <v>41214.905671296299</v>
      </c>
      <c r="C1579">
        <v>90</v>
      </c>
      <c r="D1579">
        <v>89.744644164999997</v>
      </c>
      <c r="E1579">
        <v>60</v>
      </c>
      <c r="F1579">
        <v>57.292503357000001</v>
      </c>
      <c r="G1579">
        <v>1306.5073242000001</v>
      </c>
      <c r="H1579">
        <v>1295.5462646000001</v>
      </c>
      <c r="I1579">
        <v>1394.1418457</v>
      </c>
      <c r="J1579">
        <v>1375.3125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915.98873500000002</v>
      </c>
      <c r="B1580" s="1">
        <f>DATE(2012,11,1) + TIME(23,43,46)</f>
        <v>41214.988726851851</v>
      </c>
      <c r="C1580">
        <v>90</v>
      </c>
      <c r="D1580">
        <v>89.729080199999999</v>
      </c>
      <c r="E1580">
        <v>60</v>
      </c>
      <c r="F1580">
        <v>57.556892394999998</v>
      </c>
      <c r="G1580">
        <v>1306.5036620999999</v>
      </c>
      <c r="H1580">
        <v>1295.5421143000001</v>
      </c>
      <c r="I1580">
        <v>1393.9665527</v>
      </c>
      <c r="J1580">
        <v>1375.2218018000001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916.07814299999995</v>
      </c>
      <c r="B1581" s="1">
        <f>DATE(2012,11,2) + TIME(1,52,31)</f>
        <v>41215.078136574077</v>
      </c>
      <c r="C1581">
        <v>90</v>
      </c>
      <c r="D1581">
        <v>89.712623596</v>
      </c>
      <c r="E1581">
        <v>60</v>
      </c>
      <c r="F1581">
        <v>57.811206818000002</v>
      </c>
      <c r="G1581">
        <v>1306.4997559000001</v>
      </c>
      <c r="H1581">
        <v>1295.5375977000001</v>
      </c>
      <c r="I1581">
        <v>1393.7949219</v>
      </c>
      <c r="J1581">
        <v>1375.1317139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916.17498699999999</v>
      </c>
      <c r="B1582" s="1">
        <f>DATE(2012,11,2) + TIME(4,11,58)</f>
        <v>41215.174976851849</v>
      </c>
      <c r="C1582">
        <v>90</v>
      </c>
      <c r="D1582">
        <v>89.695137024000005</v>
      </c>
      <c r="E1582">
        <v>60</v>
      </c>
      <c r="F1582">
        <v>58.055191039999997</v>
      </c>
      <c r="G1582">
        <v>1306.4954834</v>
      </c>
      <c r="H1582">
        <v>1295.5327147999999</v>
      </c>
      <c r="I1582">
        <v>1393.6263428</v>
      </c>
      <c r="J1582">
        <v>1375.0417480000001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916.28065900000001</v>
      </c>
      <c r="B1583" s="1">
        <f>DATE(2012,11,2) + TIME(6,44,8)</f>
        <v>41215.280648148146</v>
      </c>
      <c r="C1583">
        <v>90</v>
      </c>
      <c r="D1583">
        <v>89.676429748999993</v>
      </c>
      <c r="E1583">
        <v>60</v>
      </c>
      <c r="F1583">
        <v>58.288578033</v>
      </c>
      <c r="G1583">
        <v>1306.4909668</v>
      </c>
      <c r="H1583">
        <v>1295.5274658000001</v>
      </c>
      <c r="I1583">
        <v>1393.4605713000001</v>
      </c>
      <c r="J1583">
        <v>1374.9517822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916.39695200000006</v>
      </c>
      <c r="B1584" s="1">
        <f>DATE(2012,11,2) + TIME(9,31,36)</f>
        <v>41215.396944444445</v>
      </c>
      <c r="C1584">
        <v>90</v>
      </c>
      <c r="D1584">
        <v>89.656265258999994</v>
      </c>
      <c r="E1584">
        <v>60</v>
      </c>
      <c r="F1584">
        <v>58.511001587000003</v>
      </c>
      <c r="G1584">
        <v>1306.4860839999999</v>
      </c>
      <c r="H1584">
        <v>1295.5218506000001</v>
      </c>
      <c r="I1584">
        <v>1393.2971190999999</v>
      </c>
      <c r="J1584">
        <v>1374.8614502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916.52618299999995</v>
      </c>
      <c r="B1585" s="1">
        <f>DATE(2012,11,2) + TIME(12,37,42)</f>
        <v>41215.526180555556</v>
      </c>
      <c r="C1585">
        <v>90</v>
      </c>
      <c r="D1585">
        <v>89.634353637999993</v>
      </c>
      <c r="E1585">
        <v>60</v>
      </c>
      <c r="F1585">
        <v>58.721931458</v>
      </c>
      <c r="G1585">
        <v>1306.4807129000001</v>
      </c>
      <c r="H1585">
        <v>1295.515625</v>
      </c>
      <c r="I1585">
        <v>1393.1357422000001</v>
      </c>
      <c r="J1585">
        <v>1374.7703856999999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916.67153199999996</v>
      </c>
      <c r="B1586" s="1">
        <f>DATE(2012,11,2) + TIME(16,7,0)</f>
        <v>41215.671527777777</v>
      </c>
      <c r="C1586">
        <v>90</v>
      </c>
      <c r="D1586">
        <v>89.610290527000004</v>
      </c>
      <c r="E1586">
        <v>60</v>
      </c>
      <c r="F1586">
        <v>58.920776367000002</v>
      </c>
      <c r="G1586">
        <v>1306.4748535000001</v>
      </c>
      <c r="H1586">
        <v>1295.5087891000001</v>
      </c>
      <c r="I1586">
        <v>1392.9759521000001</v>
      </c>
      <c r="J1586">
        <v>1374.6781006000001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916.75236600000005</v>
      </c>
      <c r="B1587" s="1">
        <f>DATE(2012,11,2) + TIME(18,3,24)</f>
        <v>41215.75236111111</v>
      </c>
      <c r="C1587">
        <v>90</v>
      </c>
      <c r="D1587">
        <v>89.596038817999997</v>
      </c>
      <c r="E1587">
        <v>60</v>
      </c>
      <c r="F1587">
        <v>59.020652771000002</v>
      </c>
      <c r="G1587">
        <v>1306.4680175999999</v>
      </c>
      <c r="H1587">
        <v>1295.5018310999999</v>
      </c>
      <c r="I1587">
        <v>1392.8812256000001</v>
      </c>
      <c r="J1587">
        <v>1374.6165771000001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916.91403400000002</v>
      </c>
      <c r="B1588" s="1">
        <f>DATE(2012,11,2) + TIME(21,56,12)</f>
        <v>41215.914027777777</v>
      </c>
      <c r="C1588">
        <v>90</v>
      </c>
      <c r="D1588">
        <v>89.570083617999998</v>
      </c>
      <c r="E1588">
        <v>60</v>
      </c>
      <c r="F1588">
        <v>59.185138702000003</v>
      </c>
      <c r="G1588">
        <v>1306.4644774999999</v>
      </c>
      <c r="H1588">
        <v>1295.4969481999999</v>
      </c>
      <c r="I1588">
        <v>1392.7462158000001</v>
      </c>
      <c r="J1588">
        <v>1374.5405272999999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917.07593599999996</v>
      </c>
      <c r="B1589" s="1">
        <f>DATE(2012,11,3) + TIME(1,49,20)</f>
        <v>41216.075925925928</v>
      </c>
      <c r="C1589">
        <v>90</v>
      </c>
      <c r="D1589">
        <v>89.544151306000003</v>
      </c>
      <c r="E1589">
        <v>60</v>
      </c>
      <c r="F1589">
        <v>59.320785522000001</v>
      </c>
      <c r="G1589">
        <v>1306.4571533000001</v>
      </c>
      <c r="H1589">
        <v>1295.4887695</v>
      </c>
      <c r="I1589">
        <v>1392.6136475000001</v>
      </c>
      <c r="J1589">
        <v>1374.4573975000001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917.24032599999998</v>
      </c>
      <c r="B1590" s="1">
        <f>DATE(2012,11,3) + TIME(5,46,4)</f>
        <v>41216.240324074075</v>
      </c>
      <c r="C1590">
        <v>90</v>
      </c>
      <c r="D1590">
        <v>89.517974854000002</v>
      </c>
      <c r="E1590">
        <v>60</v>
      </c>
      <c r="F1590">
        <v>59.433921814000001</v>
      </c>
      <c r="G1590">
        <v>1306.4498291</v>
      </c>
      <c r="H1590">
        <v>1295.4804687999999</v>
      </c>
      <c r="I1590">
        <v>1392.4936522999999</v>
      </c>
      <c r="J1590">
        <v>1374.3804932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917.40807400000006</v>
      </c>
      <c r="B1591" s="1">
        <f>DATE(2012,11,3) + TIME(9,47,37)</f>
        <v>41216.408067129632</v>
      </c>
      <c r="C1591">
        <v>90</v>
      </c>
      <c r="D1591">
        <v>89.491432189999998</v>
      </c>
      <c r="E1591">
        <v>60</v>
      </c>
      <c r="F1591">
        <v>59.528434752999999</v>
      </c>
      <c r="G1591">
        <v>1306.4423827999999</v>
      </c>
      <c r="H1591">
        <v>1295.4720459</v>
      </c>
      <c r="I1591">
        <v>1392.3839111</v>
      </c>
      <c r="J1591">
        <v>1374.3084716999999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917.58018800000002</v>
      </c>
      <c r="B1592" s="1">
        <f>DATE(2012,11,3) + TIME(13,55,28)</f>
        <v>41216.580185185187</v>
      </c>
      <c r="C1592">
        <v>90</v>
      </c>
      <c r="D1592">
        <v>89.464401245000005</v>
      </c>
      <c r="E1592">
        <v>60</v>
      </c>
      <c r="F1592">
        <v>59.607479095000002</v>
      </c>
      <c r="G1592">
        <v>1306.4348144999999</v>
      </c>
      <c r="H1592">
        <v>1295.463501</v>
      </c>
      <c r="I1592">
        <v>1392.2825928</v>
      </c>
      <c r="J1592">
        <v>1374.2404785000001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917.75767199999996</v>
      </c>
      <c r="B1593" s="1">
        <f>DATE(2012,11,3) + TIME(18,11,2)</f>
        <v>41216.757662037038</v>
      </c>
      <c r="C1593">
        <v>90</v>
      </c>
      <c r="D1593">
        <v>89.436752318999993</v>
      </c>
      <c r="E1593">
        <v>60</v>
      </c>
      <c r="F1593">
        <v>59.673564911</v>
      </c>
      <c r="G1593">
        <v>1306.427124</v>
      </c>
      <c r="H1593">
        <v>1295.4548339999999</v>
      </c>
      <c r="I1593">
        <v>1392.1883545000001</v>
      </c>
      <c r="J1593">
        <v>1374.1759033000001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917.94160199999999</v>
      </c>
      <c r="B1594" s="1">
        <f>DATE(2012,11,3) + TIME(22,35,54)</f>
        <v>41216.94159722222</v>
      </c>
      <c r="C1594">
        <v>90</v>
      </c>
      <c r="D1594">
        <v>89.408355713000006</v>
      </c>
      <c r="E1594">
        <v>60</v>
      </c>
      <c r="F1594">
        <v>59.728725433000001</v>
      </c>
      <c r="G1594">
        <v>1306.4191894999999</v>
      </c>
      <c r="H1594">
        <v>1295.4458007999999</v>
      </c>
      <c r="I1594">
        <v>1392.1000977000001</v>
      </c>
      <c r="J1594">
        <v>1374.1141356999999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918.13316599999996</v>
      </c>
      <c r="B1595" s="1">
        <f>DATE(2012,11,4) + TIME(3,11,45)</f>
        <v>41217.133159722223</v>
      </c>
      <c r="C1595">
        <v>90</v>
      </c>
      <c r="D1595">
        <v>89.379066467000001</v>
      </c>
      <c r="E1595">
        <v>60</v>
      </c>
      <c r="F1595">
        <v>59.774658203000001</v>
      </c>
      <c r="G1595">
        <v>1306.4110106999999</v>
      </c>
      <c r="H1595">
        <v>1295.4365233999999</v>
      </c>
      <c r="I1595">
        <v>1392.0164795000001</v>
      </c>
      <c r="J1595">
        <v>1374.0545654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918.33370400000001</v>
      </c>
      <c r="B1596" s="1">
        <f>DATE(2012,11,4) + TIME(8,0,32)</f>
        <v>41217.333703703705</v>
      </c>
      <c r="C1596">
        <v>90</v>
      </c>
      <c r="D1596">
        <v>89.348709106000001</v>
      </c>
      <c r="E1596">
        <v>60</v>
      </c>
      <c r="F1596">
        <v>59.812763214</v>
      </c>
      <c r="G1596">
        <v>1306.4025879000001</v>
      </c>
      <c r="H1596">
        <v>1295.4268798999999</v>
      </c>
      <c r="I1596">
        <v>1391.9370117000001</v>
      </c>
      <c r="J1596">
        <v>1373.9968262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918.54476699999998</v>
      </c>
      <c r="B1597" s="1">
        <f>DATE(2012,11,4) + TIME(13,4,27)</f>
        <v>41217.544756944444</v>
      </c>
      <c r="C1597">
        <v>90</v>
      </c>
      <c r="D1597">
        <v>89.317115783999995</v>
      </c>
      <c r="E1597">
        <v>60</v>
      </c>
      <c r="F1597">
        <v>59.844223022000001</v>
      </c>
      <c r="G1597">
        <v>1306.3937988</v>
      </c>
      <c r="H1597">
        <v>1295.4168701000001</v>
      </c>
      <c r="I1597">
        <v>1391.8605957</v>
      </c>
      <c r="J1597">
        <v>1373.9404297000001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918.76818100000003</v>
      </c>
      <c r="B1598" s="1">
        <f>DATE(2012,11,4) + TIME(18,26,10)</f>
        <v>41217.768171296295</v>
      </c>
      <c r="C1598">
        <v>90</v>
      </c>
      <c r="D1598">
        <v>89.284057617000002</v>
      </c>
      <c r="E1598">
        <v>60</v>
      </c>
      <c r="F1598">
        <v>59.870044708000002</v>
      </c>
      <c r="G1598">
        <v>1306.3845214999999</v>
      </c>
      <c r="H1598">
        <v>1295.40625</v>
      </c>
      <c r="I1598">
        <v>1391.7867432</v>
      </c>
      <c r="J1598">
        <v>1373.8850098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919.00613999999996</v>
      </c>
      <c r="B1599" s="1">
        <f>DATE(2012,11,5) + TIME(0,8,50)</f>
        <v>41218.00613425926</v>
      </c>
      <c r="C1599">
        <v>90</v>
      </c>
      <c r="D1599">
        <v>89.249282836999996</v>
      </c>
      <c r="E1599">
        <v>60</v>
      </c>
      <c r="F1599">
        <v>59.891082763999997</v>
      </c>
      <c r="G1599">
        <v>1306.3746338000001</v>
      </c>
      <c r="H1599">
        <v>1295.3951416</v>
      </c>
      <c r="I1599">
        <v>1391.7145995999999</v>
      </c>
      <c r="J1599">
        <v>1373.8300781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919.25773400000003</v>
      </c>
      <c r="B1600" s="1">
        <f>DATE(2012,11,5) + TIME(6,11,8)</f>
        <v>41218.257731481484</v>
      </c>
      <c r="C1600">
        <v>90</v>
      </c>
      <c r="D1600">
        <v>89.212875366000006</v>
      </c>
      <c r="E1600">
        <v>60</v>
      </c>
      <c r="F1600">
        <v>59.907894134999999</v>
      </c>
      <c r="G1600">
        <v>1306.3642577999999</v>
      </c>
      <c r="H1600">
        <v>1295.3833007999999</v>
      </c>
      <c r="I1600">
        <v>1391.6437988</v>
      </c>
      <c r="J1600">
        <v>1373.7755127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919.52428399999997</v>
      </c>
      <c r="B1601" s="1">
        <f>DATE(2012,11,5) + TIME(12,34,58)</f>
        <v>41218.524282407408</v>
      </c>
      <c r="C1601">
        <v>90</v>
      </c>
      <c r="D1601">
        <v>89.174705505000006</v>
      </c>
      <c r="E1601">
        <v>60</v>
      </c>
      <c r="F1601">
        <v>59.921188354000002</v>
      </c>
      <c r="G1601">
        <v>1306.3532714999999</v>
      </c>
      <c r="H1601">
        <v>1295.3707274999999</v>
      </c>
      <c r="I1601">
        <v>1391.5743408000001</v>
      </c>
      <c r="J1601">
        <v>1373.7213135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919.80833099999995</v>
      </c>
      <c r="B1602" s="1">
        <f>DATE(2012,11,5) + TIME(19,23,59)</f>
        <v>41218.808321759258</v>
      </c>
      <c r="C1602">
        <v>90</v>
      </c>
      <c r="D1602">
        <v>89.134483337000006</v>
      </c>
      <c r="E1602">
        <v>60</v>
      </c>
      <c r="F1602">
        <v>59.931610106999997</v>
      </c>
      <c r="G1602">
        <v>1306.3416748</v>
      </c>
      <c r="H1602">
        <v>1295.3575439000001</v>
      </c>
      <c r="I1602">
        <v>1391.5059814000001</v>
      </c>
      <c r="J1602">
        <v>1373.6674805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920.11290799999995</v>
      </c>
      <c r="B1603" s="1">
        <f>DATE(2012,11,6) + TIME(2,42,35)</f>
        <v>41219.112905092596</v>
      </c>
      <c r="C1603">
        <v>90</v>
      </c>
      <c r="D1603">
        <v>89.091888428000004</v>
      </c>
      <c r="E1603">
        <v>60</v>
      </c>
      <c r="F1603">
        <v>59.939697266000003</v>
      </c>
      <c r="G1603">
        <v>1306.3293457</v>
      </c>
      <c r="H1603">
        <v>1295.3435059000001</v>
      </c>
      <c r="I1603">
        <v>1391.4378661999999</v>
      </c>
      <c r="J1603">
        <v>1373.6136475000001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920.44182000000001</v>
      </c>
      <c r="B1604" s="1">
        <f>DATE(2012,11,6) + TIME(10,36,13)</f>
        <v>41219.441817129627</v>
      </c>
      <c r="C1604">
        <v>90</v>
      </c>
      <c r="D1604">
        <v>89.046516417999996</v>
      </c>
      <c r="E1604">
        <v>60</v>
      </c>
      <c r="F1604">
        <v>59.945911406999997</v>
      </c>
      <c r="G1604">
        <v>1306.3160399999999</v>
      </c>
      <c r="H1604">
        <v>1295.3283690999999</v>
      </c>
      <c r="I1604">
        <v>1391.3696289</v>
      </c>
      <c r="J1604">
        <v>1373.5593262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920.77473799999996</v>
      </c>
      <c r="B1605" s="1">
        <f>DATE(2012,11,6) + TIME(18,35,37)</f>
        <v>41219.774733796294</v>
      </c>
      <c r="C1605">
        <v>90</v>
      </c>
      <c r="D1605">
        <v>89.000312804999993</v>
      </c>
      <c r="E1605">
        <v>60</v>
      </c>
      <c r="F1605">
        <v>59.950382232999999</v>
      </c>
      <c r="G1605">
        <v>1306.3017577999999</v>
      </c>
      <c r="H1605">
        <v>1295.3121338000001</v>
      </c>
      <c r="I1605">
        <v>1391.3009033000001</v>
      </c>
      <c r="J1605">
        <v>1373.5041504000001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921.11298899999997</v>
      </c>
      <c r="B1606" s="1">
        <f>DATE(2012,11,7) + TIME(2,42,42)</f>
        <v>41220.112986111111</v>
      </c>
      <c r="C1606">
        <v>90</v>
      </c>
      <c r="D1606">
        <v>88.953330993999998</v>
      </c>
      <c r="E1606">
        <v>60</v>
      </c>
      <c r="F1606">
        <v>59.953617096000002</v>
      </c>
      <c r="G1606">
        <v>1306.2872314000001</v>
      </c>
      <c r="H1606">
        <v>1295.2957764</v>
      </c>
      <c r="I1606">
        <v>1391.2353516000001</v>
      </c>
      <c r="J1606">
        <v>1373.4516602000001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921.459069</v>
      </c>
      <c r="B1607" s="1">
        <f>DATE(2012,11,7) + TIME(11,1,3)</f>
        <v>41220.459062499998</v>
      </c>
      <c r="C1607">
        <v>90</v>
      </c>
      <c r="D1607">
        <v>88.905426024999997</v>
      </c>
      <c r="E1607">
        <v>60</v>
      </c>
      <c r="F1607">
        <v>59.955970764</v>
      </c>
      <c r="G1607">
        <v>1306.2724608999999</v>
      </c>
      <c r="H1607">
        <v>1295.2790527</v>
      </c>
      <c r="I1607">
        <v>1391.1724853999999</v>
      </c>
      <c r="J1607">
        <v>1373.4011230000001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921.81547799999998</v>
      </c>
      <c r="B1608" s="1">
        <f>DATE(2012,11,7) + TIME(19,34,17)</f>
        <v>41220.815474537034</v>
      </c>
      <c r="C1608">
        <v>90</v>
      </c>
      <c r="D1608">
        <v>88.856437682999996</v>
      </c>
      <c r="E1608">
        <v>60</v>
      </c>
      <c r="F1608">
        <v>59.957695006999998</v>
      </c>
      <c r="G1608">
        <v>1306.2574463000001</v>
      </c>
      <c r="H1608">
        <v>1295.2618408000001</v>
      </c>
      <c r="I1608">
        <v>1391.1115723</v>
      </c>
      <c r="J1608">
        <v>1373.3521728999999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922.18486499999995</v>
      </c>
      <c r="B1609" s="1">
        <f>DATE(2012,11,8) + TIME(4,26,12)</f>
        <v>41221.184861111113</v>
      </c>
      <c r="C1609">
        <v>90</v>
      </c>
      <c r="D1609">
        <v>88.806129455999994</v>
      </c>
      <c r="E1609">
        <v>60</v>
      </c>
      <c r="F1609">
        <v>59.958965302000003</v>
      </c>
      <c r="G1609">
        <v>1306.2419434000001</v>
      </c>
      <c r="H1609">
        <v>1295.2441406</v>
      </c>
      <c r="I1609">
        <v>1391.0518798999999</v>
      </c>
      <c r="J1609">
        <v>1373.3041992000001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922.56744600000002</v>
      </c>
      <c r="B1610" s="1">
        <f>DATE(2012,11,8) + TIME(13,37,7)</f>
        <v>41221.567442129628</v>
      </c>
      <c r="C1610">
        <v>90</v>
      </c>
      <c r="D1610">
        <v>88.754470824999999</v>
      </c>
      <c r="E1610">
        <v>60</v>
      </c>
      <c r="F1610">
        <v>59.959896088000001</v>
      </c>
      <c r="G1610">
        <v>1306.2259521000001</v>
      </c>
      <c r="H1610">
        <v>1295.2258300999999</v>
      </c>
      <c r="I1610">
        <v>1390.9931641000001</v>
      </c>
      <c r="J1610">
        <v>1373.2570800999999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922.96060899999998</v>
      </c>
      <c r="B1611" s="1">
        <f>DATE(2012,11,8) + TIME(23,3,16)</f>
        <v>41221.960601851853</v>
      </c>
      <c r="C1611">
        <v>90</v>
      </c>
      <c r="D1611">
        <v>88.701713561999995</v>
      </c>
      <c r="E1611">
        <v>60</v>
      </c>
      <c r="F1611">
        <v>59.960582733000003</v>
      </c>
      <c r="G1611">
        <v>1306.2092285000001</v>
      </c>
      <c r="H1611">
        <v>1295.2069091999999</v>
      </c>
      <c r="I1611">
        <v>1390.9351807</v>
      </c>
      <c r="J1611">
        <v>1373.2105713000001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923.36676999999997</v>
      </c>
      <c r="B1612" s="1">
        <f>DATE(2012,11,9) + TIME(8,48,8)</f>
        <v>41222.366759259261</v>
      </c>
      <c r="C1612">
        <v>90</v>
      </c>
      <c r="D1612">
        <v>88.647666931000003</v>
      </c>
      <c r="E1612">
        <v>60</v>
      </c>
      <c r="F1612">
        <v>59.961090087999999</v>
      </c>
      <c r="G1612">
        <v>1306.1921387</v>
      </c>
      <c r="H1612">
        <v>1295.1872559000001</v>
      </c>
      <c r="I1612">
        <v>1390.878418</v>
      </c>
      <c r="J1612">
        <v>1373.1650391000001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923.78846699999997</v>
      </c>
      <c r="B1613" s="1">
        <f>DATE(2012,11,9) + TIME(18,55,23)</f>
        <v>41222.788460648146</v>
      </c>
      <c r="C1613">
        <v>90</v>
      </c>
      <c r="D1613">
        <v>88.592124939000001</v>
      </c>
      <c r="E1613">
        <v>60</v>
      </c>
      <c r="F1613">
        <v>59.961467743</v>
      </c>
      <c r="G1613">
        <v>1306.1744385</v>
      </c>
      <c r="H1613">
        <v>1295.1669922000001</v>
      </c>
      <c r="I1613">
        <v>1390.8223877</v>
      </c>
      <c r="J1613">
        <v>1373.1201172000001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924.22857399999998</v>
      </c>
      <c r="B1614" s="1">
        <f>DATE(2012,11,10) + TIME(5,29,8)</f>
        <v>41223.228564814817</v>
      </c>
      <c r="C1614">
        <v>90</v>
      </c>
      <c r="D1614">
        <v>88.534820557000003</v>
      </c>
      <c r="E1614">
        <v>60</v>
      </c>
      <c r="F1614">
        <v>59.961757660000004</v>
      </c>
      <c r="G1614">
        <v>1306.1561279</v>
      </c>
      <c r="H1614">
        <v>1295.1459961</v>
      </c>
      <c r="I1614">
        <v>1390.7668457</v>
      </c>
      <c r="J1614">
        <v>1373.0756836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924.69042300000001</v>
      </c>
      <c r="B1615" s="1">
        <f>DATE(2012,11,10) + TIME(16,34,12)</f>
        <v>41223.690416666665</v>
      </c>
      <c r="C1615">
        <v>90</v>
      </c>
      <c r="D1615">
        <v>88.475425720000004</v>
      </c>
      <c r="E1615">
        <v>60</v>
      </c>
      <c r="F1615">
        <v>59.961975098000003</v>
      </c>
      <c r="G1615">
        <v>1306.1369629000001</v>
      </c>
      <c r="H1615">
        <v>1295.1239014</v>
      </c>
      <c r="I1615">
        <v>1390.7113036999999</v>
      </c>
      <c r="J1615">
        <v>1373.0314940999999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925.17796699999997</v>
      </c>
      <c r="B1616" s="1">
        <f>DATE(2012,11,11) + TIME(4,16,16)</f>
        <v>41224.17796296296</v>
      </c>
      <c r="C1616">
        <v>90</v>
      </c>
      <c r="D1616">
        <v>88.413574218999997</v>
      </c>
      <c r="E1616">
        <v>60</v>
      </c>
      <c r="F1616">
        <v>59.962146758999999</v>
      </c>
      <c r="G1616">
        <v>1306.1166992000001</v>
      </c>
      <c r="H1616">
        <v>1295.1007079999999</v>
      </c>
      <c r="I1616">
        <v>1390.6556396000001</v>
      </c>
      <c r="J1616">
        <v>1372.9870605000001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925.69599600000004</v>
      </c>
      <c r="B1617" s="1">
        <f>DATE(2012,11,11) + TIME(16,42,14)</f>
        <v>41224.69599537037</v>
      </c>
      <c r="C1617">
        <v>90</v>
      </c>
      <c r="D1617">
        <v>88.348800659000005</v>
      </c>
      <c r="E1617">
        <v>60</v>
      </c>
      <c r="F1617">
        <v>59.962280272999998</v>
      </c>
      <c r="G1617">
        <v>1306.0953368999999</v>
      </c>
      <c r="H1617">
        <v>1295.0760498</v>
      </c>
      <c r="I1617">
        <v>1390.5994873</v>
      </c>
      <c r="J1617">
        <v>1372.9423827999999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926.221678</v>
      </c>
      <c r="B1618" s="1">
        <f>DATE(2012,11,12) + TIME(5,19,12)</f>
        <v>41225.221666666665</v>
      </c>
      <c r="C1618">
        <v>90</v>
      </c>
      <c r="D1618">
        <v>88.282737732000001</v>
      </c>
      <c r="E1618">
        <v>60</v>
      </c>
      <c r="F1618">
        <v>59.962379456000001</v>
      </c>
      <c r="G1618">
        <v>1306.0725098</v>
      </c>
      <c r="H1618">
        <v>1295.0499268000001</v>
      </c>
      <c r="I1618">
        <v>1390.5423584</v>
      </c>
      <c r="J1618">
        <v>1372.8969727000001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926.75623900000005</v>
      </c>
      <c r="B1619" s="1">
        <f>DATE(2012,11,12) + TIME(18,8,59)</f>
        <v>41225.756238425929</v>
      </c>
      <c r="C1619">
        <v>90</v>
      </c>
      <c r="D1619">
        <v>88.215637207</v>
      </c>
      <c r="E1619">
        <v>60</v>
      </c>
      <c r="F1619">
        <v>59.962455749999997</v>
      </c>
      <c r="G1619">
        <v>1306.0493164</v>
      </c>
      <c r="H1619">
        <v>1295.0231934000001</v>
      </c>
      <c r="I1619">
        <v>1390.4868164</v>
      </c>
      <c r="J1619">
        <v>1372.8529053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927.30336499999999</v>
      </c>
      <c r="B1620" s="1">
        <f>DATE(2012,11,13) + TIME(7,16,50)</f>
        <v>41226.303356481483</v>
      </c>
      <c r="C1620">
        <v>90</v>
      </c>
      <c r="D1620">
        <v>88.147422790999997</v>
      </c>
      <c r="E1620">
        <v>60</v>
      </c>
      <c r="F1620">
        <v>59.962512969999999</v>
      </c>
      <c r="G1620">
        <v>1306.0255127</v>
      </c>
      <c r="H1620">
        <v>1294.9958495999999</v>
      </c>
      <c r="I1620">
        <v>1390.4328613</v>
      </c>
      <c r="J1620">
        <v>1372.8101807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927.866848</v>
      </c>
      <c r="B1621" s="1">
        <f>DATE(2012,11,13) + TIME(20,48,15)</f>
        <v>41226.866840277777</v>
      </c>
      <c r="C1621">
        <v>90</v>
      </c>
      <c r="D1621">
        <v>88.077873229999994</v>
      </c>
      <c r="E1621">
        <v>60</v>
      </c>
      <c r="F1621">
        <v>59.962558745999999</v>
      </c>
      <c r="G1621">
        <v>1306.0012207</v>
      </c>
      <c r="H1621">
        <v>1294.9676514</v>
      </c>
      <c r="I1621">
        <v>1390.3798827999999</v>
      </c>
      <c r="J1621">
        <v>1372.7681885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928.45079499999997</v>
      </c>
      <c r="B1622" s="1">
        <f>DATE(2012,11,14) + TIME(10,49,8)</f>
        <v>41227.450787037036</v>
      </c>
      <c r="C1622">
        <v>90</v>
      </c>
      <c r="D1622">
        <v>88.006683350000003</v>
      </c>
      <c r="E1622">
        <v>60</v>
      </c>
      <c r="F1622">
        <v>59.962593079000001</v>
      </c>
      <c r="G1622">
        <v>1305.9760742000001</v>
      </c>
      <c r="H1622">
        <v>1294.9383545000001</v>
      </c>
      <c r="I1622">
        <v>1390.3275146000001</v>
      </c>
      <c r="J1622">
        <v>1372.7269286999999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929.05982200000005</v>
      </c>
      <c r="B1623" s="1">
        <f>DATE(2012,11,15) + TIME(1,26,8)</f>
        <v>41228.059814814813</v>
      </c>
      <c r="C1623">
        <v>90</v>
      </c>
      <c r="D1623">
        <v>87.933464049999998</v>
      </c>
      <c r="E1623">
        <v>60</v>
      </c>
      <c r="F1623">
        <v>59.962619781000001</v>
      </c>
      <c r="G1623">
        <v>1305.9498291</v>
      </c>
      <c r="H1623">
        <v>1294.9079589999999</v>
      </c>
      <c r="I1623">
        <v>1390.2753906</v>
      </c>
      <c r="J1623">
        <v>1372.6857910000001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929.68217500000003</v>
      </c>
      <c r="B1624" s="1">
        <f>DATE(2012,11,15) + TIME(16,22,19)</f>
        <v>41228.682164351849</v>
      </c>
      <c r="C1624">
        <v>90</v>
      </c>
      <c r="D1624">
        <v>87.858909607000001</v>
      </c>
      <c r="E1624">
        <v>60</v>
      </c>
      <c r="F1624">
        <v>59.962642670000001</v>
      </c>
      <c r="G1624">
        <v>1305.9223632999999</v>
      </c>
      <c r="H1624">
        <v>1294.8759766000001</v>
      </c>
      <c r="I1624">
        <v>1390.2232666</v>
      </c>
      <c r="J1624">
        <v>1372.6446533000001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930.31967699999996</v>
      </c>
      <c r="B1625" s="1">
        <f>DATE(2012,11,16) + TIME(7,40,20)</f>
        <v>41229.319675925923</v>
      </c>
      <c r="C1625">
        <v>90</v>
      </c>
      <c r="D1625">
        <v>87.783081054999997</v>
      </c>
      <c r="E1625">
        <v>60</v>
      </c>
      <c r="F1625">
        <v>59.962661742999998</v>
      </c>
      <c r="G1625">
        <v>1305.894043</v>
      </c>
      <c r="H1625">
        <v>1294.8430175999999</v>
      </c>
      <c r="I1625">
        <v>1390.1719971</v>
      </c>
      <c r="J1625">
        <v>1372.6043701000001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930.97612000000004</v>
      </c>
      <c r="B1626" s="1">
        <f>DATE(2012,11,16) + TIME(23,25,36)</f>
        <v>41229.976111111115</v>
      </c>
      <c r="C1626">
        <v>90</v>
      </c>
      <c r="D1626">
        <v>87.705802917</v>
      </c>
      <c r="E1626">
        <v>60</v>
      </c>
      <c r="F1626">
        <v>59.962673187</v>
      </c>
      <c r="G1626">
        <v>1305.8648682</v>
      </c>
      <c r="H1626">
        <v>1294.8089600000001</v>
      </c>
      <c r="I1626">
        <v>1390.1214600000001</v>
      </c>
      <c r="J1626">
        <v>1372.5646973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931.65562699999998</v>
      </c>
      <c r="B1627" s="1">
        <f>DATE(2012,11,17) + TIME(15,44,6)</f>
        <v>41230.655624999999</v>
      </c>
      <c r="C1627">
        <v>90</v>
      </c>
      <c r="D1627">
        <v>87.626815796000002</v>
      </c>
      <c r="E1627">
        <v>60</v>
      </c>
      <c r="F1627">
        <v>59.962684631000002</v>
      </c>
      <c r="G1627">
        <v>1305.8347168</v>
      </c>
      <c r="H1627">
        <v>1294.7735596</v>
      </c>
      <c r="I1627">
        <v>1390.0715332</v>
      </c>
      <c r="J1627">
        <v>1372.5253906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932.36285399999997</v>
      </c>
      <c r="B1628" s="1">
        <f>DATE(2012,11,18) + TIME(8,42,30)</f>
        <v>41231.362847222219</v>
      </c>
      <c r="C1628">
        <v>90</v>
      </c>
      <c r="D1628">
        <v>87.545730590999995</v>
      </c>
      <c r="E1628">
        <v>60</v>
      </c>
      <c r="F1628">
        <v>59.962696074999997</v>
      </c>
      <c r="G1628">
        <v>1305.8033447</v>
      </c>
      <c r="H1628">
        <v>1294.7365723</v>
      </c>
      <c r="I1628">
        <v>1390.0216064000001</v>
      </c>
      <c r="J1628">
        <v>1372.4862060999999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933.08920999999998</v>
      </c>
      <c r="B1629" s="1">
        <f>DATE(2012,11,19) + TIME(2,8,27)</f>
        <v>41232.089201388888</v>
      </c>
      <c r="C1629">
        <v>90</v>
      </c>
      <c r="D1629">
        <v>87.462966918999996</v>
      </c>
      <c r="E1629">
        <v>60</v>
      </c>
      <c r="F1629">
        <v>59.962703705000003</v>
      </c>
      <c r="G1629">
        <v>1305.7702637</v>
      </c>
      <c r="H1629">
        <v>1294.6977539</v>
      </c>
      <c r="I1629">
        <v>1389.9716797000001</v>
      </c>
      <c r="J1629">
        <v>1372.4471435999999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933.83339999999998</v>
      </c>
      <c r="B1630" s="1">
        <f>DATE(2012,11,19) + TIME(20,0,5)</f>
        <v>41232.833391203705</v>
      </c>
      <c r="C1630">
        <v>90</v>
      </c>
      <c r="D1630">
        <v>87.378753661999994</v>
      </c>
      <c r="E1630">
        <v>60</v>
      </c>
      <c r="F1630">
        <v>59.962711333999998</v>
      </c>
      <c r="G1630">
        <v>1305.7362060999999</v>
      </c>
      <c r="H1630">
        <v>1294.6574707</v>
      </c>
      <c r="I1630">
        <v>1389.9222411999999</v>
      </c>
      <c r="J1630">
        <v>1372.4083252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934.60110899999995</v>
      </c>
      <c r="B1631" s="1">
        <f>DATE(2012,11,20) + TIME(14,25,35)</f>
        <v>41233.601099537038</v>
      </c>
      <c r="C1631">
        <v>90</v>
      </c>
      <c r="D1631">
        <v>87.292892456000004</v>
      </c>
      <c r="E1631">
        <v>60</v>
      </c>
      <c r="F1631">
        <v>59.962718963999997</v>
      </c>
      <c r="G1631">
        <v>1305.7009277</v>
      </c>
      <c r="H1631">
        <v>1294.6157227000001</v>
      </c>
      <c r="I1631">
        <v>1389.8734131000001</v>
      </c>
      <c r="J1631">
        <v>1372.3702393000001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935.39851499999997</v>
      </c>
      <c r="B1632" s="1">
        <f>DATE(2012,11,21) + TIME(9,33,51)</f>
        <v>41234.398506944446</v>
      </c>
      <c r="C1632">
        <v>90</v>
      </c>
      <c r="D1632">
        <v>87.204978943</v>
      </c>
      <c r="E1632">
        <v>60</v>
      </c>
      <c r="F1632">
        <v>59.962726592999999</v>
      </c>
      <c r="G1632">
        <v>1305.6641846</v>
      </c>
      <c r="H1632">
        <v>1294.5721435999999</v>
      </c>
      <c r="I1632">
        <v>1389.8248291</v>
      </c>
      <c r="J1632">
        <v>1372.3322754000001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936.23271899999997</v>
      </c>
      <c r="B1633" s="1">
        <f>DATE(2012,11,22) + TIME(5,35,6)</f>
        <v>41235.232708333337</v>
      </c>
      <c r="C1633">
        <v>90</v>
      </c>
      <c r="D1633">
        <v>87.114501953000001</v>
      </c>
      <c r="E1633">
        <v>60</v>
      </c>
      <c r="F1633">
        <v>59.962734222000002</v>
      </c>
      <c r="G1633">
        <v>1305.6257324000001</v>
      </c>
      <c r="H1633">
        <v>1294.5262451000001</v>
      </c>
      <c r="I1633">
        <v>1389.7762451000001</v>
      </c>
      <c r="J1633">
        <v>1372.2941894999999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937.09550300000001</v>
      </c>
      <c r="B1634" s="1">
        <f>DATE(2012,11,23) + TIME(2,17,31)</f>
        <v>41236.095497685186</v>
      </c>
      <c r="C1634">
        <v>90</v>
      </c>
      <c r="D1634">
        <v>87.021659850999995</v>
      </c>
      <c r="E1634">
        <v>60</v>
      </c>
      <c r="F1634">
        <v>59.962741852000001</v>
      </c>
      <c r="G1634">
        <v>1305.5850829999999</v>
      </c>
      <c r="H1634">
        <v>1294.4776611</v>
      </c>
      <c r="I1634">
        <v>1389.7271728999999</v>
      </c>
      <c r="J1634">
        <v>1372.2558594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937.96962299999996</v>
      </c>
      <c r="B1635" s="1">
        <f>DATE(2012,11,23) + TIME(23,16,15)</f>
        <v>41236.969618055555</v>
      </c>
      <c r="C1635">
        <v>90</v>
      </c>
      <c r="D1635">
        <v>86.927513122999997</v>
      </c>
      <c r="E1635">
        <v>60</v>
      </c>
      <c r="F1635">
        <v>59.962749481000003</v>
      </c>
      <c r="G1635">
        <v>1305.5424805</v>
      </c>
      <c r="H1635">
        <v>1294.4268798999999</v>
      </c>
      <c r="I1635">
        <v>1389.6782227000001</v>
      </c>
      <c r="J1635">
        <v>1372.2176514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938.86029299999996</v>
      </c>
      <c r="B1636" s="1">
        <f>DATE(2012,11,24) + TIME(20,38,49)</f>
        <v>41237.860289351855</v>
      </c>
      <c r="C1636">
        <v>90</v>
      </c>
      <c r="D1636">
        <v>86.832344054999993</v>
      </c>
      <c r="E1636">
        <v>60</v>
      </c>
      <c r="F1636">
        <v>59.962757111000002</v>
      </c>
      <c r="G1636">
        <v>1305.4989014</v>
      </c>
      <c r="H1636">
        <v>1294.3745117000001</v>
      </c>
      <c r="I1636">
        <v>1389.630249</v>
      </c>
      <c r="J1636">
        <v>1372.1802978999999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939.77270899999996</v>
      </c>
      <c r="B1637" s="1">
        <f>DATE(2012,11,25) + TIME(18,32,42)</f>
        <v>41238.77270833333</v>
      </c>
      <c r="C1637">
        <v>90</v>
      </c>
      <c r="D1637">
        <v>86.736053467000005</v>
      </c>
      <c r="E1637">
        <v>60</v>
      </c>
      <c r="F1637">
        <v>59.962768554999997</v>
      </c>
      <c r="G1637">
        <v>1305.4539795000001</v>
      </c>
      <c r="H1637">
        <v>1294.3203125</v>
      </c>
      <c r="I1637">
        <v>1389.5831298999999</v>
      </c>
      <c r="J1637">
        <v>1372.1435547000001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940.71245099999999</v>
      </c>
      <c r="B1638" s="1">
        <f>DATE(2012,11,26) + TIME(17,5,55)</f>
        <v>41239.712442129632</v>
      </c>
      <c r="C1638">
        <v>90</v>
      </c>
      <c r="D1638">
        <v>86.638305664000001</v>
      </c>
      <c r="E1638">
        <v>60</v>
      </c>
      <c r="F1638">
        <v>59.962776183999999</v>
      </c>
      <c r="G1638">
        <v>1305.4074707</v>
      </c>
      <c r="H1638">
        <v>1294.2639160000001</v>
      </c>
      <c r="I1638">
        <v>1389.536499</v>
      </c>
      <c r="J1638">
        <v>1372.1071777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941.684122</v>
      </c>
      <c r="B1639" s="1">
        <f>DATE(2012,11,27) + TIME(16,25,8)</f>
        <v>41240.684120370373</v>
      </c>
      <c r="C1639">
        <v>90</v>
      </c>
      <c r="D1639">
        <v>86.538749695000007</v>
      </c>
      <c r="E1639">
        <v>60</v>
      </c>
      <c r="F1639">
        <v>59.962787628000001</v>
      </c>
      <c r="G1639">
        <v>1305.3590088000001</v>
      </c>
      <c r="H1639">
        <v>1294.2049560999999</v>
      </c>
      <c r="I1639">
        <v>1389.4899902</v>
      </c>
      <c r="J1639">
        <v>1372.0709228999999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942.67661199999998</v>
      </c>
      <c r="B1640" s="1">
        <f>DATE(2012,11,28) + TIME(16,14,19)</f>
        <v>41241.676608796297</v>
      </c>
      <c r="C1640">
        <v>90</v>
      </c>
      <c r="D1640">
        <v>86.437721252000003</v>
      </c>
      <c r="E1640">
        <v>60</v>
      </c>
      <c r="F1640">
        <v>59.962799072000003</v>
      </c>
      <c r="G1640">
        <v>1305.3082274999999</v>
      </c>
      <c r="H1640">
        <v>1294.1431885</v>
      </c>
      <c r="I1640">
        <v>1389.4434814000001</v>
      </c>
      <c r="J1640">
        <v>1372.0347899999999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943.69712800000002</v>
      </c>
      <c r="B1641" s="1">
        <f>DATE(2012,11,29) + TIME(16,43,51)</f>
        <v>41242.697118055556</v>
      </c>
      <c r="C1641">
        <v>90</v>
      </c>
      <c r="D1641">
        <v>86.335166931000003</v>
      </c>
      <c r="E1641">
        <v>60</v>
      </c>
      <c r="F1641">
        <v>59.962814330999997</v>
      </c>
      <c r="G1641">
        <v>1305.2556152</v>
      </c>
      <c r="H1641">
        <v>1294.0788574000001</v>
      </c>
      <c r="I1641">
        <v>1389.3975829999999</v>
      </c>
      <c r="J1641">
        <v>1371.9990233999999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944.75331500000004</v>
      </c>
      <c r="B1642" s="1">
        <f>DATE(2012,11,30) + TIME(18,4,46)</f>
        <v>41243.753310185188</v>
      </c>
      <c r="C1642">
        <v>90</v>
      </c>
      <c r="D1642">
        <v>86.230697632000002</v>
      </c>
      <c r="E1642">
        <v>60</v>
      </c>
      <c r="F1642">
        <v>59.962825774999999</v>
      </c>
      <c r="G1642">
        <v>1305.2009277</v>
      </c>
      <c r="H1642">
        <v>1294.0115966999999</v>
      </c>
      <c r="I1642">
        <v>1389.3519286999999</v>
      </c>
      <c r="J1642">
        <v>1371.9633789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945</v>
      </c>
      <c r="B1643" s="1">
        <f>DATE(2012,12,1) + TIME(0,0,0)</f>
        <v>41244</v>
      </c>
      <c r="C1643">
        <v>90</v>
      </c>
      <c r="D1643">
        <v>86.188079834000007</v>
      </c>
      <c r="E1643">
        <v>60</v>
      </c>
      <c r="F1643">
        <v>59.962821959999999</v>
      </c>
      <c r="G1643">
        <v>1305.1435547000001</v>
      </c>
      <c r="H1643">
        <v>1293.9476318</v>
      </c>
      <c r="I1643">
        <v>1389.3055420000001</v>
      </c>
      <c r="J1643">
        <v>1371.927124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946.10053700000003</v>
      </c>
      <c r="B1644" s="1">
        <f>DATE(2012,12,2) + TIME(2,24,46)</f>
        <v>41245.100532407407</v>
      </c>
      <c r="C1644">
        <v>90</v>
      </c>
      <c r="D1644">
        <v>86.091369628999999</v>
      </c>
      <c r="E1644">
        <v>60</v>
      </c>
      <c r="F1644">
        <v>59.962844849</v>
      </c>
      <c r="G1644">
        <v>1305.1290283000001</v>
      </c>
      <c r="H1644">
        <v>1293.9219971</v>
      </c>
      <c r="I1644">
        <v>1389.2956543</v>
      </c>
      <c r="J1644">
        <v>1371.9195557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947.23769900000002</v>
      </c>
      <c r="B1645" s="1">
        <f>DATE(2012,12,3) + TIME(5,42,17)</f>
        <v>41246.237696759257</v>
      </c>
      <c r="C1645">
        <v>90</v>
      </c>
      <c r="D1645">
        <v>85.986610412999994</v>
      </c>
      <c r="E1645">
        <v>60</v>
      </c>
      <c r="F1645">
        <v>59.962860106999997</v>
      </c>
      <c r="G1645">
        <v>1305.0687256000001</v>
      </c>
      <c r="H1645">
        <v>1293.8480225000001</v>
      </c>
      <c r="I1645">
        <v>1389.2498779</v>
      </c>
      <c r="J1645">
        <v>1371.8837891000001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948.392064</v>
      </c>
      <c r="B1646" s="1">
        <f>DATE(2012,12,4) + TIME(9,24,34)</f>
        <v>41247.392060185186</v>
      </c>
      <c r="C1646">
        <v>90</v>
      </c>
      <c r="D1646">
        <v>85.877792357999994</v>
      </c>
      <c r="E1646">
        <v>60</v>
      </c>
      <c r="F1646">
        <v>59.962875365999999</v>
      </c>
      <c r="G1646">
        <v>1305.0050048999999</v>
      </c>
      <c r="H1646">
        <v>1293.7692870999999</v>
      </c>
      <c r="I1646">
        <v>1389.2039795000001</v>
      </c>
      <c r="J1646">
        <v>1371.8480225000001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949.56271300000003</v>
      </c>
      <c r="B1647" s="1">
        <f>DATE(2012,12,5) + TIME(13,30,18)</f>
        <v>41248.562708333331</v>
      </c>
      <c r="C1647">
        <v>90</v>
      </c>
      <c r="D1647">
        <v>85.767082213999998</v>
      </c>
      <c r="E1647">
        <v>60</v>
      </c>
      <c r="F1647">
        <v>59.962894439999999</v>
      </c>
      <c r="G1647">
        <v>1304.9392089999999</v>
      </c>
      <c r="H1647">
        <v>1293.6873779</v>
      </c>
      <c r="I1647">
        <v>1389.1588135</v>
      </c>
      <c r="J1647">
        <v>1371.8128661999999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950.75429099999997</v>
      </c>
      <c r="B1648" s="1">
        <f>DATE(2012,12,6) + TIME(18,6,10)</f>
        <v>41249.754282407404</v>
      </c>
      <c r="C1648">
        <v>90</v>
      </c>
      <c r="D1648">
        <v>85.655273437999995</v>
      </c>
      <c r="E1648">
        <v>60</v>
      </c>
      <c r="F1648">
        <v>59.962913512999997</v>
      </c>
      <c r="G1648">
        <v>1304.8714600000001</v>
      </c>
      <c r="H1648">
        <v>1293.6026611</v>
      </c>
      <c r="I1648">
        <v>1389.1143798999999</v>
      </c>
      <c r="J1648">
        <v>1371.7781981999999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951.97530300000005</v>
      </c>
      <c r="B1649" s="1">
        <f>DATE(2012,12,7) + TIME(23,24,26)</f>
        <v>41250.975300925929</v>
      </c>
      <c r="C1649">
        <v>90</v>
      </c>
      <c r="D1649">
        <v>85.542327881000006</v>
      </c>
      <c r="E1649">
        <v>60</v>
      </c>
      <c r="F1649">
        <v>59.962932586999997</v>
      </c>
      <c r="G1649">
        <v>1304.8013916</v>
      </c>
      <c r="H1649">
        <v>1293.5146483999999</v>
      </c>
      <c r="I1649">
        <v>1389.0705565999999</v>
      </c>
      <c r="J1649">
        <v>1371.7440185999999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953.234959</v>
      </c>
      <c r="B1650" s="1">
        <f>DATE(2012,12,9) + TIME(5,38,20)</f>
        <v>41252.234953703701</v>
      </c>
      <c r="C1650">
        <v>90</v>
      </c>
      <c r="D1650">
        <v>85.427772521999998</v>
      </c>
      <c r="E1650">
        <v>60</v>
      </c>
      <c r="F1650">
        <v>59.962951660000002</v>
      </c>
      <c r="G1650">
        <v>1304.7283935999999</v>
      </c>
      <c r="H1650">
        <v>1293.4227295000001</v>
      </c>
      <c r="I1650">
        <v>1389.0269774999999</v>
      </c>
      <c r="J1650">
        <v>1371.7100829999999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954.54360199999996</v>
      </c>
      <c r="B1651" s="1">
        <f>DATE(2012,12,10) + TIME(13,2,47)</f>
        <v>41253.543599537035</v>
      </c>
      <c r="C1651">
        <v>90</v>
      </c>
      <c r="D1651">
        <v>85.310943604000002</v>
      </c>
      <c r="E1651">
        <v>60</v>
      </c>
      <c r="F1651">
        <v>59.962974547999998</v>
      </c>
      <c r="G1651">
        <v>1304.6519774999999</v>
      </c>
      <c r="H1651">
        <v>1293.3261719</v>
      </c>
      <c r="I1651">
        <v>1388.9833983999999</v>
      </c>
      <c r="J1651">
        <v>1371.6760254000001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955.91327200000001</v>
      </c>
      <c r="B1652" s="1">
        <f>DATE(2012,12,11) + TIME(21,55,6)</f>
        <v>41254.913263888891</v>
      </c>
      <c r="C1652">
        <v>90</v>
      </c>
      <c r="D1652">
        <v>85.191040039000001</v>
      </c>
      <c r="E1652">
        <v>60</v>
      </c>
      <c r="F1652">
        <v>59.963001251000001</v>
      </c>
      <c r="G1652">
        <v>1304.5714111</v>
      </c>
      <c r="H1652">
        <v>1293.2238769999999</v>
      </c>
      <c r="I1652">
        <v>1388.9393310999999</v>
      </c>
      <c r="J1652">
        <v>1371.6416016000001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957.30882999999994</v>
      </c>
      <c r="B1653" s="1">
        <f>DATE(2012,12,13) + TIME(7,24,42)</f>
        <v>41256.308819444443</v>
      </c>
      <c r="C1653">
        <v>90</v>
      </c>
      <c r="D1653">
        <v>85.068756104000002</v>
      </c>
      <c r="E1653">
        <v>60</v>
      </c>
      <c r="F1653">
        <v>59.963024138999998</v>
      </c>
      <c r="G1653">
        <v>1304.4857178</v>
      </c>
      <c r="H1653">
        <v>1293.1148682</v>
      </c>
      <c r="I1653">
        <v>1388.8946533000001</v>
      </c>
      <c r="J1653">
        <v>1371.6066894999999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958.71471399999996</v>
      </c>
      <c r="B1654" s="1">
        <f>DATE(2012,12,14) + TIME(17,9,11)</f>
        <v>41257.71471064815</v>
      </c>
      <c r="C1654">
        <v>90</v>
      </c>
      <c r="D1654">
        <v>84.945587157999995</v>
      </c>
      <c r="E1654">
        <v>60</v>
      </c>
      <c r="F1654">
        <v>59.963050842000001</v>
      </c>
      <c r="G1654">
        <v>1304.3968506000001</v>
      </c>
      <c r="H1654">
        <v>1293.0014647999999</v>
      </c>
      <c r="I1654">
        <v>1388.8503418</v>
      </c>
      <c r="J1654">
        <v>1371.5720214999999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960.14111600000001</v>
      </c>
      <c r="B1655" s="1">
        <f>DATE(2012,12,16) + TIME(3,23,12)</f>
        <v>41259.141111111108</v>
      </c>
      <c r="C1655">
        <v>90</v>
      </c>
      <c r="D1655">
        <v>84.822097778</v>
      </c>
      <c r="E1655">
        <v>60</v>
      </c>
      <c r="F1655">
        <v>59.963073729999998</v>
      </c>
      <c r="G1655">
        <v>1304.3056641000001</v>
      </c>
      <c r="H1655">
        <v>1292.8845214999999</v>
      </c>
      <c r="I1655">
        <v>1388.8071289</v>
      </c>
      <c r="J1655">
        <v>1371.5382079999999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961.59463500000004</v>
      </c>
      <c r="B1656" s="1">
        <f>DATE(2012,12,17) + TIME(14,16,16)</f>
        <v>41260.594629629632</v>
      </c>
      <c r="C1656">
        <v>90</v>
      </c>
      <c r="D1656">
        <v>84.698150635000005</v>
      </c>
      <c r="E1656">
        <v>60</v>
      </c>
      <c r="F1656">
        <v>59.963100433000001</v>
      </c>
      <c r="G1656">
        <v>1304.2115478999999</v>
      </c>
      <c r="H1656">
        <v>1292.7634277</v>
      </c>
      <c r="I1656">
        <v>1388.7644043</v>
      </c>
      <c r="J1656">
        <v>1371.5047606999999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963.07971299999997</v>
      </c>
      <c r="B1657" s="1">
        <f>DATE(2012,12,19) + TIME(1,54,47)</f>
        <v>41262.079710648148</v>
      </c>
      <c r="C1657">
        <v>90</v>
      </c>
      <c r="D1657">
        <v>84.573394774999997</v>
      </c>
      <c r="E1657">
        <v>60</v>
      </c>
      <c r="F1657">
        <v>59.963130950999997</v>
      </c>
      <c r="G1657">
        <v>1304.1141356999999</v>
      </c>
      <c r="H1657">
        <v>1292.6375731999999</v>
      </c>
      <c r="I1657">
        <v>1388.722168</v>
      </c>
      <c r="J1657">
        <v>1371.4715576000001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964.60546799999997</v>
      </c>
      <c r="B1658" s="1">
        <f>DATE(2012,12,20) + TIME(14,31,52)</f>
        <v>41263.605462962965</v>
      </c>
      <c r="C1658">
        <v>90</v>
      </c>
      <c r="D1658">
        <v>84.447341918999996</v>
      </c>
      <c r="E1658">
        <v>60</v>
      </c>
      <c r="F1658">
        <v>59.963161468999999</v>
      </c>
      <c r="G1658">
        <v>1304.0128173999999</v>
      </c>
      <c r="H1658">
        <v>1292.5064697</v>
      </c>
      <c r="I1658">
        <v>1388.6800536999999</v>
      </c>
      <c r="J1658">
        <v>1371.4385986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966.18188499999997</v>
      </c>
      <c r="B1659" s="1">
        <f>DATE(2012,12,22) + TIME(4,21,54)</f>
        <v>41265.181875000002</v>
      </c>
      <c r="C1659">
        <v>90</v>
      </c>
      <c r="D1659">
        <v>84.319358825999998</v>
      </c>
      <c r="E1659">
        <v>60</v>
      </c>
      <c r="F1659">
        <v>59.963191985999998</v>
      </c>
      <c r="G1659">
        <v>1303.9071045000001</v>
      </c>
      <c r="H1659">
        <v>1292.3690185999999</v>
      </c>
      <c r="I1659">
        <v>1388.6380615</v>
      </c>
      <c r="J1659">
        <v>1371.4056396000001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967.80216399999995</v>
      </c>
      <c r="B1660" s="1">
        <f>DATE(2012,12,23) + TIME(19,15,6)</f>
        <v>41266.802152777775</v>
      </c>
      <c r="C1660">
        <v>90</v>
      </c>
      <c r="D1660">
        <v>84.189186096</v>
      </c>
      <c r="E1660">
        <v>60</v>
      </c>
      <c r="F1660">
        <v>59.963222504000001</v>
      </c>
      <c r="G1660">
        <v>1303.7961425999999</v>
      </c>
      <c r="H1660">
        <v>1292.2243652</v>
      </c>
      <c r="I1660">
        <v>1388.5958252</v>
      </c>
      <c r="J1660">
        <v>1371.3724365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969.44047999999998</v>
      </c>
      <c r="B1661" s="1">
        <f>DATE(2012,12,25) + TIME(10,34,17)</f>
        <v>41268.440474537034</v>
      </c>
      <c r="C1661">
        <v>90</v>
      </c>
      <c r="D1661">
        <v>84.057655334000003</v>
      </c>
      <c r="E1661">
        <v>60</v>
      </c>
      <c r="F1661">
        <v>59.963256835999999</v>
      </c>
      <c r="G1661">
        <v>1303.6800536999999</v>
      </c>
      <c r="H1661">
        <v>1292.072876</v>
      </c>
      <c r="I1661">
        <v>1388.5535889</v>
      </c>
      <c r="J1661">
        <v>1371.3391113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971.10834899999998</v>
      </c>
      <c r="B1662" s="1">
        <f>DATE(2012,12,27) + TIME(2,36,1)</f>
        <v>41270.108344907407</v>
      </c>
      <c r="C1662">
        <v>90</v>
      </c>
      <c r="D1662">
        <v>83.925384520999998</v>
      </c>
      <c r="E1662">
        <v>60</v>
      </c>
      <c r="F1662">
        <v>59.963287354000002</v>
      </c>
      <c r="G1662">
        <v>1303.5605469</v>
      </c>
      <c r="H1662">
        <v>1291.9160156</v>
      </c>
      <c r="I1662">
        <v>1388.5119629000001</v>
      </c>
      <c r="J1662">
        <v>1371.3063964999999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972.81463900000006</v>
      </c>
      <c r="B1663" s="1">
        <f>DATE(2012,12,28) + TIME(19,33,4)</f>
        <v>41271.814629629633</v>
      </c>
      <c r="C1663">
        <v>90</v>
      </c>
      <c r="D1663">
        <v>83.792068481000001</v>
      </c>
      <c r="E1663">
        <v>60</v>
      </c>
      <c r="F1663">
        <v>59.963325500000003</v>
      </c>
      <c r="G1663">
        <v>1303.4367675999999</v>
      </c>
      <c r="H1663">
        <v>1291.7531738</v>
      </c>
      <c r="I1663">
        <v>1388.4707031</v>
      </c>
      <c r="J1663">
        <v>1371.2738036999999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974.54352700000004</v>
      </c>
      <c r="B1664" s="1">
        <f>DATE(2012,12,30) + TIME(13,2,40)</f>
        <v>41273.54351851852</v>
      </c>
      <c r="C1664">
        <v>90</v>
      </c>
      <c r="D1664">
        <v>83.657768250000004</v>
      </c>
      <c r="E1664">
        <v>60</v>
      </c>
      <c r="F1664">
        <v>59.963359832999998</v>
      </c>
      <c r="G1664">
        <v>1303.3079834</v>
      </c>
      <c r="H1664">
        <v>1291.5834961</v>
      </c>
      <c r="I1664">
        <v>1388.4295654</v>
      </c>
      <c r="J1664">
        <v>1371.2413329999999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976</v>
      </c>
      <c r="B1665" s="1">
        <f>DATE(2013,1,1) + TIME(0,0,0)</f>
        <v>41275</v>
      </c>
      <c r="C1665">
        <v>90</v>
      </c>
      <c r="D1665">
        <v>83.531234741000006</v>
      </c>
      <c r="E1665">
        <v>60</v>
      </c>
      <c r="F1665">
        <v>59.963386536000002</v>
      </c>
      <c r="G1665">
        <v>1303.1760254000001</v>
      </c>
      <c r="H1665">
        <v>1291.4101562000001</v>
      </c>
      <c r="I1665">
        <v>1388.3886719</v>
      </c>
      <c r="J1665">
        <v>1371.2089844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977.74925900000005</v>
      </c>
      <c r="B1666" s="1">
        <f>DATE(2013,1,2) + TIME(17,58,55)</f>
        <v>41276.749247685184</v>
      </c>
      <c r="C1666">
        <v>90</v>
      </c>
      <c r="D1666">
        <v>83.406204224000007</v>
      </c>
      <c r="E1666">
        <v>60</v>
      </c>
      <c r="F1666">
        <v>59.963424683</v>
      </c>
      <c r="G1666">
        <v>1303.0598144999999</v>
      </c>
      <c r="H1666">
        <v>1291.2535399999999</v>
      </c>
      <c r="I1666">
        <v>1388.3554687999999</v>
      </c>
      <c r="J1666">
        <v>1371.1826172000001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979.53707799999995</v>
      </c>
      <c r="B1667" s="1">
        <f>DATE(2013,1,4) + TIME(12,53,23)</f>
        <v>41278.53707175926</v>
      </c>
      <c r="C1667">
        <v>90</v>
      </c>
      <c r="D1667">
        <v>83.274551392000006</v>
      </c>
      <c r="E1667">
        <v>60</v>
      </c>
      <c r="F1667">
        <v>59.963462829999997</v>
      </c>
      <c r="G1667">
        <v>1302.9226074000001</v>
      </c>
      <c r="H1667">
        <v>1291.0717772999999</v>
      </c>
      <c r="I1667">
        <v>1388.3161620999999</v>
      </c>
      <c r="J1667">
        <v>1371.1514893000001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981.349605</v>
      </c>
      <c r="B1668" s="1">
        <f>DATE(2013,1,6) + TIME(8,23,25)</f>
        <v>41280.349594907406</v>
      </c>
      <c r="C1668">
        <v>90</v>
      </c>
      <c r="D1668">
        <v>83.139900208</v>
      </c>
      <c r="E1668">
        <v>60</v>
      </c>
      <c r="F1668">
        <v>59.963500977000002</v>
      </c>
      <c r="G1668">
        <v>1302.7794189000001</v>
      </c>
      <c r="H1668">
        <v>1290.8809814000001</v>
      </c>
      <c r="I1668">
        <v>1388.2768555</v>
      </c>
      <c r="J1668">
        <v>1371.1203613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983.18985799999996</v>
      </c>
      <c r="B1669" s="1">
        <f>DATE(2013,1,8) + TIME(4,33,23)</f>
        <v>41282.189849537041</v>
      </c>
      <c r="C1669">
        <v>90</v>
      </c>
      <c r="D1669">
        <v>83.003738403</v>
      </c>
      <c r="E1669">
        <v>60</v>
      </c>
      <c r="F1669">
        <v>59.963542938000003</v>
      </c>
      <c r="G1669">
        <v>1302.6315918</v>
      </c>
      <c r="H1669">
        <v>1290.6833495999999</v>
      </c>
      <c r="I1669">
        <v>1388.2380370999999</v>
      </c>
      <c r="J1669">
        <v>1371.0894774999999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985.06089699999995</v>
      </c>
      <c r="B1670" s="1">
        <f>DATE(2013,1,10) + TIME(1,27,41)</f>
        <v>41284.060891203706</v>
      </c>
      <c r="C1670">
        <v>90</v>
      </c>
      <c r="D1670">
        <v>82.866348267000006</v>
      </c>
      <c r="E1670">
        <v>60</v>
      </c>
      <c r="F1670">
        <v>59.963581085000001</v>
      </c>
      <c r="G1670">
        <v>1302.4790039</v>
      </c>
      <c r="H1670">
        <v>1290.4788818</v>
      </c>
      <c r="I1670">
        <v>1388.1994629000001</v>
      </c>
      <c r="J1670">
        <v>1371.0587158000001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986.96547899999996</v>
      </c>
      <c r="B1671" s="1">
        <f>DATE(2013,1,11) + TIME(23,10,17)</f>
        <v>41285.965474537035</v>
      </c>
      <c r="C1671">
        <v>90</v>
      </c>
      <c r="D1671">
        <v>82.727615356000001</v>
      </c>
      <c r="E1671">
        <v>60</v>
      </c>
      <c r="F1671">
        <v>59.963623046999999</v>
      </c>
      <c r="G1671">
        <v>1302.3215332</v>
      </c>
      <c r="H1671">
        <v>1290.2672118999999</v>
      </c>
      <c r="I1671">
        <v>1388.1611327999999</v>
      </c>
      <c r="J1671">
        <v>1371.0281981999999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988.90554999999995</v>
      </c>
      <c r="B1672" s="1">
        <f>DATE(2013,1,13) + TIME(21,43,59)</f>
        <v>41287.905543981484</v>
      </c>
      <c r="C1672">
        <v>90</v>
      </c>
      <c r="D1672">
        <v>82.587326050000001</v>
      </c>
      <c r="E1672">
        <v>60</v>
      </c>
      <c r="F1672">
        <v>59.963665009000003</v>
      </c>
      <c r="G1672">
        <v>1302.1586914</v>
      </c>
      <c r="H1672">
        <v>1290.0478516000001</v>
      </c>
      <c r="I1672">
        <v>1388.1230469</v>
      </c>
      <c r="J1672">
        <v>1370.9978027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990.87417800000003</v>
      </c>
      <c r="B1673" s="1">
        <f>DATE(2013,1,15) + TIME(20,58,48)</f>
        <v>41289.874166666668</v>
      </c>
      <c r="C1673">
        <v>90</v>
      </c>
      <c r="D1673">
        <v>82.445457458000007</v>
      </c>
      <c r="E1673">
        <v>60</v>
      </c>
      <c r="F1673">
        <v>59.963710785000004</v>
      </c>
      <c r="G1673">
        <v>1301.9903564000001</v>
      </c>
      <c r="H1673">
        <v>1289.8206786999999</v>
      </c>
      <c r="I1673">
        <v>1388.0849608999999</v>
      </c>
      <c r="J1673">
        <v>1370.9674072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992.87174300000004</v>
      </c>
      <c r="B1674" s="1">
        <f>DATE(2013,1,17) + TIME(20,55,18)</f>
        <v>41291.871736111112</v>
      </c>
      <c r="C1674">
        <v>90</v>
      </c>
      <c r="D1674">
        <v>82.302101135000001</v>
      </c>
      <c r="E1674">
        <v>60</v>
      </c>
      <c r="F1674">
        <v>59.963752747000001</v>
      </c>
      <c r="G1674">
        <v>1301.8170166</v>
      </c>
      <c r="H1674">
        <v>1289.5859375</v>
      </c>
      <c r="I1674">
        <v>1388.0472411999999</v>
      </c>
      <c r="J1674">
        <v>1370.9371338000001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994.901161</v>
      </c>
      <c r="B1675" s="1">
        <f>DATE(2013,1,19) + TIME(21,37,40)</f>
        <v>41293.90115740741</v>
      </c>
      <c r="C1675">
        <v>90</v>
      </c>
      <c r="D1675">
        <v>82.157135010000005</v>
      </c>
      <c r="E1675">
        <v>60</v>
      </c>
      <c r="F1675">
        <v>59.963798523000001</v>
      </c>
      <c r="G1675">
        <v>1301.6384277</v>
      </c>
      <c r="H1675">
        <v>1289.3436279</v>
      </c>
      <c r="I1675">
        <v>1388.0097656</v>
      </c>
      <c r="J1675">
        <v>1370.9069824000001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996.96531000000004</v>
      </c>
      <c r="B1676" s="1">
        <f>DATE(2013,1,21) + TIME(23,10,2)</f>
        <v>41295.965300925927</v>
      </c>
      <c r="C1676">
        <v>90</v>
      </c>
      <c r="D1676">
        <v>82.010261536000002</v>
      </c>
      <c r="E1676">
        <v>60</v>
      </c>
      <c r="F1676">
        <v>59.963844299000002</v>
      </c>
      <c r="G1676">
        <v>1301.4544678</v>
      </c>
      <c r="H1676">
        <v>1289.0933838000001</v>
      </c>
      <c r="I1676">
        <v>1387.9724120999999</v>
      </c>
      <c r="J1676">
        <v>1370.8769531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999.05914299999995</v>
      </c>
      <c r="B1677" s="1">
        <f>DATE(2013,1,24) + TIME(1,25,9)</f>
        <v>41298.059131944443</v>
      </c>
      <c r="C1677">
        <v>90</v>
      </c>
      <c r="D1677">
        <v>81.861297606999997</v>
      </c>
      <c r="E1677">
        <v>60</v>
      </c>
      <c r="F1677">
        <v>59.963890075999998</v>
      </c>
      <c r="G1677">
        <v>1301.2647704999999</v>
      </c>
      <c r="H1677">
        <v>1288.8348389</v>
      </c>
      <c r="I1677">
        <v>1387.9351807</v>
      </c>
      <c r="J1677">
        <v>1370.8470459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1001.1812</v>
      </c>
      <c r="B1678" s="1">
        <f>DATE(2013,1,26) + TIME(4,20,55)</f>
        <v>41300.181192129632</v>
      </c>
      <c r="C1678">
        <v>90</v>
      </c>
      <c r="D1678">
        <v>81.710243224999999</v>
      </c>
      <c r="E1678">
        <v>60</v>
      </c>
      <c r="F1678">
        <v>59.963935851999999</v>
      </c>
      <c r="G1678">
        <v>1301.0695800999999</v>
      </c>
      <c r="H1678">
        <v>1288.5682373</v>
      </c>
      <c r="I1678">
        <v>1387.8980713000001</v>
      </c>
      <c r="J1678">
        <v>1370.8171387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1003.334684</v>
      </c>
      <c r="B1679" s="1">
        <f>DATE(2013,1,28) + TIME(8,1,56)</f>
        <v>41302.334675925929</v>
      </c>
      <c r="C1679">
        <v>90</v>
      </c>
      <c r="D1679">
        <v>81.556945800999998</v>
      </c>
      <c r="E1679">
        <v>60</v>
      </c>
      <c r="F1679">
        <v>59.963985442999999</v>
      </c>
      <c r="G1679">
        <v>1300.8691406</v>
      </c>
      <c r="H1679">
        <v>1288.2937012</v>
      </c>
      <c r="I1679">
        <v>1387.8613281</v>
      </c>
      <c r="J1679">
        <v>1370.7874756000001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1005.522823</v>
      </c>
      <c r="B1680" s="1">
        <f>DATE(2013,1,30) + TIME(12,32,51)</f>
        <v>41304.522812499999</v>
      </c>
      <c r="C1680">
        <v>90</v>
      </c>
      <c r="D1680">
        <v>81.401016235</v>
      </c>
      <c r="E1680">
        <v>60</v>
      </c>
      <c r="F1680">
        <v>59.964035033999998</v>
      </c>
      <c r="G1680">
        <v>1300.6629639</v>
      </c>
      <c r="H1680">
        <v>1288.0107422000001</v>
      </c>
      <c r="I1680">
        <v>1387.8245850000001</v>
      </c>
      <c r="J1680">
        <v>1370.7576904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1007</v>
      </c>
      <c r="B1681" s="1">
        <f>DATE(2013,2,1) + TIME(0,0,0)</f>
        <v>41306</v>
      </c>
      <c r="C1681">
        <v>90</v>
      </c>
      <c r="D1681">
        <v>81.260810852000006</v>
      </c>
      <c r="E1681">
        <v>60</v>
      </c>
      <c r="F1681">
        <v>59.964061737000002</v>
      </c>
      <c r="G1681">
        <v>1300.4543457</v>
      </c>
      <c r="H1681">
        <v>1287.7279053</v>
      </c>
      <c r="I1681">
        <v>1387.7874756000001</v>
      </c>
      <c r="J1681">
        <v>1370.7275391000001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1009.225072</v>
      </c>
      <c r="B1682" s="1">
        <f>DATE(2013,2,3) + TIME(5,24,6)</f>
        <v>41308.225069444445</v>
      </c>
      <c r="C1682">
        <v>90</v>
      </c>
      <c r="D1682">
        <v>81.125404357999997</v>
      </c>
      <c r="E1682">
        <v>60</v>
      </c>
      <c r="F1682">
        <v>59.964115143000001</v>
      </c>
      <c r="G1682">
        <v>1300.2984618999999</v>
      </c>
      <c r="H1682">
        <v>1287.5057373</v>
      </c>
      <c r="I1682">
        <v>1387.7636719</v>
      </c>
      <c r="J1682">
        <v>1370.708374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1011.501247</v>
      </c>
      <c r="B1683" s="1">
        <f>DATE(2013,2,5) + TIME(12,1,47)</f>
        <v>41310.501238425924</v>
      </c>
      <c r="C1683">
        <v>90</v>
      </c>
      <c r="D1683">
        <v>80.968391417999996</v>
      </c>
      <c r="E1683">
        <v>60</v>
      </c>
      <c r="F1683">
        <v>59.964168549</v>
      </c>
      <c r="G1683">
        <v>1300.0834961</v>
      </c>
      <c r="H1683">
        <v>1287.2114257999999</v>
      </c>
      <c r="I1683">
        <v>1387.7275391000001</v>
      </c>
      <c r="J1683">
        <v>1370.6789550999999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1013.797549</v>
      </c>
      <c r="B1684" s="1">
        <f>DATE(2013,2,7) + TIME(19,8,28)</f>
        <v>41312.797546296293</v>
      </c>
      <c r="C1684">
        <v>90</v>
      </c>
      <c r="D1684">
        <v>80.802398682000003</v>
      </c>
      <c r="E1684">
        <v>60</v>
      </c>
      <c r="F1684">
        <v>59.96421814</v>
      </c>
      <c r="G1684">
        <v>1299.8571777</v>
      </c>
      <c r="H1684">
        <v>1286.8992920000001</v>
      </c>
      <c r="I1684">
        <v>1387.6911620999999</v>
      </c>
      <c r="J1684">
        <v>1370.6492920000001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1016.11848</v>
      </c>
      <c r="B1685" s="1">
        <f>DATE(2013,2,10) + TIME(2,50,36)</f>
        <v>41315.118472222224</v>
      </c>
      <c r="C1685">
        <v>90</v>
      </c>
      <c r="D1685">
        <v>80.631614685000002</v>
      </c>
      <c r="E1685">
        <v>60</v>
      </c>
      <c r="F1685">
        <v>59.964271545000003</v>
      </c>
      <c r="G1685">
        <v>1299.6248779</v>
      </c>
      <c r="H1685">
        <v>1286.5772704999999</v>
      </c>
      <c r="I1685">
        <v>1387.6550293</v>
      </c>
      <c r="J1685">
        <v>1370.619751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1018.467835</v>
      </c>
      <c r="B1686" s="1">
        <f>DATE(2013,2,12) + TIME(11,13,40)</f>
        <v>41317.467824074076</v>
      </c>
      <c r="C1686">
        <v>90</v>
      </c>
      <c r="D1686">
        <v>80.456649780000006</v>
      </c>
      <c r="E1686">
        <v>60</v>
      </c>
      <c r="F1686">
        <v>59.964321136000002</v>
      </c>
      <c r="G1686">
        <v>1299.3869629000001</v>
      </c>
      <c r="H1686">
        <v>1286.2469481999999</v>
      </c>
      <c r="I1686">
        <v>1387.6191406</v>
      </c>
      <c r="J1686">
        <v>1370.590332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1020.849321</v>
      </c>
      <c r="B1687" s="1">
        <f>DATE(2013,2,14) + TIME(20,23,1)</f>
        <v>41319.849317129629</v>
      </c>
      <c r="C1687">
        <v>90</v>
      </c>
      <c r="D1687">
        <v>80.277191161999994</v>
      </c>
      <c r="E1687">
        <v>60</v>
      </c>
      <c r="F1687">
        <v>59.964374542000002</v>
      </c>
      <c r="G1687">
        <v>1299.1435547000001</v>
      </c>
      <c r="H1687">
        <v>1285.9080810999999</v>
      </c>
      <c r="I1687">
        <v>1387.5832519999999</v>
      </c>
      <c r="J1687">
        <v>1370.5610352000001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1023.2664590000001</v>
      </c>
      <c r="B1688" s="1">
        <f>DATE(2013,2,17) + TIME(6,23,42)</f>
        <v>41322.266458333332</v>
      </c>
      <c r="C1688">
        <v>90</v>
      </c>
      <c r="D1688">
        <v>80.092681885000005</v>
      </c>
      <c r="E1688">
        <v>60</v>
      </c>
      <c r="F1688">
        <v>59.964427948000001</v>
      </c>
      <c r="G1688">
        <v>1298.8942870999999</v>
      </c>
      <c r="H1688">
        <v>1285.5604248</v>
      </c>
      <c r="I1688">
        <v>1387.5474853999999</v>
      </c>
      <c r="J1688">
        <v>1370.5316161999999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1025.722882</v>
      </c>
      <c r="B1689" s="1">
        <f>DATE(2013,2,19) + TIME(17,20,56)</f>
        <v>41324.722870370373</v>
      </c>
      <c r="C1689">
        <v>90</v>
      </c>
      <c r="D1689">
        <v>79.902366638000004</v>
      </c>
      <c r="E1689">
        <v>60</v>
      </c>
      <c r="F1689">
        <v>59.964485168000003</v>
      </c>
      <c r="G1689">
        <v>1298.6387939000001</v>
      </c>
      <c r="H1689">
        <v>1285.2032471</v>
      </c>
      <c r="I1689">
        <v>1387.5117187999999</v>
      </c>
      <c r="J1689">
        <v>1370.5021973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1028.216085</v>
      </c>
      <c r="B1690" s="1">
        <f>DATE(2013,2,22) + TIME(5,11,9)</f>
        <v>41327.21607638889</v>
      </c>
      <c r="C1690">
        <v>90</v>
      </c>
      <c r="D1690">
        <v>79.705566406000003</v>
      </c>
      <c r="E1690">
        <v>60</v>
      </c>
      <c r="F1690">
        <v>59.964538574000002</v>
      </c>
      <c r="G1690">
        <v>1298.3768310999999</v>
      </c>
      <c r="H1690">
        <v>1284.8360596</v>
      </c>
      <c r="I1690">
        <v>1387.4757079999999</v>
      </c>
      <c r="J1690">
        <v>1370.4725341999999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1030.743633</v>
      </c>
      <c r="B1691" s="1">
        <f>DATE(2013,2,24) + TIME(17,50,49)</f>
        <v>41329.743622685186</v>
      </c>
      <c r="C1691">
        <v>90</v>
      </c>
      <c r="D1691">
        <v>79.501945496000005</v>
      </c>
      <c r="E1691">
        <v>60</v>
      </c>
      <c r="F1691">
        <v>59.964595795000001</v>
      </c>
      <c r="G1691">
        <v>1298.1083983999999</v>
      </c>
      <c r="H1691">
        <v>1284.4592285000001</v>
      </c>
      <c r="I1691">
        <v>1387.4398193</v>
      </c>
      <c r="J1691">
        <v>1370.442749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1033.309788</v>
      </c>
      <c r="B1692" s="1">
        <f>DATE(2013,2,27) + TIME(7,26,5)</f>
        <v>41332.30978009259</v>
      </c>
      <c r="C1692">
        <v>90</v>
      </c>
      <c r="D1692">
        <v>79.291030883999994</v>
      </c>
      <c r="E1692">
        <v>60</v>
      </c>
      <c r="F1692">
        <v>59.964653015000003</v>
      </c>
      <c r="G1692">
        <v>1297.8338623</v>
      </c>
      <c r="H1692">
        <v>1284.072876</v>
      </c>
      <c r="I1692">
        <v>1387.4036865</v>
      </c>
      <c r="J1692">
        <v>1370.4128418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1035</v>
      </c>
      <c r="B1693" s="1">
        <f>DATE(2013,3,1) + TIME(0,0,0)</f>
        <v>41334</v>
      </c>
      <c r="C1693">
        <v>90</v>
      </c>
      <c r="D1693">
        <v>79.095787048000005</v>
      </c>
      <c r="E1693">
        <v>60</v>
      </c>
      <c r="F1693">
        <v>59.964687347000002</v>
      </c>
      <c r="G1693">
        <v>1297.5578613</v>
      </c>
      <c r="H1693">
        <v>1283.6893310999999</v>
      </c>
      <c r="I1693">
        <v>1387.3670654</v>
      </c>
      <c r="J1693">
        <v>1370.3823242000001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1037.6084599999999</v>
      </c>
      <c r="B1694" s="1">
        <f>DATE(2013,3,3) + TIME(14,36,10)</f>
        <v>41336.608449074076</v>
      </c>
      <c r="C1694">
        <v>90</v>
      </c>
      <c r="D1694">
        <v>78.912742614999999</v>
      </c>
      <c r="E1694">
        <v>60</v>
      </c>
      <c r="F1694">
        <v>59.964748383</v>
      </c>
      <c r="G1694">
        <v>1297.3553466999999</v>
      </c>
      <c r="H1694">
        <v>1283.3924560999999</v>
      </c>
      <c r="I1694">
        <v>1387.3439940999999</v>
      </c>
      <c r="J1694">
        <v>1370.3631591999999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1040.2855199999999</v>
      </c>
      <c r="B1695" s="1">
        <f>DATE(2013,3,6) + TIME(6,51,8)</f>
        <v>41339.285509259258</v>
      </c>
      <c r="C1695">
        <v>90</v>
      </c>
      <c r="D1695">
        <v>78.689430236999996</v>
      </c>
      <c r="E1695">
        <v>60</v>
      </c>
      <c r="F1695">
        <v>59.964805603000002</v>
      </c>
      <c r="G1695">
        <v>1297.0745850000001</v>
      </c>
      <c r="H1695">
        <v>1282.9985352000001</v>
      </c>
      <c r="I1695">
        <v>1387.3078613</v>
      </c>
      <c r="J1695">
        <v>1370.3330077999999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1043.0006229999999</v>
      </c>
      <c r="B1696" s="1">
        <f>DATE(2013,3,9) + TIME(0,0,53)</f>
        <v>41342.000613425924</v>
      </c>
      <c r="C1696">
        <v>90</v>
      </c>
      <c r="D1696">
        <v>78.447746276999993</v>
      </c>
      <c r="E1696">
        <v>60</v>
      </c>
      <c r="F1696">
        <v>59.964866637999997</v>
      </c>
      <c r="G1696">
        <v>1296.7783202999999</v>
      </c>
      <c r="H1696">
        <v>1282.5792236</v>
      </c>
      <c r="I1696">
        <v>1387.2711182</v>
      </c>
      <c r="J1696">
        <v>1370.3023682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1045.7518829999999</v>
      </c>
      <c r="B1697" s="1">
        <f>DATE(2013,3,11) + TIME(18,2,42)</f>
        <v>41344.751875000002</v>
      </c>
      <c r="C1697">
        <v>90</v>
      </c>
      <c r="D1697">
        <v>78.193878174000005</v>
      </c>
      <c r="E1697">
        <v>60</v>
      </c>
      <c r="F1697">
        <v>59.964927672999998</v>
      </c>
      <c r="G1697">
        <v>1296.4741211</v>
      </c>
      <c r="H1697">
        <v>1282.1467285000001</v>
      </c>
      <c r="I1697">
        <v>1387.2341309000001</v>
      </c>
      <c r="J1697">
        <v>1370.2713623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1048.5436830000001</v>
      </c>
      <c r="B1698" s="1">
        <f>DATE(2013,3,14) + TIME(13,2,54)</f>
        <v>41347.543680555558</v>
      </c>
      <c r="C1698">
        <v>90</v>
      </c>
      <c r="D1698">
        <v>77.928703307999996</v>
      </c>
      <c r="E1698">
        <v>60</v>
      </c>
      <c r="F1698">
        <v>59.964988708</v>
      </c>
      <c r="G1698">
        <v>1296.1635742000001</v>
      </c>
      <c r="H1698">
        <v>1281.7039795000001</v>
      </c>
      <c r="I1698">
        <v>1387.1971435999999</v>
      </c>
      <c r="J1698">
        <v>1370.2402344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1051.3819120000001</v>
      </c>
      <c r="B1699" s="1">
        <f>DATE(2013,3,17) + TIME(9,9,57)</f>
        <v>41350.381909722222</v>
      </c>
      <c r="C1699">
        <v>90</v>
      </c>
      <c r="D1699">
        <v>77.651542664000004</v>
      </c>
      <c r="E1699">
        <v>60</v>
      </c>
      <c r="F1699">
        <v>59.965049743999998</v>
      </c>
      <c r="G1699">
        <v>1295.8469238</v>
      </c>
      <c r="H1699">
        <v>1281.2512207</v>
      </c>
      <c r="I1699">
        <v>1387.1597899999999</v>
      </c>
      <c r="J1699">
        <v>1370.2088623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1054.2711750000001</v>
      </c>
      <c r="B1700" s="1">
        <f>DATE(2013,3,20) + TIME(6,30,29)</f>
        <v>41353.271168981482</v>
      </c>
      <c r="C1700">
        <v>90</v>
      </c>
      <c r="D1700">
        <v>77.361282349000007</v>
      </c>
      <c r="E1700">
        <v>60</v>
      </c>
      <c r="F1700">
        <v>59.965110779</v>
      </c>
      <c r="G1700">
        <v>1295.5236815999999</v>
      </c>
      <c r="H1700">
        <v>1280.7878418</v>
      </c>
      <c r="I1700">
        <v>1387.1220702999999</v>
      </c>
      <c r="J1700">
        <v>1370.1770019999999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1057.215283</v>
      </c>
      <c r="B1701" s="1">
        <f>DATE(2013,3,23) + TIME(5,10,0)</f>
        <v>41356.215277777781</v>
      </c>
      <c r="C1701">
        <v>90</v>
      </c>
      <c r="D1701">
        <v>77.056762695000003</v>
      </c>
      <c r="E1701">
        <v>60</v>
      </c>
      <c r="F1701">
        <v>59.965175629000001</v>
      </c>
      <c r="G1701">
        <v>1295.1936035000001</v>
      </c>
      <c r="H1701">
        <v>1280.3134766000001</v>
      </c>
      <c r="I1701">
        <v>1387.0841064000001</v>
      </c>
      <c r="J1701">
        <v>1370.1447754000001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1060.2198430000001</v>
      </c>
      <c r="B1702" s="1">
        <f>DATE(2013,3,26) + TIME(5,16,34)</f>
        <v>41359.219837962963</v>
      </c>
      <c r="C1702">
        <v>90</v>
      </c>
      <c r="D1702">
        <v>76.736831664999997</v>
      </c>
      <c r="E1702">
        <v>60</v>
      </c>
      <c r="F1702">
        <v>59.965240479000002</v>
      </c>
      <c r="G1702">
        <v>1294.8564452999999</v>
      </c>
      <c r="H1702">
        <v>1279.8275146000001</v>
      </c>
      <c r="I1702">
        <v>1387.0455322</v>
      </c>
      <c r="J1702">
        <v>1370.1119385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1063.272835</v>
      </c>
      <c r="B1703" s="1">
        <f>DATE(2013,3,29) + TIME(6,32,52)</f>
        <v>41362.272824074076</v>
      </c>
      <c r="C1703">
        <v>90</v>
      </c>
      <c r="D1703">
        <v>76.400535583000007</v>
      </c>
      <c r="E1703">
        <v>60</v>
      </c>
      <c r="F1703">
        <v>59.965305327999999</v>
      </c>
      <c r="G1703">
        <v>1294.5119629000001</v>
      </c>
      <c r="H1703">
        <v>1279.3297118999999</v>
      </c>
      <c r="I1703">
        <v>1387.0063477000001</v>
      </c>
      <c r="J1703">
        <v>1370.0786132999999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1066</v>
      </c>
      <c r="B1704" s="1">
        <f>DATE(2013,4,1) + TIME(0,0,0)</f>
        <v>41365</v>
      </c>
      <c r="C1704">
        <v>90</v>
      </c>
      <c r="D1704">
        <v>76.056831360000004</v>
      </c>
      <c r="E1704">
        <v>60</v>
      </c>
      <c r="F1704">
        <v>59.965362548999998</v>
      </c>
      <c r="G1704">
        <v>1294.1627197</v>
      </c>
      <c r="H1704">
        <v>1278.8259277</v>
      </c>
      <c r="I1704">
        <v>1386.9665527</v>
      </c>
      <c r="J1704">
        <v>1370.0446777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1069.105423</v>
      </c>
      <c r="B1705" s="1">
        <f>DATE(2013,4,4) + TIME(2,31,48)</f>
        <v>41368.105416666665</v>
      </c>
      <c r="C1705">
        <v>90</v>
      </c>
      <c r="D1705">
        <v>75.718002318999993</v>
      </c>
      <c r="E1705">
        <v>60</v>
      </c>
      <c r="F1705">
        <v>59.965431213000002</v>
      </c>
      <c r="G1705">
        <v>1293.8432617000001</v>
      </c>
      <c r="H1705">
        <v>1278.3568115</v>
      </c>
      <c r="I1705">
        <v>1386.9313964999999</v>
      </c>
      <c r="J1705">
        <v>1370.0145264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1072.329604</v>
      </c>
      <c r="B1706" s="1">
        <f>DATE(2013,4,7) + TIME(7,54,37)</f>
        <v>41371.329594907409</v>
      </c>
      <c r="C1706">
        <v>90</v>
      </c>
      <c r="D1706">
        <v>75.342163085999999</v>
      </c>
      <c r="E1706">
        <v>60</v>
      </c>
      <c r="F1706">
        <v>59.965499878000003</v>
      </c>
      <c r="G1706">
        <v>1293.4903564000001</v>
      </c>
      <c r="H1706">
        <v>1277.8439940999999</v>
      </c>
      <c r="I1706">
        <v>1386.8913574000001</v>
      </c>
      <c r="J1706">
        <v>1369.9801024999999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1075.62645</v>
      </c>
      <c r="B1707" s="1">
        <f>DATE(2013,4,10) + TIME(15,2,5)</f>
        <v>41374.626446759263</v>
      </c>
      <c r="C1707">
        <v>90</v>
      </c>
      <c r="D1707">
        <v>74.938690186000002</v>
      </c>
      <c r="E1707">
        <v>60</v>
      </c>
      <c r="F1707">
        <v>59.965568542</v>
      </c>
      <c r="G1707">
        <v>1293.1229248</v>
      </c>
      <c r="H1707">
        <v>1277.3076172000001</v>
      </c>
      <c r="I1707">
        <v>1386.8499756000001</v>
      </c>
      <c r="J1707">
        <v>1369.9444579999999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1079.0041060000001</v>
      </c>
      <c r="B1708" s="1">
        <f>DATE(2013,4,14) + TIME(0,5,54)</f>
        <v>41378.00409722222</v>
      </c>
      <c r="C1708">
        <v>90</v>
      </c>
      <c r="D1708">
        <v>74.512443542</v>
      </c>
      <c r="E1708">
        <v>60</v>
      </c>
      <c r="F1708">
        <v>59.965641022</v>
      </c>
      <c r="G1708">
        <v>1292.7473144999999</v>
      </c>
      <c r="H1708">
        <v>1276.7569579999999</v>
      </c>
      <c r="I1708">
        <v>1386.8076172000001</v>
      </c>
      <c r="J1708">
        <v>1369.9078368999999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1082.4492969999999</v>
      </c>
      <c r="B1709" s="1">
        <f>DATE(2013,4,17) + TIME(10,46,59)</f>
        <v>41381.449293981481</v>
      </c>
      <c r="C1709">
        <v>90</v>
      </c>
      <c r="D1709">
        <v>74.063720703000001</v>
      </c>
      <c r="E1709">
        <v>60</v>
      </c>
      <c r="F1709">
        <v>59.965713501000003</v>
      </c>
      <c r="G1709">
        <v>1292.3641356999999</v>
      </c>
      <c r="H1709">
        <v>1276.1933594</v>
      </c>
      <c r="I1709">
        <v>1386.7644043</v>
      </c>
      <c r="J1709">
        <v>1369.8703613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1085.966549</v>
      </c>
      <c r="B1710" s="1">
        <f>DATE(2013,4,20) + TIME(23,11,49)</f>
        <v>41384.966539351852</v>
      </c>
      <c r="C1710">
        <v>90</v>
      </c>
      <c r="D1710">
        <v>73.593864440999994</v>
      </c>
      <c r="E1710">
        <v>60</v>
      </c>
      <c r="F1710">
        <v>59.96578598</v>
      </c>
      <c r="G1710">
        <v>1291.9755858999999</v>
      </c>
      <c r="H1710">
        <v>1275.619751</v>
      </c>
      <c r="I1710">
        <v>1386.7202147999999</v>
      </c>
      <c r="J1710">
        <v>1369.8319091999999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1089.5581810000001</v>
      </c>
      <c r="B1711" s="1">
        <f>DATE(2013,4,24) + TIME(13,23,46)</f>
        <v>41388.558171296296</v>
      </c>
      <c r="C1711">
        <v>90</v>
      </c>
      <c r="D1711">
        <v>73.102401732999994</v>
      </c>
      <c r="E1711">
        <v>60</v>
      </c>
      <c r="F1711">
        <v>59.965858459000003</v>
      </c>
      <c r="G1711">
        <v>1291.5816649999999</v>
      </c>
      <c r="H1711">
        <v>1275.036499</v>
      </c>
      <c r="I1711">
        <v>1386.6751709</v>
      </c>
      <c r="J1711">
        <v>1369.7926024999999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1093.207259</v>
      </c>
      <c r="B1712" s="1">
        <f>DATE(2013,4,28) + TIME(4,58,27)</f>
        <v>41392.207256944443</v>
      </c>
      <c r="C1712">
        <v>90</v>
      </c>
      <c r="D1712">
        <v>72.589401245000005</v>
      </c>
      <c r="E1712">
        <v>60</v>
      </c>
      <c r="F1712">
        <v>59.965934752999999</v>
      </c>
      <c r="G1712">
        <v>1291.1832274999999</v>
      </c>
      <c r="H1712">
        <v>1274.4444579999999</v>
      </c>
      <c r="I1712">
        <v>1386.6291504000001</v>
      </c>
      <c r="J1712">
        <v>1369.7523193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1096</v>
      </c>
      <c r="B1713" s="1">
        <f>DATE(2013,5,1) + TIME(0,0,0)</f>
        <v>41395</v>
      </c>
      <c r="C1713">
        <v>90</v>
      </c>
      <c r="D1713">
        <v>72.082725525000001</v>
      </c>
      <c r="E1713">
        <v>60</v>
      </c>
      <c r="F1713">
        <v>59.965988158999998</v>
      </c>
      <c r="G1713">
        <v>1290.7851562000001</v>
      </c>
      <c r="H1713">
        <v>1273.8574219</v>
      </c>
      <c r="I1713">
        <v>1386.5821533000001</v>
      </c>
      <c r="J1713">
        <v>1369.7109375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1096.0000010000001</v>
      </c>
      <c r="B1714" s="1">
        <f>DATE(2013,5,1) + TIME(0,0,0)</f>
        <v>41395</v>
      </c>
      <c r="C1714">
        <v>90</v>
      </c>
      <c r="D1714">
        <v>72.082901000999996</v>
      </c>
      <c r="E1714">
        <v>60</v>
      </c>
      <c r="F1714">
        <v>59.965873717999997</v>
      </c>
      <c r="G1714">
        <v>1309.2648925999999</v>
      </c>
      <c r="H1714">
        <v>1291.8598632999999</v>
      </c>
      <c r="I1714">
        <v>1368.8372803</v>
      </c>
      <c r="J1714">
        <v>1352.8166504000001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1096.000004</v>
      </c>
      <c r="B1715" s="1">
        <f>DATE(2013,5,1) + TIME(0,0,0)</f>
        <v>41395</v>
      </c>
      <c r="C1715">
        <v>90</v>
      </c>
      <c r="D1715">
        <v>72.083358765</v>
      </c>
      <c r="E1715">
        <v>60</v>
      </c>
      <c r="F1715">
        <v>59.965572356999999</v>
      </c>
      <c r="G1715">
        <v>1311.6489257999999</v>
      </c>
      <c r="H1715">
        <v>1294.5886230000001</v>
      </c>
      <c r="I1715">
        <v>1366.5480957</v>
      </c>
      <c r="J1715">
        <v>1350.5268555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1096.0000130000001</v>
      </c>
      <c r="B1716" s="1">
        <f>DATE(2013,5,1) + TIME(0,0,1)</f>
        <v>41395.000011574077</v>
      </c>
      <c r="C1716">
        <v>90</v>
      </c>
      <c r="D1716">
        <v>72.084365844999994</v>
      </c>
      <c r="E1716">
        <v>60</v>
      </c>
      <c r="F1716">
        <v>59.964920044000003</v>
      </c>
      <c r="G1716">
        <v>1316.7875977000001</v>
      </c>
      <c r="H1716">
        <v>1300.1695557</v>
      </c>
      <c r="I1716">
        <v>1361.5961914</v>
      </c>
      <c r="J1716">
        <v>1345.5740966999999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1096.0000399999999</v>
      </c>
      <c r="B1717" s="1">
        <f>DATE(2013,5,1) + TIME(0,0,3)</f>
        <v>41395.000034722223</v>
      </c>
      <c r="C1717">
        <v>90</v>
      </c>
      <c r="D1717">
        <v>72.086219787999994</v>
      </c>
      <c r="E1717">
        <v>60</v>
      </c>
      <c r="F1717">
        <v>59.963878631999997</v>
      </c>
      <c r="G1717">
        <v>1324.9906006000001</v>
      </c>
      <c r="H1717">
        <v>1308.5362548999999</v>
      </c>
      <c r="I1717">
        <v>1353.71875</v>
      </c>
      <c r="J1717">
        <v>1337.6981201000001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1096.000121</v>
      </c>
      <c r="B1718" s="1">
        <f>DATE(2013,5,1) + TIME(0,0,10)</f>
        <v>41395.000115740739</v>
      </c>
      <c r="C1718">
        <v>90</v>
      </c>
      <c r="D1718">
        <v>72.089660644999995</v>
      </c>
      <c r="E1718">
        <v>60</v>
      </c>
      <c r="F1718">
        <v>59.962650299000003</v>
      </c>
      <c r="G1718">
        <v>1334.7722168</v>
      </c>
      <c r="H1718">
        <v>1318.1678466999999</v>
      </c>
      <c r="I1718">
        <v>1344.4525146000001</v>
      </c>
      <c r="J1718">
        <v>1328.4375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1096.000364</v>
      </c>
      <c r="B1719" s="1">
        <f>DATE(2013,5,1) + TIME(0,0,31)</f>
        <v>41395.000358796293</v>
      </c>
      <c r="C1719">
        <v>90</v>
      </c>
      <c r="D1719">
        <v>72.097442627000007</v>
      </c>
      <c r="E1719">
        <v>60</v>
      </c>
      <c r="F1719">
        <v>59.961372375000003</v>
      </c>
      <c r="G1719">
        <v>1344.9073486</v>
      </c>
      <c r="H1719">
        <v>1328.0985106999999</v>
      </c>
      <c r="I1719">
        <v>1335.0173339999999</v>
      </c>
      <c r="J1719">
        <v>1319.0119629000001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1096.0010930000001</v>
      </c>
      <c r="B1720" s="1">
        <f>DATE(2013,5,1) + TIME(0,1,34)</f>
        <v>41395.001087962963</v>
      </c>
      <c r="C1720">
        <v>90</v>
      </c>
      <c r="D1720">
        <v>72.118339539000004</v>
      </c>
      <c r="E1720">
        <v>60</v>
      </c>
      <c r="F1720">
        <v>59.960018157999997</v>
      </c>
      <c r="G1720">
        <v>1355.3366699000001</v>
      </c>
      <c r="H1720">
        <v>1338.3006591999999</v>
      </c>
      <c r="I1720">
        <v>1325.5720214999999</v>
      </c>
      <c r="J1720">
        <v>1309.5709228999999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1096.0032799999999</v>
      </c>
      <c r="B1721" s="1">
        <f>DATE(2013,5,1) + TIME(0,4,43)</f>
        <v>41395.003275462965</v>
      </c>
      <c r="C1721">
        <v>90</v>
      </c>
      <c r="D1721">
        <v>72.179016113000003</v>
      </c>
      <c r="E1721">
        <v>60</v>
      </c>
      <c r="F1721">
        <v>59.958408356</v>
      </c>
      <c r="G1721">
        <v>1366.3200684000001</v>
      </c>
      <c r="H1721">
        <v>1349.0234375</v>
      </c>
      <c r="I1721">
        <v>1315.9376221</v>
      </c>
      <c r="J1721">
        <v>1299.8879394999999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1096.0098410000001</v>
      </c>
      <c r="B1722" s="1">
        <f>DATE(2013,5,1) + TIME(0,14,10)</f>
        <v>41395.009837962964</v>
      </c>
      <c r="C1722">
        <v>90</v>
      </c>
      <c r="D1722">
        <v>72.358856200999995</v>
      </c>
      <c r="E1722">
        <v>60</v>
      </c>
      <c r="F1722">
        <v>59.956108092999997</v>
      </c>
      <c r="G1722">
        <v>1377.2117920000001</v>
      </c>
      <c r="H1722">
        <v>1359.7049560999999</v>
      </c>
      <c r="I1722">
        <v>1306.2885742000001</v>
      </c>
      <c r="J1722">
        <v>1290.1357422000001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1096.029524</v>
      </c>
      <c r="B1723" s="1">
        <f>DATE(2013,5,1) + TIME(0,42,30)</f>
        <v>41395.029513888891</v>
      </c>
      <c r="C1723">
        <v>90</v>
      </c>
      <c r="D1723">
        <v>72.883201599000003</v>
      </c>
      <c r="E1723">
        <v>60</v>
      </c>
      <c r="F1723">
        <v>59.952045441000003</v>
      </c>
      <c r="G1723">
        <v>1385.7192382999999</v>
      </c>
      <c r="H1723">
        <v>1368.1976318</v>
      </c>
      <c r="I1723">
        <v>1298.5501709</v>
      </c>
      <c r="J1723">
        <v>1282.3198242000001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1096.0527959999999</v>
      </c>
      <c r="B1724" s="1">
        <f>DATE(2013,5,1) + TIME(1,16,1)</f>
        <v>41395.052789351852</v>
      </c>
      <c r="C1724">
        <v>90</v>
      </c>
      <c r="D1724">
        <v>73.481948853000006</v>
      </c>
      <c r="E1724">
        <v>60</v>
      </c>
      <c r="F1724">
        <v>59.948101043999998</v>
      </c>
      <c r="G1724">
        <v>1388.9107666</v>
      </c>
      <c r="H1724">
        <v>1371.4871826000001</v>
      </c>
      <c r="I1724">
        <v>1295.7729492000001</v>
      </c>
      <c r="J1724">
        <v>1279.519043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1096.0765590000001</v>
      </c>
      <c r="B1725" s="1">
        <f>DATE(2013,5,1) + TIME(1,50,14)</f>
        <v>41395.076550925929</v>
      </c>
      <c r="C1725">
        <v>90</v>
      </c>
      <c r="D1725">
        <v>74.071769713999998</v>
      </c>
      <c r="E1725">
        <v>60</v>
      </c>
      <c r="F1725">
        <v>59.944351196</v>
      </c>
      <c r="G1725">
        <v>1390.0651855000001</v>
      </c>
      <c r="H1725">
        <v>1372.7611084</v>
      </c>
      <c r="I1725">
        <v>1294.8780518000001</v>
      </c>
      <c r="J1725">
        <v>1278.6164550999999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1096.1007549999999</v>
      </c>
      <c r="B1726" s="1">
        <f>DATE(2013,5,1) + TIME(2,25,5)</f>
        <v>41395.100752314815</v>
      </c>
      <c r="C1726">
        <v>90</v>
      </c>
      <c r="D1726">
        <v>74.650665282999995</v>
      </c>
      <c r="E1726">
        <v>60</v>
      </c>
      <c r="F1726">
        <v>59.940650939999998</v>
      </c>
      <c r="G1726">
        <v>1390.4587402</v>
      </c>
      <c r="H1726">
        <v>1373.2777100000001</v>
      </c>
      <c r="I1726">
        <v>1294.6169434000001</v>
      </c>
      <c r="J1726">
        <v>1278.3526611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1096.1253750000001</v>
      </c>
      <c r="B1727" s="1">
        <f>DATE(2013,5,1) + TIME(3,0,32)</f>
        <v>41395.12537037037</v>
      </c>
      <c r="C1727">
        <v>90</v>
      </c>
      <c r="D1727">
        <v>75.217895507999998</v>
      </c>
      <c r="E1727">
        <v>60</v>
      </c>
      <c r="F1727">
        <v>59.936943053999997</v>
      </c>
      <c r="G1727">
        <v>1390.5390625</v>
      </c>
      <c r="H1727">
        <v>1373.4792480000001</v>
      </c>
      <c r="I1727">
        <v>1294.5660399999999</v>
      </c>
      <c r="J1727">
        <v>1278.3006591999999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1096.150435</v>
      </c>
      <c r="B1728" s="1">
        <f>DATE(2013,5,1) + TIME(3,36,37)</f>
        <v>41395.15042824074</v>
      </c>
      <c r="C1728">
        <v>90</v>
      </c>
      <c r="D1728">
        <v>75.773414611999996</v>
      </c>
      <c r="E1728">
        <v>60</v>
      </c>
      <c r="F1728">
        <v>59.933212279999999</v>
      </c>
      <c r="G1728">
        <v>1390.4826660000001</v>
      </c>
      <c r="H1728">
        <v>1373.5408935999999</v>
      </c>
      <c r="I1728">
        <v>1294.5769043</v>
      </c>
      <c r="J1728">
        <v>1278.3109131000001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1096.1759529999999</v>
      </c>
      <c r="B1729" s="1">
        <f>DATE(2013,5,1) + TIME(4,13,22)</f>
        <v>41395.175949074073</v>
      </c>
      <c r="C1729">
        <v>90</v>
      </c>
      <c r="D1729">
        <v>76.317520142000006</v>
      </c>
      <c r="E1729">
        <v>60</v>
      </c>
      <c r="F1729">
        <v>59.929447174000003</v>
      </c>
      <c r="G1729">
        <v>1390.364624</v>
      </c>
      <c r="H1729">
        <v>1373.5371094</v>
      </c>
      <c r="I1729">
        <v>1294.5996094</v>
      </c>
      <c r="J1729">
        <v>1278.333374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1096.201947</v>
      </c>
      <c r="B1730" s="1">
        <f>DATE(2013,5,1) + TIME(4,50,48)</f>
        <v>41395.201944444445</v>
      </c>
      <c r="C1730">
        <v>90</v>
      </c>
      <c r="D1730">
        <v>76.850288391000007</v>
      </c>
      <c r="E1730">
        <v>60</v>
      </c>
      <c r="F1730">
        <v>59.925643921000002</v>
      </c>
      <c r="G1730">
        <v>1390.2189940999999</v>
      </c>
      <c r="H1730">
        <v>1373.5017089999999</v>
      </c>
      <c r="I1730">
        <v>1294.6195068</v>
      </c>
      <c r="J1730">
        <v>1278.3529053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1096.2283970000001</v>
      </c>
      <c r="B1731" s="1">
        <f>DATE(2013,5,1) + TIME(5,28,53)</f>
        <v>41395.228391203702</v>
      </c>
      <c r="C1731">
        <v>90</v>
      </c>
      <c r="D1731">
        <v>77.371009826999995</v>
      </c>
      <c r="E1731">
        <v>60</v>
      </c>
      <c r="F1731">
        <v>59.921806334999999</v>
      </c>
      <c r="G1731">
        <v>1390.0617675999999</v>
      </c>
      <c r="H1731">
        <v>1373.4509277</v>
      </c>
      <c r="I1731">
        <v>1294.6337891000001</v>
      </c>
      <c r="J1731">
        <v>1278.3669434000001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1096.2553270000001</v>
      </c>
      <c r="B1732" s="1">
        <f>DATE(2013,5,1) + TIME(6,7,40)</f>
        <v>41395.255324074074</v>
      </c>
      <c r="C1732">
        <v>90</v>
      </c>
      <c r="D1732">
        <v>77.879905700999998</v>
      </c>
      <c r="E1732">
        <v>60</v>
      </c>
      <c r="F1732">
        <v>59.917934418000002</v>
      </c>
      <c r="G1732">
        <v>1389.9011230000001</v>
      </c>
      <c r="H1732">
        <v>1373.3928223</v>
      </c>
      <c r="I1732">
        <v>1294.6431885</v>
      </c>
      <c r="J1732">
        <v>1278.3760986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1096.2827609999999</v>
      </c>
      <c r="B1733" s="1">
        <f>DATE(2013,5,1) + TIME(6,47,10)</f>
        <v>41395.282754629632</v>
      </c>
      <c r="C1733">
        <v>90</v>
      </c>
      <c r="D1733">
        <v>78.377120972</v>
      </c>
      <c r="E1733">
        <v>60</v>
      </c>
      <c r="F1733">
        <v>59.914024353000002</v>
      </c>
      <c r="G1733">
        <v>1389.7408447</v>
      </c>
      <c r="H1733">
        <v>1373.3314209</v>
      </c>
      <c r="I1733">
        <v>1294.6490478999999</v>
      </c>
      <c r="J1733">
        <v>1278.3817139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1096.3107239999999</v>
      </c>
      <c r="B1734" s="1">
        <f>DATE(2013,5,1) + TIME(7,27,26)</f>
        <v>41395.310717592591</v>
      </c>
      <c r="C1734">
        <v>90</v>
      </c>
      <c r="D1734">
        <v>78.862800598000007</v>
      </c>
      <c r="E1734">
        <v>60</v>
      </c>
      <c r="F1734">
        <v>59.910072327000002</v>
      </c>
      <c r="G1734">
        <v>1389.5831298999999</v>
      </c>
      <c r="H1734">
        <v>1373.2689209</v>
      </c>
      <c r="I1734">
        <v>1294.6525879000001</v>
      </c>
      <c r="J1734">
        <v>1278.3851318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1096.33924</v>
      </c>
      <c r="B1735" s="1">
        <f>DATE(2013,5,1) + TIME(8,8,30)</f>
        <v>41395.339236111111</v>
      </c>
      <c r="C1735">
        <v>90</v>
      </c>
      <c r="D1735">
        <v>79.337066649999997</v>
      </c>
      <c r="E1735">
        <v>60</v>
      </c>
      <c r="F1735">
        <v>59.906078338999997</v>
      </c>
      <c r="G1735">
        <v>1389.4289550999999</v>
      </c>
      <c r="H1735">
        <v>1373.206543</v>
      </c>
      <c r="I1735">
        <v>1294.6547852000001</v>
      </c>
      <c r="J1735">
        <v>1278.3869629000001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1096.368338</v>
      </c>
      <c r="B1736" s="1">
        <f>DATE(2013,5,1) + TIME(8,50,24)</f>
        <v>41395.368333333332</v>
      </c>
      <c r="C1736">
        <v>90</v>
      </c>
      <c r="D1736">
        <v>79.800048828000001</v>
      </c>
      <c r="E1736">
        <v>60</v>
      </c>
      <c r="F1736">
        <v>59.902038574000002</v>
      </c>
      <c r="G1736">
        <v>1389.2788086</v>
      </c>
      <c r="H1736">
        <v>1373.1450195</v>
      </c>
      <c r="I1736">
        <v>1294.6560059000001</v>
      </c>
      <c r="J1736">
        <v>1278.3878173999999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1096.3980469999999</v>
      </c>
      <c r="B1737" s="1">
        <f>DATE(2013,5,1) + TIME(9,33,11)</f>
        <v>41395.398043981484</v>
      </c>
      <c r="C1737">
        <v>90</v>
      </c>
      <c r="D1737">
        <v>80.251800536999994</v>
      </c>
      <c r="E1737">
        <v>60</v>
      </c>
      <c r="F1737">
        <v>59.897949218999997</v>
      </c>
      <c r="G1737">
        <v>1389.1329346</v>
      </c>
      <c r="H1737">
        <v>1373.0845947</v>
      </c>
      <c r="I1737">
        <v>1294.6566161999999</v>
      </c>
      <c r="J1737">
        <v>1278.3881836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1096.4283969999999</v>
      </c>
      <c r="B1738" s="1">
        <f>DATE(2013,5,1) + TIME(10,16,53)</f>
        <v>41395.428391203706</v>
      </c>
      <c r="C1738">
        <v>90</v>
      </c>
      <c r="D1738">
        <v>80.692436217999997</v>
      </c>
      <c r="E1738">
        <v>60</v>
      </c>
      <c r="F1738">
        <v>59.893806458</v>
      </c>
      <c r="G1738">
        <v>1388.9914550999999</v>
      </c>
      <c r="H1738">
        <v>1373.0253906</v>
      </c>
      <c r="I1738">
        <v>1294.6569824000001</v>
      </c>
      <c r="J1738">
        <v>1278.3883057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1096.4594239999999</v>
      </c>
      <c r="B1739" s="1">
        <f>DATE(2013,5,1) + TIME(11,1,34)</f>
        <v>41395.459421296298</v>
      </c>
      <c r="C1739">
        <v>90</v>
      </c>
      <c r="D1739">
        <v>81.122100829999994</v>
      </c>
      <c r="E1739">
        <v>60</v>
      </c>
      <c r="F1739">
        <v>59.889610290999997</v>
      </c>
      <c r="G1739">
        <v>1388.8540039</v>
      </c>
      <c r="H1739">
        <v>1372.9675293</v>
      </c>
      <c r="I1739">
        <v>1294.6571045000001</v>
      </c>
      <c r="J1739">
        <v>1278.3880615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1096.4911649999999</v>
      </c>
      <c r="B1740" s="1">
        <f>DATE(2013,5,1) + TIME(11,47,16)</f>
        <v>41395.491157407407</v>
      </c>
      <c r="C1740">
        <v>90</v>
      </c>
      <c r="D1740">
        <v>81.540931701999995</v>
      </c>
      <c r="E1740">
        <v>60</v>
      </c>
      <c r="F1740">
        <v>59.885353088000002</v>
      </c>
      <c r="G1740">
        <v>1388.7207031</v>
      </c>
      <c r="H1740">
        <v>1372.9108887</v>
      </c>
      <c r="I1740">
        <v>1294.6569824000001</v>
      </c>
      <c r="J1740">
        <v>1278.3876952999999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1096.5236669999999</v>
      </c>
      <c r="B1741" s="1">
        <f>DATE(2013,5,1) + TIME(12,34,4)</f>
        <v>41395.523657407408</v>
      </c>
      <c r="C1741">
        <v>90</v>
      </c>
      <c r="D1741">
        <v>81.949111938000001</v>
      </c>
      <c r="E1741">
        <v>60</v>
      </c>
      <c r="F1741">
        <v>59.881034851000003</v>
      </c>
      <c r="G1741">
        <v>1388.5913086</v>
      </c>
      <c r="H1741">
        <v>1372.8554687999999</v>
      </c>
      <c r="I1741">
        <v>1294.6568603999999</v>
      </c>
      <c r="J1741">
        <v>1278.3873291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1096.5569620000001</v>
      </c>
      <c r="B1742" s="1">
        <f>DATE(2013,5,1) + TIME(13,22,1)</f>
        <v>41395.556956018518</v>
      </c>
      <c r="C1742">
        <v>90</v>
      </c>
      <c r="D1742">
        <v>82.346565247000001</v>
      </c>
      <c r="E1742">
        <v>60</v>
      </c>
      <c r="F1742">
        <v>59.876647949000002</v>
      </c>
      <c r="G1742">
        <v>1388.4655762</v>
      </c>
      <c r="H1742">
        <v>1372.8012695</v>
      </c>
      <c r="I1742">
        <v>1294.6567382999999</v>
      </c>
      <c r="J1742">
        <v>1278.3867187999999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1096.5910919999999</v>
      </c>
      <c r="B1743" s="1">
        <f>DATE(2013,5,1) + TIME(14,11,10)</f>
        <v>41395.591087962966</v>
      </c>
      <c r="C1743">
        <v>90</v>
      </c>
      <c r="D1743">
        <v>82.733383179</v>
      </c>
      <c r="E1743">
        <v>60</v>
      </c>
      <c r="F1743">
        <v>59.872192382999998</v>
      </c>
      <c r="G1743">
        <v>1388.3435059000001</v>
      </c>
      <c r="H1743">
        <v>1372.7480469</v>
      </c>
      <c r="I1743">
        <v>1294.6563721</v>
      </c>
      <c r="J1743">
        <v>1278.3861084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1096.6261050000001</v>
      </c>
      <c r="B1744" s="1">
        <f>DATE(2013,5,1) + TIME(15,1,35)</f>
        <v>41395.626099537039</v>
      </c>
      <c r="C1744">
        <v>90</v>
      </c>
      <c r="D1744">
        <v>83.109611510999997</v>
      </c>
      <c r="E1744">
        <v>60</v>
      </c>
      <c r="F1744">
        <v>59.867660522000001</v>
      </c>
      <c r="G1744">
        <v>1388.2247314000001</v>
      </c>
      <c r="H1744">
        <v>1372.6959228999999</v>
      </c>
      <c r="I1744">
        <v>1294.6561279</v>
      </c>
      <c r="J1744">
        <v>1278.3854980000001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1096.662053</v>
      </c>
      <c r="B1745" s="1">
        <f>DATE(2013,5,1) + TIME(15,53,21)</f>
        <v>41395.662048611113</v>
      </c>
      <c r="C1745">
        <v>90</v>
      </c>
      <c r="D1745">
        <v>83.475326538000004</v>
      </c>
      <c r="E1745">
        <v>60</v>
      </c>
      <c r="F1745">
        <v>59.863044739000003</v>
      </c>
      <c r="G1745">
        <v>1388.1092529</v>
      </c>
      <c r="H1745">
        <v>1372.6447754000001</v>
      </c>
      <c r="I1745">
        <v>1294.6557617000001</v>
      </c>
      <c r="J1745">
        <v>1278.3847656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1096.698991</v>
      </c>
      <c r="B1746" s="1">
        <f>DATE(2013,5,1) + TIME(16,46,32)</f>
        <v>41395.698981481481</v>
      </c>
      <c r="C1746">
        <v>90</v>
      </c>
      <c r="D1746">
        <v>83.830566406000003</v>
      </c>
      <c r="E1746">
        <v>60</v>
      </c>
      <c r="F1746">
        <v>59.858348845999998</v>
      </c>
      <c r="G1746">
        <v>1387.9969481999999</v>
      </c>
      <c r="H1746">
        <v>1372.5943603999999</v>
      </c>
      <c r="I1746">
        <v>1294.6552733999999</v>
      </c>
      <c r="J1746">
        <v>1278.3840332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1096.7369799999999</v>
      </c>
      <c r="B1747" s="1">
        <f>DATE(2013,5,1) + TIME(17,41,15)</f>
        <v>41395.736979166664</v>
      </c>
      <c r="C1747">
        <v>90</v>
      </c>
      <c r="D1747">
        <v>84.175399780000006</v>
      </c>
      <c r="E1747">
        <v>60</v>
      </c>
      <c r="F1747">
        <v>59.853557586999997</v>
      </c>
      <c r="G1747">
        <v>1387.8874512</v>
      </c>
      <c r="H1747">
        <v>1372.5447998</v>
      </c>
      <c r="I1747">
        <v>1294.6547852000001</v>
      </c>
      <c r="J1747">
        <v>1278.3831786999999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1096.7760840000001</v>
      </c>
      <c r="B1748" s="1">
        <f>DATE(2013,5,1) + TIME(18,37,33)</f>
        <v>41395.776076388887</v>
      </c>
      <c r="C1748">
        <v>90</v>
      </c>
      <c r="D1748">
        <v>84.509857178000004</v>
      </c>
      <c r="E1748">
        <v>60</v>
      </c>
      <c r="F1748">
        <v>59.848674774000003</v>
      </c>
      <c r="G1748">
        <v>1387.7807617000001</v>
      </c>
      <c r="H1748">
        <v>1372.4959716999999</v>
      </c>
      <c r="I1748">
        <v>1294.6542969</v>
      </c>
      <c r="J1748">
        <v>1278.3823242000001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1096.816376</v>
      </c>
      <c r="B1749" s="1">
        <f>DATE(2013,5,1) + TIME(19,35,34)</f>
        <v>41395.816365740742</v>
      </c>
      <c r="C1749">
        <v>90</v>
      </c>
      <c r="D1749">
        <v>84.833992003999995</v>
      </c>
      <c r="E1749">
        <v>60</v>
      </c>
      <c r="F1749">
        <v>59.843685149999999</v>
      </c>
      <c r="G1749">
        <v>1387.6767577999999</v>
      </c>
      <c r="H1749">
        <v>1372.4477539</v>
      </c>
      <c r="I1749">
        <v>1294.6538086</v>
      </c>
      <c r="J1749">
        <v>1278.3814697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1096.8579319999999</v>
      </c>
      <c r="B1750" s="1">
        <f>DATE(2013,5,1) + TIME(20,35,25)</f>
        <v>41395.857928240737</v>
      </c>
      <c r="C1750">
        <v>90</v>
      </c>
      <c r="D1750">
        <v>85.147727966000005</v>
      </c>
      <c r="E1750">
        <v>60</v>
      </c>
      <c r="F1750">
        <v>59.838581085000001</v>
      </c>
      <c r="G1750">
        <v>1387.5750731999999</v>
      </c>
      <c r="H1750">
        <v>1372.4000243999999</v>
      </c>
      <c r="I1750">
        <v>1294.6531981999999</v>
      </c>
      <c r="J1750">
        <v>1278.3804932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1096.9008679999999</v>
      </c>
      <c r="B1751" s="1">
        <f>DATE(2013,5,1) + TIME(21,37,15)</f>
        <v>41395.900868055556</v>
      </c>
      <c r="C1751">
        <v>90</v>
      </c>
      <c r="D1751">
        <v>85.451278686999999</v>
      </c>
      <c r="E1751">
        <v>60</v>
      </c>
      <c r="F1751">
        <v>59.833358765</v>
      </c>
      <c r="G1751">
        <v>1387.4757079999999</v>
      </c>
      <c r="H1751">
        <v>1372.3526611</v>
      </c>
      <c r="I1751">
        <v>1294.6525879000001</v>
      </c>
      <c r="J1751">
        <v>1278.3795166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1096.9452530000001</v>
      </c>
      <c r="B1752" s="1">
        <f>DATE(2013,5,1) + TIME(22,41,9)</f>
        <v>41395.945243055554</v>
      </c>
      <c r="C1752">
        <v>90</v>
      </c>
      <c r="D1752">
        <v>85.744606017999999</v>
      </c>
      <c r="E1752">
        <v>60</v>
      </c>
      <c r="F1752">
        <v>59.828010558999999</v>
      </c>
      <c r="G1752">
        <v>1387.3785399999999</v>
      </c>
      <c r="H1752">
        <v>1372.3057861</v>
      </c>
      <c r="I1752">
        <v>1294.6518555</v>
      </c>
      <c r="J1752">
        <v>1278.378418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1096.991188</v>
      </c>
      <c r="B1753" s="1">
        <f>DATE(2013,5,1) + TIME(23,47,18)</f>
        <v>41395.991180555553</v>
      </c>
      <c r="C1753">
        <v>90</v>
      </c>
      <c r="D1753">
        <v>86.027725219999994</v>
      </c>
      <c r="E1753">
        <v>60</v>
      </c>
      <c r="F1753">
        <v>59.822521209999998</v>
      </c>
      <c r="G1753">
        <v>1387.2834473</v>
      </c>
      <c r="H1753">
        <v>1372.2591553</v>
      </c>
      <c r="I1753">
        <v>1294.6512451000001</v>
      </c>
      <c r="J1753">
        <v>1278.3773193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1097.038789</v>
      </c>
      <c r="B1754" s="1">
        <f>DATE(2013,5,2) + TIME(0,55,51)</f>
        <v>41396.038784722223</v>
      </c>
      <c r="C1754">
        <v>90</v>
      </c>
      <c r="D1754">
        <v>86.300666809000006</v>
      </c>
      <c r="E1754">
        <v>60</v>
      </c>
      <c r="F1754">
        <v>59.816886902</v>
      </c>
      <c r="G1754">
        <v>1387.1901855000001</v>
      </c>
      <c r="H1754">
        <v>1372.2128906</v>
      </c>
      <c r="I1754">
        <v>1294.6503906</v>
      </c>
      <c r="J1754">
        <v>1278.3762207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1097.088182</v>
      </c>
      <c r="B1755" s="1">
        <f>DATE(2013,5,2) + TIME(2,6,58)</f>
        <v>41396.088171296295</v>
      </c>
      <c r="C1755">
        <v>90</v>
      </c>
      <c r="D1755">
        <v>86.563453674000002</v>
      </c>
      <c r="E1755">
        <v>60</v>
      </c>
      <c r="F1755">
        <v>59.811092377000001</v>
      </c>
      <c r="G1755">
        <v>1387.0986327999999</v>
      </c>
      <c r="H1755">
        <v>1372.166626</v>
      </c>
      <c r="I1755">
        <v>1294.6496582</v>
      </c>
      <c r="J1755">
        <v>1278.375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1097.1395</v>
      </c>
      <c r="B1756" s="1">
        <f>DATE(2013,5,2) + TIME(3,20,52)</f>
        <v>41396.139490740738</v>
      </c>
      <c r="C1756">
        <v>90</v>
      </c>
      <c r="D1756">
        <v>86.816062927000004</v>
      </c>
      <c r="E1756">
        <v>60</v>
      </c>
      <c r="F1756">
        <v>59.805126190000003</v>
      </c>
      <c r="G1756">
        <v>1387.0087891000001</v>
      </c>
      <c r="H1756">
        <v>1372.1204834</v>
      </c>
      <c r="I1756">
        <v>1294.6488036999999</v>
      </c>
      <c r="J1756">
        <v>1278.3737793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1097.1929070000001</v>
      </c>
      <c r="B1757" s="1">
        <f>DATE(2013,5,2) + TIME(4,37,47)</f>
        <v>41396.19290509259</v>
      </c>
      <c r="C1757">
        <v>90</v>
      </c>
      <c r="D1757">
        <v>87.058555603000002</v>
      </c>
      <c r="E1757">
        <v>60</v>
      </c>
      <c r="F1757">
        <v>59.798973083</v>
      </c>
      <c r="G1757">
        <v>1386.9204102000001</v>
      </c>
      <c r="H1757">
        <v>1372.0743408000001</v>
      </c>
      <c r="I1757">
        <v>1294.6479492000001</v>
      </c>
      <c r="J1757">
        <v>1278.3724365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1097.2485830000001</v>
      </c>
      <c r="B1758" s="1">
        <f>DATE(2013,5,2) + TIME(5,57,57)</f>
        <v>41396.248576388891</v>
      </c>
      <c r="C1758">
        <v>90</v>
      </c>
      <c r="D1758">
        <v>87.290962218999994</v>
      </c>
      <c r="E1758">
        <v>60</v>
      </c>
      <c r="F1758">
        <v>59.792621613000001</v>
      </c>
      <c r="G1758">
        <v>1386.8332519999999</v>
      </c>
      <c r="H1758">
        <v>1372.0281981999999</v>
      </c>
      <c r="I1758">
        <v>1294.6470947</v>
      </c>
      <c r="J1758">
        <v>1278.3710937999999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1097.30673</v>
      </c>
      <c r="B1759" s="1">
        <f>DATE(2013,5,2) + TIME(7,21,41)</f>
        <v>41396.30672453704</v>
      </c>
      <c r="C1759">
        <v>90</v>
      </c>
      <c r="D1759">
        <v>87.513305664000001</v>
      </c>
      <c r="E1759">
        <v>60</v>
      </c>
      <c r="F1759">
        <v>59.786048889</v>
      </c>
      <c r="G1759">
        <v>1386.7474365</v>
      </c>
      <c r="H1759">
        <v>1371.9816894999999</v>
      </c>
      <c r="I1759">
        <v>1294.6461182</v>
      </c>
      <c r="J1759">
        <v>1278.3696289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1097.3675740000001</v>
      </c>
      <c r="B1760" s="1">
        <f>DATE(2013,5,2) + TIME(8,49,18)</f>
        <v>41396.367569444446</v>
      </c>
      <c r="C1760">
        <v>90</v>
      </c>
      <c r="D1760">
        <v>87.725601196</v>
      </c>
      <c r="E1760">
        <v>60</v>
      </c>
      <c r="F1760">
        <v>59.779235839999998</v>
      </c>
      <c r="G1760">
        <v>1386.6624756000001</v>
      </c>
      <c r="H1760">
        <v>1371.9350586</v>
      </c>
      <c r="I1760">
        <v>1294.6450195</v>
      </c>
      <c r="J1760">
        <v>1278.3681641000001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1097.431403</v>
      </c>
      <c r="B1761" s="1">
        <f>DATE(2013,5,2) + TIME(10,21,13)</f>
        <v>41396.431400462963</v>
      </c>
      <c r="C1761">
        <v>90</v>
      </c>
      <c r="D1761">
        <v>87.927955627000003</v>
      </c>
      <c r="E1761">
        <v>60</v>
      </c>
      <c r="F1761">
        <v>59.772155761999997</v>
      </c>
      <c r="G1761">
        <v>1386.5784911999999</v>
      </c>
      <c r="H1761">
        <v>1371.8879394999999</v>
      </c>
      <c r="I1761">
        <v>1294.6439209</v>
      </c>
      <c r="J1761">
        <v>1278.3665771000001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1097.4985139999999</v>
      </c>
      <c r="B1762" s="1">
        <f>DATE(2013,5,2) + TIME(11,57,51)</f>
        <v>41396.498506944445</v>
      </c>
      <c r="C1762">
        <v>90</v>
      </c>
      <c r="D1762">
        <v>88.120353699000006</v>
      </c>
      <c r="E1762">
        <v>60</v>
      </c>
      <c r="F1762">
        <v>59.764785766999999</v>
      </c>
      <c r="G1762">
        <v>1386.4951172000001</v>
      </c>
      <c r="H1762">
        <v>1371.840332</v>
      </c>
      <c r="I1762">
        <v>1294.6428223</v>
      </c>
      <c r="J1762">
        <v>1278.3648682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1097.5692349999999</v>
      </c>
      <c r="B1763" s="1">
        <f>DATE(2013,5,2) + TIME(13,39,41)</f>
        <v>41396.569224537037</v>
      </c>
      <c r="C1763">
        <v>90</v>
      </c>
      <c r="D1763">
        <v>88.302772521999998</v>
      </c>
      <c r="E1763">
        <v>60</v>
      </c>
      <c r="F1763">
        <v>59.757095337000003</v>
      </c>
      <c r="G1763">
        <v>1386.4123535000001</v>
      </c>
      <c r="H1763">
        <v>1371.7919922000001</v>
      </c>
      <c r="I1763">
        <v>1294.6416016000001</v>
      </c>
      <c r="J1763">
        <v>1278.3631591999999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1097.6439680000001</v>
      </c>
      <c r="B1764" s="1">
        <f>DATE(2013,5,2) + TIME(15,27,18)</f>
        <v>41396.643958333334</v>
      </c>
      <c r="C1764">
        <v>90</v>
      </c>
      <c r="D1764">
        <v>88.475234985</v>
      </c>
      <c r="E1764">
        <v>60</v>
      </c>
      <c r="F1764">
        <v>59.749046325999998</v>
      </c>
      <c r="G1764">
        <v>1386.3299560999999</v>
      </c>
      <c r="H1764">
        <v>1371.7430420000001</v>
      </c>
      <c r="I1764">
        <v>1294.6403809000001</v>
      </c>
      <c r="J1764">
        <v>1278.3613281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1097.7231850000001</v>
      </c>
      <c r="B1765" s="1">
        <f>DATE(2013,5,2) + TIME(17,21,23)</f>
        <v>41396.723182870373</v>
      </c>
      <c r="C1765">
        <v>90</v>
      </c>
      <c r="D1765">
        <v>88.637756347999996</v>
      </c>
      <c r="E1765">
        <v>60</v>
      </c>
      <c r="F1765">
        <v>59.740608215000002</v>
      </c>
      <c r="G1765">
        <v>1386.2476807</v>
      </c>
      <c r="H1765">
        <v>1371.6932373</v>
      </c>
      <c r="I1765">
        <v>1294.6390381000001</v>
      </c>
      <c r="J1765">
        <v>1278.3594971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1097.807464</v>
      </c>
      <c r="B1766" s="1">
        <f>DATE(2013,5,2) + TIME(19,22,44)</f>
        <v>41396.807453703703</v>
      </c>
      <c r="C1766">
        <v>90</v>
      </c>
      <c r="D1766">
        <v>88.790412903000004</v>
      </c>
      <c r="E1766">
        <v>60</v>
      </c>
      <c r="F1766">
        <v>59.731719970999997</v>
      </c>
      <c r="G1766">
        <v>1386.1652832</v>
      </c>
      <c r="H1766">
        <v>1371.6423339999999</v>
      </c>
      <c r="I1766">
        <v>1294.6375731999999</v>
      </c>
      <c r="J1766">
        <v>1278.3574219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1097.8975029999999</v>
      </c>
      <c r="B1767" s="1">
        <f>DATE(2013,5,2) + TIME(21,32,24)</f>
        <v>41396.897499999999</v>
      </c>
      <c r="C1767">
        <v>90</v>
      </c>
      <c r="D1767">
        <v>88.933258057000003</v>
      </c>
      <c r="E1767">
        <v>60</v>
      </c>
      <c r="F1767">
        <v>59.722332000999998</v>
      </c>
      <c r="G1767">
        <v>1386.0826416</v>
      </c>
      <c r="H1767">
        <v>1371.590332</v>
      </c>
      <c r="I1767">
        <v>1294.6361084</v>
      </c>
      <c r="J1767">
        <v>1278.3552245999999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1097.994072</v>
      </c>
      <c r="B1768" s="1">
        <f>DATE(2013,5,2) + TIME(23,51,27)</f>
        <v>41396.994062500002</v>
      </c>
      <c r="C1768">
        <v>90</v>
      </c>
      <c r="D1768">
        <v>89.066276549999998</v>
      </c>
      <c r="E1768">
        <v>60</v>
      </c>
      <c r="F1768">
        <v>59.712371826000002</v>
      </c>
      <c r="G1768">
        <v>1385.9993896000001</v>
      </c>
      <c r="H1768">
        <v>1371.5368652</v>
      </c>
      <c r="I1768">
        <v>1294.6345214999999</v>
      </c>
      <c r="J1768">
        <v>1278.3529053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1098.092633</v>
      </c>
      <c r="B1769" s="1">
        <f>DATE(2013,5,3) + TIME(2,13,23)</f>
        <v>41397.092627314814</v>
      </c>
      <c r="C1769">
        <v>90</v>
      </c>
      <c r="D1769">
        <v>89.183830260999997</v>
      </c>
      <c r="E1769">
        <v>60</v>
      </c>
      <c r="F1769">
        <v>59.702270507999998</v>
      </c>
      <c r="G1769">
        <v>1385.9185791</v>
      </c>
      <c r="H1769">
        <v>1371.4835204999999</v>
      </c>
      <c r="I1769">
        <v>1294.6326904</v>
      </c>
      <c r="J1769">
        <v>1278.3504639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1098.19164</v>
      </c>
      <c r="B1770" s="1">
        <f>DATE(2013,5,3) + TIME(4,35,57)</f>
        <v>41397.191631944443</v>
      </c>
      <c r="C1770">
        <v>90</v>
      </c>
      <c r="D1770">
        <v>89.286041260000005</v>
      </c>
      <c r="E1770">
        <v>60</v>
      </c>
      <c r="F1770">
        <v>59.692157745000003</v>
      </c>
      <c r="G1770">
        <v>1385.8415527</v>
      </c>
      <c r="H1770">
        <v>1371.4316406</v>
      </c>
      <c r="I1770">
        <v>1294.6308594</v>
      </c>
      <c r="J1770">
        <v>1278.3480225000001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1098.2913249999999</v>
      </c>
      <c r="B1771" s="1">
        <f>DATE(2013,5,3) + TIME(6,59,30)</f>
        <v>41397.291319444441</v>
      </c>
      <c r="C1771">
        <v>90</v>
      </c>
      <c r="D1771">
        <v>89.375045775999993</v>
      </c>
      <c r="E1771">
        <v>60</v>
      </c>
      <c r="F1771">
        <v>59.682022095000001</v>
      </c>
      <c r="G1771">
        <v>1385.7677002</v>
      </c>
      <c r="H1771">
        <v>1371.3812256000001</v>
      </c>
      <c r="I1771">
        <v>1294.6290283000001</v>
      </c>
      <c r="J1771">
        <v>1278.3454589999999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1098.3918650000001</v>
      </c>
      <c r="B1772" s="1">
        <f>DATE(2013,5,3) + TIME(9,24,17)</f>
        <v>41397.391863425924</v>
      </c>
      <c r="C1772">
        <v>90</v>
      </c>
      <c r="D1772">
        <v>89.452606200999995</v>
      </c>
      <c r="E1772">
        <v>60</v>
      </c>
      <c r="F1772">
        <v>59.671840668000002</v>
      </c>
      <c r="G1772">
        <v>1385.6968993999999</v>
      </c>
      <c r="H1772">
        <v>1371.3321533000001</v>
      </c>
      <c r="I1772">
        <v>1294.6270752</v>
      </c>
      <c r="J1772">
        <v>1278.3430175999999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1098.4934430000001</v>
      </c>
      <c r="B1773" s="1">
        <f>DATE(2013,5,3) + TIME(11,50,33)</f>
        <v>41397.493437500001</v>
      </c>
      <c r="C1773">
        <v>90</v>
      </c>
      <c r="D1773">
        <v>89.520225525000001</v>
      </c>
      <c r="E1773">
        <v>60</v>
      </c>
      <c r="F1773">
        <v>59.661602019999997</v>
      </c>
      <c r="G1773">
        <v>1385.6285399999999</v>
      </c>
      <c r="H1773">
        <v>1371.2841797000001</v>
      </c>
      <c r="I1773">
        <v>1294.6251221</v>
      </c>
      <c r="J1773">
        <v>1278.3404541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1098.5962420000001</v>
      </c>
      <c r="B1774" s="1">
        <f>DATE(2013,5,3) + TIME(14,18,35)</f>
        <v>41397.596238425926</v>
      </c>
      <c r="C1774">
        <v>90</v>
      </c>
      <c r="D1774">
        <v>89.579200744999994</v>
      </c>
      <c r="E1774">
        <v>60</v>
      </c>
      <c r="F1774">
        <v>59.651287078999999</v>
      </c>
      <c r="G1774">
        <v>1385.5623779</v>
      </c>
      <c r="H1774">
        <v>1371.2371826000001</v>
      </c>
      <c r="I1774">
        <v>1294.6232910000001</v>
      </c>
      <c r="J1774">
        <v>1278.3377685999999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1098.7004420000001</v>
      </c>
      <c r="B1775" s="1">
        <f>DATE(2013,5,3) + TIME(16,48,38)</f>
        <v>41397.700439814813</v>
      </c>
      <c r="C1775">
        <v>90</v>
      </c>
      <c r="D1775">
        <v>89.630622864000003</v>
      </c>
      <c r="E1775">
        <v>60</v>
      </c>
      <c r="F1775">
        <v>59.640876769999998</v>
      </c>
      <c r="G1775">
        <v>1385.4982910000001</v>
      </c>
      <c r="H1775">
        <v>1371.1911620999999</v>
      </c>
      <c r="I1775">
        <v>1294.6213379000001</v>
      </c>
      <c r="J1775">
        <v>1278.3352050999999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1098.8062299999999</v>
      </c>
      <c r="B1776" s="1">
        <f>DATE(2013,5,3) + TIME(19,20,58)</f>
        <v>41397.806226851855</v>
      </c>
      <c r="C1776">
        <v>90</v>
      </c>
      <c r="D1776">
        <v>89.675453185999999</v>
      </c>
      <c r="E1776">
        <v>60</v>
      </c>
      <c r="F1776">
        <v>59.630359650000003</v>
      </c>
      <c r="G1776">
        <v>1385.4357910000001</v>
      </c>
      <c r="H1776">
        <v>1371.1459961</v>
      </c>
      <c r="I1776">
        <v>1294.6192627</v>
      </c>
      <c r="J1776">
        <v>1278.3325195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1098.9137929999999</v>
      </c>
      <c r="B1777" s="1">
        <f>DATE(2013,5,3) + TIME(21,55,51)</f>
        <v>41397.913784722223</v>
      </c>
      <c r="C1777">
        <v>90</v>
      </c>
      <c r="D1777">
        <v>89.714508057000003</v>
      </c>
      <c r="E1777">
        <v>60</v>
      </c>
      <c r="F1777">
        <v>59.619712829999997</v>
      </c>
      <c r="G1777">
        <v>1385.3748779</v>
      </c>
      <c r="H1777">
        <v>1371.1014404</v>
      </c>
      <c r="I1777">
        <v>1294.6173096</v>
      </c>
      <c r="J1777">
        <v>1278.3298339999999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1099.0233290000001</v>
      </c>
      <c r="B1778" s="1">
        <f>DATE(2013,5,4) + TIME(0,33,35)</f>
        <v>41398.023321759261</v>
      </c>
      <c r="C1778">
        <v>90</v>
      </c>
      <c r="D1778">
        <v>89.748504639000004</v>
      </c>
      <c r="E1778">
        <v>60</v>
      </c>
      <c r="F1778">
        <v>59.608924866000002</v>
      </c>
      <c r="G1778">
        <v>1385.3153076000001</v>
      </c>
      <c r="H1778">
        <v>1371.0576172000001</v>
      </c>
      <c r="I1778">
        <v>1294.6152344</v>
      </c>
      <c r="J1778">
        <v>1278.3270264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1099.1349299999999</v>
      </c>
      <c r="B1779" s="1">
        <f>DATE(2013,5,4) + TIME(3,14,17)</f>
        <v>41398.134918981479</v>
      </c>
      <c r="C1779">
        <v>90</v>
      </c>
      <c r="D1779">
        <v>89.778053283999995</v>
      </c>
      <c r="E1779">
        <v>60</v>
      </c>
      <c r="F1779">
        <v>59.597988129000001</v>
      </c>
      <c r="G1779">
        <v>1385.2568358999999</v>
      </c>
      <c r="H1779">
        <v>1371.0141602000001</v>
      </c>
      <c r="I1779">
        <v>1294.6131591999999</v>
      </c>
      <c r="J1779">
        <v>1278.3242187999999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1099.2484030000001</v>
      </c>
      <c r="B1780" s="1">
        <f>DATE(2013,5,4) + TIME(5,57,42)</f>
        <v>41398.248402777775</v>
      </c>
      <c r="C1780">
        <v>90</v>
      </c>
      <c r="D1780">
        <v>89.803619385000005</v>
      </c>
      <c r="E1780">
        <v>60</v>
      </c>
      <c r="F1780">
        <v>59.586914061999998</v>
      </c>
      <c r="G1780">
        <v>1385.1994629000001</v>
      </c>
      <c r="H1780">
        <v>1370.9713135</v>
      </c>
      <c r="I1780">
        <v>1294.6109618999999</v>
      </c>
      <c r="J1780">
        <v>1278.3214111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1099.3639450000001</v>
      </c>
      <c r="B1781" s="1">
        <f>DATE(2013,5,4) + TIME(8,44,4)</f>
        <v>41398.363935185182</v>
      </c>
      <c r="C1781">
        <v>90</v>
      </c>
      <c r="D1781">
        <v>89.825721740999995</v>
      </c>
      <c r="E1781">
        <v>60</v>
      </c>
      <c r="F1781">
        <v>59.575687408</v>
      </c>
      <c r="G1781">
        <v>1385.1431885</v>
      </c>
      <c r="H1781">
        <v>1370.9290771000001</v>
      </c>
      <c r="I1781">
        <v>1294.6087646000001</v>
      </c>
      <c r="J1781">
        <v>1278.3184814000001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1099.481751</v>
      </c>
      <c r="B1782" s="1">
        <f>DATE(2013,5,4) + TIME(11,33,43)</f>
        <v>41398.481747685182</v>
      </c>
      <c r="C1782">
        <v>90</v>
      </c>
      <c r="D1782">
        <v>89.844810486</v>
      </c>
      <c r="E1782">
        <v>60</v>
      </c>
      <c r="F1782">
        <v>59.564292907999999</v>
      </c>
      <c r="G1782">
        <v>1385.0877685999999</v>
      </c>
      <c r="H1782">
        <v>1370.8873291</v>
      </c>
      <c r="I1782">
        <v>1294.6065673999999</v>
      </c>
      <c r="J1782">
        <v>1278.3154297000001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1099.602028</v>
      </c>
      <c r="B1783" s="1">
        <f>DATE(2013,5,4) + TIME(14,26,55)</f>
        <v>41398.602025462962</v>
      </c>
      <c r="C1783">
        <v>90</v>
      </c>
      <c r="D1783">
        <v>89.861267089999998</v>
      </c>
      <c r="E1783">
        <v>60</v>
      </c>
      <c r="F1783">
        <v>59.552715302000003</v>
      </c>
      <c r="G1783">
        <v>1385.0332031</v>
      </c>
      <c r="H1783">
        <v>1370.8459473</v>
      </c>
      <c r="I1783">
        <v>1294.6042480000001</v>
      </c>
      <c r="J1783">
        <v>1278.3125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1099.7250120000001</v>
      </c>
      <c r="B1784" s="1">
        <f>DATE(2013,5,4) + TIME(17,24,1)</f>
        <v>41398.725011574075</v>
      </c>
      <c r="C1784">
        <v>90</v>
      </c>
      <c r="D1784">
        <v>89.875442504999995</v>
      </c>
      <c r="E1784">
        <v>60</v>
      </c>
      <c r="F1784">
        <v>59.540931702000002</v>
      </c>
      <c r="G1784">
        <v>1384.979126</v>
      </c>
      <c r="H1784">
        <v>1370.8048096</v>
      </c>
      <c r="I1784">
        <v>1294.6019286999999</v>
      </c>
      <c r="J1784">
        <v>1278.3093262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1099.850999</v>
      </c>
      <c r="B1785" s="1">
        <f>DATE(2013,5,4) + TIME(20,25,26)</f>
        <v>41398.850995370369</v>
      </c>
      <c r="C1785">
        <v>90</v>
      </c>
      <c r="D1785">
        <v>89.887634277000004</v>
      </c>
      <c r="E1785">
        <v>60</v>
      </c>
      <c r="F1785">
        <v>59.528923034999998</v>
      </c>
      <c r="G1785">
        <v>1384.9256591999999</v>
      </c>
      <c r="H1785">
        <v>1370.7640381000001</v>
      </c>
      <c r="I1785">
        <v>1294.5994873</v>
      </c>
      <c r="J1785">
        <v>1278.3061522999999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1099.980178</v>
      </c>
      <c r="B1786" s="1">
        <f>DATE(2013,5,4) + TIME(23,31,27)</f>
        <v>41398.980173611111</v>
      </c>
      <c r="C1786">
        <v>90</v>
      </c>
      <c r="D1786">
        <v>89.898094177000004</v>
      </c>
      <c r="E1786">
        <v>60</v>
      </c>
      <c r="F1786">
        <v>59.516666411999999</v>
      </c>
      <c r="G1786">
        <v>1384.8726807</v>
      </c>
      <c r="H1786">
        <v>1370.7235106999999</v>
      </c>
      <c r="I1786">
        <v>1294.5970459</v>
      </c>
      <c r="J1786">
        <v>1278.3028564000001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1100.11283</v>
      </c>
      <c r="B1787" s="1">
        <f>DATE(2013,5,5) + TIME(2,42,28)</f>
        <v>41399.112824074073</v>
      </c>
      <c r="C1787">
        <v>90</v>
      </c>
      <c r="D1787">
        <v>89.907051085999996</v>
      </c>
      <c r="E1787">
        <v>60</v>
      </c>
      <c r="F1787">
        <v>59.504142760999997</v>
      </c>
      <c r="G1787">
        <v>1384.8199463000001</v>
      </c>
      <c r="H1787">
        <v>1370.6829834</v>
      </c>
      <c r="I1787">
        <v>1294.5944824000001</v>
      </c>
      <c r="J1787">
        <v>1278.2995605000001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1100.2492629999999</v>
      </c>
      <c r="B1788" s="1">
        <f>DATE(2013,5,5) + TIME(5,58,56)</f>
        <v>41399.249259259261</v>
      </c>
      <c r="C1788">
        <v>90</v>
      </c>
      <c r="D1788">
        <v>89.914703368999994</v>
      </c>
      <c r="E1788">
        <v>60</v>
      </c>
      <c r="F1788">
        <v>59.491325377999999</v>
      </c>
      <c r="G1788">
        <v>1384.7674560999999</v>
      </c>
      <c r="H1788">
        <v>1370.6427002</v>
      </c>
      <c r="I1788">
        <v>1294.5919189000001</v>
      </c>
      <c r="J1788">
        <v>1278.2961425999999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1100.389809</v>
      </c>
      <c r="B1789" s="1">
        <f>DATE(2013,5,5) + TIME(9,21,19)</f>
        <v>41399.389803240738</v>
      </c>
      <c r="C1789">
        <v>90</v>
      </c>
      <c r="D1789">
        <v>89.921218871999997</v>
      </c>
      <c r="E1789">
        <v>60</v>
      </c>
      <c r="F1789">
        <v>59.478191375999998</v>
      </c>
      <c r="G1789">
        <v>1384.7150879000001</v>
      </c>
      <c r="H1789">
        <v>1370.6022949000001</v>
      </c>
      <c r="I1789">
        <v>1294.5892334</v>
      </c>
      <c r="J1789">
        <v>1278.2924805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1100.5348080000001</v>
      </c>
      <c r="B1790" s="1">
        <f>DATE(2013,5,5) + TIME(12,50,7)</f>
        <v>41399.534803240742</v>
      </c>
      <c r="C1790">
        <v>90</v>
      </c>
      <c r="D1790">
        <v>89.926757812000005</v>
      </c>
      <c r="E1790">
        <v>60</v>
      </c>
      <c r="F1790">
        <v>59.464714049999998</v>
      </c>
      <c r="G1790">
        <v>1384.6625977000001</v>
      </c>
      <c r="H1790">
        <v>1370.5620117000001</v>
      </c>
      <c r="I1790">
        <v>1294.5864257999999</v>
      </c>
      <c r="J1790">
        <v>1278.2888184000001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1100.6847029999999</v>
      </c>
      <c r="B1791" s="1">
        <f>DATE(2013,5,5) + TIME(16,25,58)</f>
        <v>41399.684699074074</v>
      </c>
      <c r="C1791">
        <v>90</v>
      </c>
      <c r="D1791">
        <v>89.931449889999996</v>
      </c>
      <c r="E1791">
        <v>60</v>
      </c>
      <c r="F1791">
        <v>59.450855255</v>
      </c>
      <c r="G1791">
        <v>1384.6101074000001</v>
      </c>
      <c r="H1791">
        <v>1370.5214844</v>
      </c>
      <c r="I1791">
        <v>1294.5836182</v>
      </c>
      <c r="J1791">
        <v>1278.2850341999999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1100.8399509999999</v>
      </c>
      <c r="B1792" s="1">
        <f>DATE(2013,5,5) + TIME(20,9,31)</f>
        <v>41399.839942129627</v>
      </c>
      <c r="C1792">
        <v>90</v>
      </c>
      <c r="D1792">
        <v>89.935424804999997</v>
      </c>
      <c r="E1792">
        <v>60</v>
      </c>
      <c r="F1792">
        <v>59.436580657999997</v>
      </c>
      <c r="G1792">
        <v>1384.5573730000001</v>
      </c>
      <c r="H1792">
        <v>1370.4808350000001</v>
      </c>
      <c r="I1792">
        <v>1294.5805664</v>
      </c>
      <c r="J1792">
        <v>1278.2811279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1101.0010689999999</v>
      </c>
      <c r="B1793" s="1">
        <f>DATE(2013,5,6) + TIME(0,1,32)</f>
        <v>41400.001064814816</v>
      </c>
      <c r="C1793">
        <v>90</v>
      </c>
      <c r="D1793">
        <v>89.938766478999995</v>
      </c>
      <c r="E1793">
        <v>60</v>
      </c>
      <c r="F1793">
        <v>59.421852112000003</v>
      </c>
      <c r="G1793">
        <v>1384.5043945</v>
      </c>
      <c r="H1793">
        <v>1370.4398193</v>
      </c>
      <c r="I1793">
        <v>1294.5775146000001</v>
      </c>
      <c r="J1793">
        <v>1278.2770995999999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1101.1676259999999</v>
      </c>
      <c r="B1794" s="1">
        <f>DATE(2013,5,6) + TIME(4,1,22)</f>
        <v>41400.167615740742</v>
      </c>
      <c r="C1794">
        <v>90</v>
      </c>
      <c r="D1794">
        <v>89.941558838000006</v>
      </c>
      <c r="E1794">
        <v>60</v>
      </c>
      <c r="F1794">
        <v>59.406700133999998</v>
      </c>
      <c r="G1794">
        <v>1384.4509277</v>
      </c>
      <c r="H1794">
        <v>1370.3985596</v>
      </c>
      <c r="I1794">
        <v>1294.5743408000001</v>
      </c>
      <c r="J1794">
        <v>1278.2729492000001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1101.3389159999999</v>
      </c>
      <c r="B1795" s="1">
        <f>DATE(2013,5,6) + TIME(8,8,2)</f>
        <v>41400.338912037034</v>
      </c>
      <c r="C1795">
        <v>90</v>
      </c>
      <c r="D1795">
        <v>89.943878174000005</v>
      </c>
      <c r="E1795">
        <v>60</v>
      </c>
      <c r="F1795">
        <v>59.391178130999997</v>
      </c>
      <c r="G1795">
        <v>1384.3973389</v>
      </c>
      <c r="H1795">
        <v>1370.3570557</v>
      </c>
      <c r="I1795">
        <v>1294.5709228999999</v>
      </c>
      <c r="J1795">
        <v>1278.2685547000001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1101.515367</v>
      </c>
      <c r="B1796" s="1">
        <f>DATE(2013,5,6) + TIME(12,22,7)</f>
        <v>41400.5153587963</v>
      </c>
      <c r="C1796">
        <v>90</v>
      </c>
      <c r="D1796">
        <v>89.945793151999993</v>
      </c>
      <c r="E1796">
        <v>60</v>
      </c>
      <c r="F1796">
        <v>59.375255584999998</v>
      </c>
      <c r="G1796">
        <v>1384.3436279</v>
      </c>
      <c r="H1796">
        <v>1370.3156738</v>
      </c>
      <c r="I1796">
        <v>1294.5675048999999</v>
      </c>
      <c r="J1796">
        <v>1278.2640381000001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1101.6974009999999</v>
      </c>
      <c r="B1797" s="1">
        <f>DATE(2013,5,6) + TIME(16,44,15)</f>
        <v>41400.697395833333</v>
      </c>
      <c r="C1797">
        <v>90</v>
      </c>
      <c r="D1797">
        <v>89.947380065999994</v>
      </c>
      <c r="E1797">
        <v>60</v>
      </c>
      <c r="F1797">
        <v>59.358901977999999</v>
      </c>
      <c r="G1797">
        <v>1384.2899170000001</v>
      </c>
      <c r="H1797">
        <v>1370.2741699000001</v>
      </c>
      <c r="I1797">
        <v>1294.5639647999999</v>
      </c>
      <c r="J1797">
        <v>1278.2593993999999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1101.8854759999999</v>
      </c>
      <c r="B1798" s="1">
        <f>DATE(2013,5,6) + TIME(21,15,5)</f>
        <v>41400.885474537034</v>
      </c>
      <c r="C1798">
        <v>90</v>
      </c>
      <c r="D1798">
        <v>89.948684692</v>
      </c>
      <c r="E1798">
        <v>60</v>
      </c>
      <c r="F1798">
        <v>59.342086792000003</v>
      </c>
      <c r="G1798">
        <v>1384.2359618999999</v>
      </c>
      <c r="H1798">
        <v>1370.2325439000001</v>
      </c>
      <c r="I1798">
        <v>1294.5603027</v>
      </c>
      <c r="J1798">
        <v>1278.2546387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1102.080158</v>
      </c>
      <c r="B1799" s="1">
        <f>DATE(2013,5,7) + TIME(1,55,25)</f>
        <v>41401.080150462964</v>
      </c>
      <c r="C1799">
        <v>90</v>
      </c>
      <c r="D1799">
        <v>89.949760436999995</v>
      </c>
      <c r="E1799">
        <v>60</v>
      </c>
      <c r="F1799">
        <v>59.324768065999997</v>
      </c>
      <c r="G1799">
        <v>1384.1817627</v>
      </c>
      <c r="H1799">
        <v>1370.1907959</v>
      </c>
      <c r="I1799">
        <v>1294.5565185999999</v>
      </c>
      <c r="J1799">
        <v>1278.2496338000001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1102.2818159999999</v>
      </c>
      <c r="B1800" s="1">
        <f>DATE(2013,5,7) + TIME(6,45,48)</f>
        <v>41401.281805555554</v>
      </c>
      <c r="C1800">
        <v>90</v>
      </c>
      <c r="D1800">
        <v>89.950645446999999</v>
      </c>
      <c r="E1800">
        <v>60</v>
      </c>
      <c r="F1800">
        <v>59.306919098000002</v>
      </c>
      <c r="G1800">
        <v>1384.1270752</v>
      </c>
      <c r="H1800">
        <v>1370.1486815999999</v>
      </c>
      <c r="I1800">
        <v>1294.5526123</v>
      </c>
      <c r="J1800">
        <v>1278.2445068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1102.4849650000001</v>
      </c>
      <c r="B1801" s="1">
        <f>DATE(2013,5,7) + TIME(11,38,20)</f>
        <v>41401.484953703701</v>
      </c>
      <c r="C1801">
        <v>90</v>
      </c>
      <c r="D1801">
        <v>89.951362610000004</v>
      </c>
      <c r="E1801">
        <v>60</v>
      </c>
      <c r="F1801">
        <v>59.288932799999998</v>
      </c>
      <c r="G1801">
        <v>1384.0721435999999</v>
      </c>
      <c r="H1801">
        <v>1370.1064452999999</v>
      </c>
      <c r="I1801">
        <v>1294.5484618999999</v>
      </c>
      <c r="J1801">
        <v>1278.2392577999999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1102.690061</v>
      </c>
      <c r="B1802" s="1">
        <f>DATE(2013,5,7) + TIME(16,33,41)</f>
        <v>41401.690057870372</v>
      </c>
      <c r="C1802">
        <v>90</v>
      </c>
      <c r="D1802">
        <v>89.951934813999998</v>
      </c>
      <c r="E1802">
        <v>60</v>
      </c>
      <c r="F1802">
        <v>59.270782470999997</v>
      </c>
      <c r="G1802">
        <v>1384.0181885</v>
      </c>
      <c r="H1802">
        <v>1370.0649414</v>
      </c>
      <c r="I1802">
        <v>1294.5443115</v>
      </c>
      <c r="J1802">
        <v>1278.2338867000001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1102.8975270000001</v>
      </c>
      <c r="B1803" s="1">
        <f>DATE(2013,5,7) + TIME(21,32,26)</f>
        <v>41401.897523148145</v>
      </c>
      <c r="C1803">
        <v>90</v>
      </c>
      <c r="D1803">
        <v>89.952400208</v>
      </c>
      <c r="E1803">
        <v>60</v>
      </c>
      <c r="F1803">
        <v>59.252460480000003</v>
      </c>
      <c r="G1803">
        <v>1383.9650879000001</v>
      </c>
      <c r="H1803">
        <v>1370.0241699000001</v>
      </c>
      <c r="I1803">
        <v>1294.5401611</v>
      </c>
      <c r="J1803">
        <v>1278.2283935999999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1103.1079110000001</v>
      </c>
      <c r="B1804" s="1">
        <f>DATE(2013,5,8) + TIME(2,35,23)</f>
        <v>41402.107905092591</v>
      </c>
      <c r="C1804">
        <v>90</v>
      </c>
      <c r="D1804">
        <v>89.952774047999995</v>
      </c>
      <c r="E1804">
        <v>60</v>
      </c>
      <c r="F1804">
        <v>59.233924866000002</v>
      </c>
      <c r="G1804">
        <v>1383.9127197</v>
      </c>
      <c r="H1804">
        <v>1369.9840088000001</v>
      </c>
      <c r="I1804">
        <v>1294.5358887</v>
      </c>
      <c r="J1804">
        <v>1278.2229004000001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1103.3214359999999</v>
      </c>
      <c r="B1805" s="1">
        <f>DATE(2013,5,8) + TIME(7,42,52)</f>
        <v>41402.321435185186</v>
      </c>
      <c r="C1805">
        <v>90</v>
      </c>
      <c r="D1805">
        <v>89.953086853000002</v>
      </c>
      <c r="E1805">
        <v>60</v>
      </c>
      <c r="F1805">
        <v>59.215175629000001</v>
      </c>
      <c r="G1805">
        <v>1383.8609618999999</v>
      </c>
      <c r="H1805">
        <v>1369.9443358999999</v>
      </c>
      <c r="I1805">
        <v>1294.5314940999999</v>
      </c>
      <c r="J1805">
        <v>1278.2172852000001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1103.5371319999999</v>
      </c>
      <c r="B1806" s="1">
        <f>DATE(2013,5,8) + TIME(12,53,28)</f>
        <v>41402.537129629629</v>
      </c>
      <c r="C1806">
        <v>90</v>
      </c>
      <c r="D1806">
        <v>89.953338622999993</v>
      </c>
      <c r="E1806">
        <v>60</v>
      </c>
      <c r="F1806">
        <v>59.196277618000003</v>
      </c>
      <c r="G1806">
        <v>1383.8096923999999</v>
      </c>
      <c r="H1806">
        <v>1369.9051514</v>
      </c>
      <c r="I1806">
        <v>1294.5270995999999</v>
      </c>
      <c r="J1806">
        <v>1278.2116699000001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1103.755394</v>
      </c>
      <c r="B1807" s="1">
        <f>DATE(2013,5,8) + TIME(18,7,46)</f>
        <v>41402.755393518521</v>
      </c>
      <c r="C1807">
        <v>90</v>
      </c>
      <c r="D1807">
        <v>89.953536987000007</v>
      </c>
      <c r="E1807">
        <v>60</v>
      </c>
      <c r="F1807">
        <v>59.177207946999999</v>
      </c>
      <c r="G1807">
        <v>1383.7590332</v>
      </c>
      <c r="H1807">
        <v>1369.8664550999999</v>
      </c>
      <c r="I1807">
        <v>1294.5227050999999</v>
      </c>
      <c r="J1807">
        <v>1278.2059326000001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1103.976613</v>
      </c>
      <c r="B1808" s="1">
        <f>DATE(2013,5,8) + TIME(23,26,19)</f>
        <v>41402.9766087963</v>
      </c>
      <c r="C1808">
        <v>90</v>
      </c>
      <c r="D1808">
        <v>89.953712463000002</v>
      </c>
      <c r="E1808">
        <v>60</v>
      </c>
      <c r="F1808">
        <v>59.157951355000002</v>
      </c>
      <c r="G1808">
        <v>1383.7091064000001</v>
      </c>
      <c r="H1808">
        <v>1369.8282471</v>
      </c>
      <c r="I1808">
        <v>1294.5181885</v>
      </c>
      <c r="J1808">
        <v>1278.2000731999999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1104.2012629999999</v>
      </c>
      <c r="B1809" s="1">
        <f>DATE(2013,5,9) + TIME(4,49,49)</f>
        <v>41403.201261574075</v>
      </c>
      <c r="C1809">
        <v>90</v>
      </c>
      <c r="D1809">
        <v>89.953849792</v>
      </c>
      <c r="E1809">
        <v>60</v>
      </c>
      <c r="F1809">
        <v>59.138473511000001</v>
      </c>
      <c r="G1809">
        <v>1383.6595459</v>
      </c>
      <c r="H1809">
        <v>1369.7905272999999</v>
      </c>
      <c r="I1809">
        <v>1294.5136719</v>
      </c>
      <c r="J1809">
        <v>1278.1942139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1104.429791</v>
      </c>
      <c r="B1810" s="1">
        <f>DATE(2013,5,9) + TIME(10,18,53)</f>
        <v>41403.429780092592</v>
      </c>
      <c r="C1810">
        <v>90</v>
      </c>
      <c r="D1810">
        <v>89.953964232999994</v>
      </c>
      <c r="E1810">
        <v>60</v>
      </c>
      <c r="F1810">
        <v>59.118743895999998</v>
      </c>
      <c r="G1810">
        <v>1383.6103516000001</v>
      </c>
      <c r="H1810">
        <v>1369.7530518000001</v>
      </c>
      <c r="I1810">
        <v>1294.5090332</v>
      </c>
      <c r="J1810">
        <v>1278.1882324000001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1104.6625630000001</v>
      </c>
      <c r="B1811" s="1">
        <f>DATE(2013,5,9) + TIME(15,54,5)</f>
        <v>41403.662557870368</v>
      </c>
      <c r="C1811">
        <v>90</v>
      </c>
      <c r="D1811">
        <v>89.954055785999998</v>
      </c>
      <c r="E1811">
        <v>60</v>
      </c>
      <c r="F1811">
        <v>59.098739623999997</v>
      </c>
      <c r="G1811">
        <v>1383.5615233999999</v>
      </c>
      <c r="H1811">
        <v>1369.7158202999999</v>
      </c>
      <c r="I1811">
        <v>1294.5042725000001</v>
      </c>
      <c r="J1811">
        <v>1278.1821289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1104.9000599999999</v>
      </c>
      <c r="B1812" s="1">
        <f>DATE(2013,5,9) + TIME(21,36,5)</f>
        <v>41403.900057870371</v>
      </c>
      <c r="C1812">
        <v>90</v>
      </c>
      <c r="D1812">
        <v>89.954132079999994</v>
      </c>
      <c r="E1812">
        <v>60</v>
      </c>
      <c r="F1812">
        <v>59.078426360999998</v>
      </c>
      <c r="G1812">
        <v>1383.5128173999999</v>
      </c>
      <c r="H1812">
        <v>1369.6787108999999</v>
      </c>
      <c r="I1812">
        <v>1294.4995117000001</v>
      </c>
      <c r="J1812">
        <v>1278.1757812000001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1105.1427940000001</v>
      </c>
      <c r="B1813" s="1">
        <f>DATE(2013,5,10) + TIME(3,25,37)</f>
        <v>41404.142789351848</v>
      </c>
      <c r="C1813">
        <v>90</v>
      </c>
      <c r="D1813">
        <v>89.954193114999995</v>
      </c>
      <c r="E1813">
        <v>60</v>
      </c>
      <c r="F1813">
        <v>59.057769774999997</v>
      </c>
      <c r="G1813">
        <v>1383.4641113</v>
      </c>
      <c r="H1813">
        <v>1369.6418457</v>
      </c>
      <c r="I1813">
        <v>1294.4945068</v>
      </c>
      <c r="J1813">
        <v>1278.1694336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1105.391302</v>
      </c>
      <c r="B1814" s="1">
        <f>DATE(2013,5,10) + TIME(9,23,28)</f>
        <v>41404.391296296293</v>
      </c>
      <c r="C1814">
        <v>90</v>
      </c>
      <c r="D1814">
        <v>89.954246521000002</v>
      </c>
      <c r="E1814">
        <v>60</v>
      </c>
      <c r="F1814">
        <v>59.036731719999999</v>
      </c>
      <c r="G1814">
        <v>1383.4154053</v>
      </c>
      <c r="H1814">
        <v>1369.6048584</v>
      </c>
      <c r="I1814">
        <v>1294.4895019999999</v>
      </c>
      <c r="J1814">
        <v>1278.1629639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1105.6461730000001</v>
      </c>
      <c r="B1815" s="1">
        <f>DATE(2013,5,10) + TIME(15,30,29)</f>
        <v>41404.646168981482</v>
      </c>
      <c r="C1815">
        <v>90</v>
      </c>
      <c r="D1815">
        <v>89.954284668</v>
      </c>
      <c r="E1815">
        <v>60</v>
      </c>
      <c r="F1815">
        <v>59.015266418000003</v>
      </c>
      <c r="G1815">
        <v>1383.3666992000001</v>
      </c>
      <c r="H1815">
        <v>1369.5678711</v>
      </c>
      <c r="I1815">
        <v>1294.484375</v>
      </c>
      <c r="J1815">
        <v>1278.15625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1105.9081140000001</v>
      </c>
      <c r="B1816" s="1">
        <f>DATE(2013,5,10) + TIME(21,47,41)</f>
        <v>41404.908113425925</v>
      </c>
      <c r="C1816">
        <v>90</v>
      </c>
      <c r="D1816">
        <v>89.954315186000002</v>
      </c>
      <c r="E1816">
        <v>60</v>
      </c>
      <c r="F1816">
        <v>58.993331908999998</v>
      </c>
      <c r="G1816">
        <v>1383.317749</v>
      </c>
      <c r="H1816">
        <v>1369.5308838000001</v>
      </c>
      <c r="I1816">
        <v>1294.4790039</v>
      </c>
      <c r="J1816">
        <v>1278.1494141000001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1106.177866</v>
      </c>
      <c r="B1817" s="1">
        <f>DATE(2013,5,11) + TIME(4,16,7)</f>
        <v>41405.177858796298</v>
      </c>
      <c r="C1817">
        <v>90</v>
      </c>
      <c r="D1817">
        <v>89.954338074000006</v>
      </c>
      <c r="E1817">
        <v>60</v>
      </c>
      <c r="F1817">
        <v>58.970874786000003</v>
      </c>
      <c r="G1817">
        <v>1383.2685547000001</v>
      </c>
      <c r="H1817">
        <v>1369.4936522999999</v>
      </c>
      <c r="I1817">
        <v>1294.4736327999999</v>
      </c>
      <c r="J1817">
        <v>1278.1423339999999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1106.4556419999999</v>
      </c>
      <c r="B1818" s="1">
        <f>DATE(2013,5,11) + TIME(10,56,7)</f>
        <v>41405.455636574072</v>
      </c>
      <c r="C1818">
        <v>90</v>
      </c>
      <c r="D1818">
        <v>89.954360961999996</v>
      </c>
      <c r="E1818">
        <v>60</v>
      </c>
      <c r="F1818">
        <v>58.947875977000002</v>
      </c>
      <c r="G1818">
        <v>1383.2188721</v>
      </c>
      <c r="H1818">
        <v>1369.4560547000001</v>
      </c>
      <c r="I1818">
        <v>1294.4680175999999</v>
      </c>
      <c r="J1818">
        <v>1278.1350098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1106.7383709999999</v>
      </c>
      <c r="B1819" s="1">
        <f>DATE(2013,5,11) + TIME(17,43,15)</f>
        <v>41405.738368055558</v>
      </c>
      <c r="C1819">
        <v>90</v>
      </c>
      <c r="D1819">
        <v>89.954368591000005</v>
      </c>
      <c r="E1819">
        <v>60</v>
      </c>
      <c r="F1819">
        <v>58.924518585000001</v>
      </c>
      <c r="G1819">
        <v>1383.1688231999999</v>
      </c>
      <c r="H1819">
        <v>1369.4183350000001</v>
      </c>
      <c r="I1819">
        <v>1294.4621582</v>
      </c>
      <c r="J1819">
        <v>1278.1275635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1107.0261680000001</v>
      </c>
      <c r="B1820" s="1">
        <f>DATE(2013,5,12) + TIME(0,37,40)</f>
        <v>41406.02615740741</v>
      </c>
      <c r="C1820">
        <v>90</v>
      </c>
      <c r="D1820">
        <v>89.954376221000004</v>
      </c>
      <c r="E1820">
        <v>60</v>
      </c>
      <c r="F1820">
        <v>58.900806426999999</v>
      </c>
      <c r="G1820">
        <v>1383.1190185999999</v>
      </c>
      <c r="H1820">
        <v>1369.3807373</v>
      </c>
      <c r="I1820">
        <v>1294.4561768000001</v>
      </c>
      <c r="J1820">
        <v>1278.1198730000001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1107.3196929999999</v>
      </c>
      <c r="B1821" s="1">
        <f>DATE(2013,5,12) + TIME(7,40,21)</f>
        <v>41406.319687499999</v>
      </c>
      <c r="C1821">
        <v>90</v>
      </c>
      <c r="D1821">
        <v>89.954376221000004</v>
      </c>
      <c r="E1821">
        <v>60</v>
      </c>
      <c r="F1821">
        <v>58.876712799000003</v>
      </c>
      <c r="G1821">
        <v>1383.0693358999999</v>
      </c>
      <c r="H1821">
        <v>1369.3432617000001</v>
      </c>
      <c r="I1821">
        <v>1294.4500731999999</v>
      </c>
      <c r="J1821">
        <v>1278.1120605000001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1107.619314</v>
      </c>
      <c r="B1822" s="1">
        <f>DATE(2013,5,12) + TIME(14,51,48)</f>
        <v>41406.619305555556</v>
      </c>
      <c r="C1822">
        <v>90</v>
      </c>
      <c r="D1822">
        <v>89.954368591000005</v>
      </c>
      <c r="E1822">
        <v>60</v>
      </c>
      <c r="F1822">
        <v>58.852214813000003</v>
      </c>
      <c r="G1822">
        <v>1383.0196533000001</v>
      </c>
      <c r="H1822">
        <v>1369.3057861</v>
      </c>
      <c r="I1822">
        <v>1294.4439697</v>
      </c>
      <c r="J1822">
        <v>1278.104126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1107.9256109999999</v>
      </c>
      <c r="B1823" s="1">
        <f>DATE(2013,5,12) + TIME(22,12,52)</f>
        <v>41406.92560185185</v>
      </c>
      <c r="C1823">
        <v>90</v>
      </c>
      <c r="D1823">
        <v>89.954360961999996</v>
      </c>
      <c r="E1823">
        <v>60</v>
      </c>
      <c r="F1823">
        <v>58.827285766999999</v>
      </c>
      <c r="G1823">
        <v>1382.9700928</v>
      </c>
      <c r="H1823">
        <v>1369.2684326000001</v>
      </c>
      <c r="I1823">
        <v>1294.4376221</v>
      </c>
      <c r="J1823">
        <v>1278.0959473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1108.2392159999999</v>
      </c>
      <c r="B1824" s="1">
        <f>DATE(2013,5,13) + TIME(5,44,28)</f>
        <v>41407.239212962966</v>
      </c>
      <c r="C1824">
        <v>90</v>
      </c>
      <c r="D1824">
        <v>89.954353333</v>
      </c>
      <c r="E1824">
        <v>60</v>
      </c>
      <c r="F1824">
        <v>58.801883697999997</v>
      </c>
      <c r="G1824">
        <v>1382.9204102000001</v>
      </c>
      <c r="H1824">
        <v>1369.2310791</v>
      </c>
      <c r="I1824">
        <v>1294.4311522999999</v>
      </c>
      <c r="J1824">
        <v>1278.0875243999999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1108.557888</v>
      </c>
      <c r="B1825" s="1">
        <f>DATE(2013,5,13) + TIME(13,23,21)</f>
        <v>41407.557881944442</v>
      </c>
      <c r="C1825">
        <v>90</v>
      </c>
      <c r="D1825">
        <v>89.954338074000006</v>
      </c>
      <c r="E1825">
        <v>60</v>
      </c>
      <c r="F1825">
        <v>58.776142120000003</v>
      </c>
      <c r="G1825">
        <v>1382.8704834</v>
      </c>
      <c r="H1825">
        <v>1369.1936035000001</v>
      </c>
      <c r="I1825">
        <v>1294.4244385</v>
      </c>
      <c r="J1825">
        <v>1278.0789795000001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1108.8796050000001</v>
      </c>
      <c r="B1826" s="1">
        <f>DATE(2013,5,13) + TIME(21,6,37)</f>
        <v>41407.879594907405</v>
      </c>
      <c r="C1826">
        <v>90</v>
      </c>
      <c r="D1826">
        <v>89.954322814999998</v>
      </c>
      <c r="E1826">
        <v>60</v>
      </c>
      <c r="F1826">
        <v>58.750186919999997</v>
      </c>
      <c r="G1826">
        <v>1382.8209228999999</v>
      </c>
      <c r="H1826">
        <v>1369.1563721</v>
      </c>
      <c r="I1826">
        <v>1294.4176024999999</v>
      </c>
      <c r="J1826">
        <v>1278.0703125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1109.2050240000001</v>
      </c>
      <c r="B1827" s="1">
        <f>DATE(2013,5,14) + TIME(4,55,14)</f>
        <v>41408.205023148148</v>
      </c>
      <c r="C1827">
        <v>90</v>
      </c>
      <c r="D1827">
        <v>89.954307556000003</v>
      </c>
      <c r="E1827">
        <v>60</v>
      </c>
      <c r="F1827">
        <v>58.724002837999997</v>
      </c>
      <c r="G1827">
        <v>1382.7717285000001</v>
      </c>
      <c r="H1827">
        <v>1369.1195068</v>
      </c>
      <c r="I1827">
        <v>1294.4107666</v>
      </c>
      <c r="J1827">
        <v>1278.0614014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1109.5350080000001</v>
      </c>
      <c r="B1828" s="1">
        <f>DATE(2013,5,14) + TIME(12,50,24)</f>
        <v>41408.535000000003</v>
      </c>
      <c r="C1828">
        <v>90</v>
      </c>
      <c r="D1828">
        <v>89.954284668</v>
      </c>
      <c r="E1828">
        <v>60</v>
      </c>
      <c r="F1828">
        <v>58.697555542000003</v>
      </c>
      <c r="G1828">
        <v>1382.7231445</v>
      </c>
      <c r="H1828">
        <v>1369.0830077999999</v>
      </c>
      <c r="I1828">
        <v>1294.4038086</v>
      </c>
      <c r="J1828">
        <v>1278.0524902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1109.8700160000001</v>
      </c>
      <c r="B1829" s="1">
        <f>DATE(2013,5,14) + TIME(20,52,49)</f>
        <v>41408.870011574072</v>
      </c>
      <c r="C1829">
        <v>90</v>
      </c>
      <c r="D1829">
        <v>89.954269409000005</v>
      </c>
      <c r="E1829">
        <v>60</v>
      </c>
      <c r="F1829">
        <v>58.670818328999999</v>
      </c>
      <c r="G1829">
        <v>1382.6746826000001</v>
      </c>
      <c r="H1829">
        <v>1369.0466309000001</v>
      </c>
      <c r="I1829">
        <v>1294.3967285000001</v>
      </c>
      <c r="J1829">
        <v>1278.0433350000001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1110.2107490000001</v>
      </c>
      <c r="B1830" s="1">
        <f>DATE(2013,5,15) + TIME(5,3,28)</f>
        <v>41409.210740740738</v>
      </c>
      <c r="C1830">
        <v>90</v>
      </c>
      <c r="D1830">
        <v>89.954246521000002</v>
      </c>
      <c r="E1830">
        <v>60</v>
      </c>
      <c r="F1830">
        <v>58.643753052000001</v>
      </c>
      <c r="G1830">
        <v>1382.6264647999999</v>
      </c>
      <c r="H1830">
        <v>1369.0104980000001</v>
      </c>
      <c r="I1830">
        <v>1294.3895264</v>
      </c>
      <c r="J1830">
        <v>1278.0340576000001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1110.556992</v>
      </c>
      <c r="B1831" s="1">
        <f>DATE(2013,5,15) + TIME(13,22,4)</f>
        <v>41409.556990740741</v>
      </c>
      <c r="C1831">
        <v>90</v>
      </c>
      <c r="D1831">
        <v>89.954223632999998</v>
      </c>
      <c r="E1831">
        <v>60</v>
      </c>
      <c r="F1831">
        <v>58.616378783999998</v>
      </c>
      <c r="G1831">
        <v>1382.5783690999999</v>
      </c>
      <c r="H1831">
        <v>1368.9744873</v>
      </c>
      <c r="I1831">
        <v>1294.3822021000001</v>
      </c>
      <c r="J1831">
        <v>1278.0245361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1110.9073820000001</v>
      </c>
      <c r="B1832" s="1">
        <f>DATE(2013,5,15) + TIME(21,46,37)</f>
        <v>41409.907372685186</v>
      </c>
      <c r="C1832">
        <v>90</v>
      </c>
      <c r="D1832">
        <v>89.954200744999994</v>
      </c>
      <c r="E1832">
        <v>60</v>
      </c>
      <c r="F1832">
        <v>58.588760376000003</v>
      </c>
      <c r="G1832">
        <v>1382.5302733999999</v>
      </c>
      <c r="H1832">
        <v>1368.9384766000001</v>
      </c>
      <c r="I1832">
        <v>1294.3746338000001</v>
      </c>
      <c r="J1832">
        <v>1278.0148925999999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1111.2625829999999</v>
      </c>
      <c r="B1833" s="1">
        <f>DATE(2013,5,16) + TIME(6,18,7)</f>
        <v>41410.26258101852</v>
      </c>
      <c r="C1833">
        <v>90</v>
      </c>
      <c r="D1833">
        <v>89.954177856000001</v>
      </c>
      <c r="E1833">
        <v>60</v>
      </c>
      <c r="F1833">
        <v>58.560878754000001</v>
      </c>
      <c r="G1833">
        <v>1382.4826660000001</v>
      </c>
      <c r="H1833">
        <v>1368.902832</v>
      </c>
      <c r="I1833">
        <v>1294.3670654</v>
      </c>
      <c r="J1833">
        <v>1278.0051269999999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1111.6234549999999</v>
      </c>
      <c r="B1834" s="1">
        <f>DATE(2013,5,16) + TIME(14,57,46)</f>
        <v>41410.623449074075</v>
      </c>
      <c r="C1834">
        <v>90</v>
      </c>
      <c r="D1834">
        <v>89.954154967999997</v>
      </c>
      <c r="E1834">
        <v>60</v>
      </c>
      <c r="F1834">
        <v>58.532688141000001</v>
      </c>
      <c r="G1834">
        <v>1382.4353027</v>
      </c>
      <c r="H1834">
        <v>1368.8674315999999</v>
      </c>
      <c r="I1834">
        <v>1294.359375</v>
      </c>
      <c r="J1834">
        <v>1277.9952393000001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1111.990603</v>
      </c>
      <c r="B1835" s="1">
        <f>DATE(2013,5,16) + TIME(23,46,28)</f>
        <v>41410.990601851852</v>
      </c>
      <c r="C1835">
        <v>90</v>
      </c>
      <c r="D1835">
        <v>89.954124450999998</v>
      </c>
      <c r="E1835">
        <v>60</v>
      </c>
      <c r="F1835">
        <v>58.504154204999999</v>
      </c>
      <c r="G1835">
        <v>1382.3879394999999</v>
      </c>
      <c r="H1835">
        <v>1368.8320312000001</v>
      </c>
      <c r="I1835">
        <v>1294.3514404</v>
      </c>
      <c r="J1835">
        <v>1277.9851074000001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1112.364728</v>
      </c>
      <c r="B1836" s="1">
        <f>DATE(2013,5,17) + TIME(8,45,12)</f>
        <v>41411.364722222221</v>
      </c>
      <c r="C1836">
        <v>90</v>
      </c>
      <c r="D1836">
        <v>89.954101562000005</v>
      </c>
      <c r="E1836">
        <v>60</v>
      </c>
      <c r="F1836">
        <v>58.475234985</v>
      </c>
      <c r="G1836">
        <v>1382.3406981999999</v>
      </c>
      <c r="H1836">
        <v>1368.7966309000001</v>
      </c>
      <c r="I1836">
        <v>1294.3433838000001</v>
      </c>
      <c r="J1836">
        <v>1277.9747314000001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1112.7466449999999</v>
      </c>
      <c r="B1837" s="1">
        <f>DATE(2013,5,17) + TIME(17,55,10)</f>
        <v>41411.74664351852</v>
      </c>
      <c r="C1837">
        <v>90</v>
      </c>
      <c r="D1837">
        <v>89.954078674000002</v>
      </c>
      <c r="E1837">
        <v>60</v>
      </c>
      <c r="F1837">
        <v>58.445880889999998</v>
      </c>
      <c r="G1837">
        <v>1382.293457</v>
      </c>
      <c r="H1837">
        <v>1368.7613524999999</v>
      </c>
      <c r="I1837">
        <v>1294.3352050999999</v>
      </c>
      <c r="J1837">
        <v>1277.9641113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1113.137236</v>
      </c>
      <c r="B1838" s="1">
        <f>DATE(2013,5,18) + TIME(3,17,37)</f>
        <v>41412.137233796297</v>
      </c>
      <c r="C1838">
        <v>90</v>
      </c>
      <c r="D1838">
        <v>89.954048157000003</v>
      </c>
      <c r="E1838">
        <v>60</v>
      </c>
      <c r="F1838">
        <v>58.416038512999997</v>
      </c>
      <c r="G1838">
        <v>1382.2460937999999</v>
      </c>
      <c r="H1838">
        <v>1368.7259521000001</v>
      </c>
      <c r="I1838">
        <v>1294.3269043</v>
      </c>
      <c r="J1838">
        <v>1277.9532471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1113.537403</v>
      </c>
      <c r="B1839" s="1">
        <f>DATE(2013,5,18) + TIME(12,53,51)</f>
        <v>41412.537395833337</v>
      </c>
      <c r="C1839">
        <v>90</v>
      </c>
      <c r="D1839">
        <v>89.954025268999999</v>
      </c>
      <c r="E1839">
        <v>60</v>
      </c>
      <c r="F1839">
        <v>58.385654449</v>
      </c>
      <c r="G1839">
        <v>1382.1984863</v>
      </c>
      <c r="H1839">
        <v>1368.6903076000001</v>
      </c>
      <c r="I1839">
        <v>1294.3182373</v>
      </c>
      <c r="J1839">
        <v>1277.9421387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1113.9448130000001</v>
      </c>
      <c r="B1840" s="1">
        <f>DATE(2013,5,18) + TIME(22,40,31)</f>
        <v>41412.944803240738</v>
      </c>
      <c r="C1840">
        <v>90</v>
      </c>
      <c r="D1840">
        <v>89.953994750999996</v>
      </c>
      <c r="E1840">
        <v>60</v>
      </c>
      <c r="F1840">
        <v>58.354827880999999</v>
      </c>
      <c r="G1840">
        <v>1382.1505127</v>
      </c>
      <c r="H1840">
        <v>1368.6545410000001</v>
      </c>
      <c r="I1840">
        <v>1294.3093262</v>
      </c>
      <c r="J1840">
        <v>1277.9307861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1114.358663</v>
      </c>
      <c r="B1841" s="1">
        <f>DATE(2013,5,19) + TIME(8,36,28)</f>
        <v>41413.358657407407</v>
      </c>
      <c r="C1841">
        <v>90</v>
      </c>
      <c r="D1841">
        <v>89.953971863000007</v>
      </c>
      <c r="E1841">
        <v>60</v>
      </c>
      <c r="F1841">
        <v>58.323619843000003</v>
      </c>
      <c r="G1841">
        <v>1382.1026611</v>
      </c>
      <c r="H1841">
        <v>1368.6187743999999</v>
      </c>
      <c r="I1841">
        <v>1294.300293</v>
      </c>
      <c r="J1841">
        <v>1277.9190673999999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1114.7796969999999</v>
      </c>
      <c r="B1842" s="1">
        <f>DATE(2013,5,19) + TIME(18,42,45)</f>
        <v>41413.779687499999</v>
      </c>
      <c r="C1842">
        <v>90</v>
      </c>
      <c r="D1842">
        <v>89.953941345000004</v>
      </c>
      <c r="E1842">
        <v>60</v>
      </c>
      <c r="F1842">
        <v>58.292003631999997</v>
      </c>
      <c r="G1842">
        <v>1382.0548096</v>
      </c>
      <c r="H1842">
        <v>1368.5830077999999</v>
      </c>
      <c r="I1842">
        <v>1294.2910156</v>
      </c>
      <c r="J1842">
        <v>1277.9072266000001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1115.204414</v>
      </c>
      <c r="B1843" s="1">
        <f>DATE(2013,5,20) + TIME(4,54,21)</f>
        <v>41414.204409722224</v>
      </c>
      <c r="C1843">
        <v>90</v>
      </c>
      <c r="D1843">
        <v>89.953918457</v>
      </c>
      <c r="E1843">
        <v>60</v>
      </c>
      <c r="F1843">
        <v>58.260158539000003</v>
      </c>
      <c r="G1843">
        <v>1382.0070800999999</v>
      </c>
      <c r="H1843">
        <v>1368.5473632999999</v>
      </c>
      <c r="I1843">
        <v>1294.2816161999999</v>
      </c>
      <c r="J1843">
        <v>1277.8950195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1115.6330869999999</v>
      </c>
      <c r="B1844" s="1">
        <f>DATE(2013,5,20) + TIME(15,11,38)</f>
        <v>41414.6330787037</v>
      </c>
      <c r="C1844">
        <v>90</v>
      </c>
      <c r="D1844">
        <v>89.953887938999998</v>
      </c>
      <c r="E1844">
        <v>60</v>
      </c>
      <c r="F1844">
        <v>58.228107452000003</v>
      </c>
      <c r="G1844">
        <v>1381.9597168</v>
      </c>
      <c r="H1844">
        <v>1368.5119629000001</v>
      </c>
      <c r="I1844">
        <v>1294.2720947</v>
      </c>
      <c r="J1844">
        <v>1277.8826904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1116.0666209999999</v>
      </c>
      <c r="B1845" s="1">
        <f>DATE(2013,5,21) + TIME(1,35,56)</f>
        <v>41415.066620370373</v>
      </c>
      <c r="C1845">
        <v>90</v>
      </c>
      <c r="D1845">
        <v>89.953865050999994</v>
      </c>
      <c r="E1845">
        <v>60</v>
      </c>
      <c r="F1845">
        <v>58.195823668999999</v>
      </c>
      <c r="G1845">
        <v>1381.9127197</v>
      </c>
      <c r="H1845">
        <v>1368.4769286999999</v>
      </c>
      <c r="I1845">
        <v>1294.2624512</v>
      </c>
      <c r="J1845">
        <v>1277.8702393000001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1116.5057710000001</v>
      </c>
      <c r="B1846" s="1">
        <f>DATE(2013,5,21) + TIME(12,8,18)</f>
        <v>41415.50576388889</v>
      </c>
      <c r="C1846">
        <v>90</v>
      </c>
      <c r="D1846">
        <v>89.953842163000004</v>
      </c>
      <c r="E1846">
        <v>60</v>
      </c>
      <c r="F1846">
        <v>58.163276672000002</v>
      </c>
      <c r="G1846">
        <v>1381.8659668</v>
      </c>
      <c r="H1846">
        <v>1368.4420166</v>
      </c>
      <c r="I1846">
        <v>1294.2525635</v>
      </c>
      <c r="J1846">
        <v>1277.8575439000001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1116.951474</v>
      </c>
      <c r="B1847" s="1">
        <f>DATE(2013,5,21) + TIME(22,50,7)</f>
        <v>41415.951469907406</v>
      </c>
      <c r="C1847">
        <v>90</v>
      </c>
      <c r="D1847">
        <v>89.953811646000005</v>
      </c>
      <c r="E1847">
        <v>60</v>
      </c>
      <c r="F1847">
        <v>58.130424499999997</v>
      </c>
      <c r="G1847">
        <v>1381.8194579999999</v>
      </c>
      <c r="H1847">
        <v>1368.4072266000001</v>
      </c>
      <c r="I1847">
        <v>1294.2426757999999</v>
      </c>
      <c r="J1847">
        <v>1277.8447266000001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1117.4047149999999</v>
      </c>
      <c r="B1848" s="1">
        <f>DATE(2013,5,22) + TIME(9,42,47)</f>
        <v>41416.404710648145</v>
      </c>
      <c r="C1848">
        <v>90</v>
      </c>
      <c r="D1848">
        <v>89.953788756999998</v>
      </c>
      <c r="E1848">
        <v>60</v>
      </c>
      <c r="F1848">
        <v>58.097213744999998</v>
      </c>
      <c r="G1848">
        <v>1381.7729492000001</v>
      </c>
      <c r="H1848">
        <v>1368.3725586</v>
      </c>
      <c r="I1848">
        <v>1294.2324219</v>
      </c>
      <c r="J1848">
        <v>1277.831543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1117.866501</v>
      </c>
      <c r="B1849" s="1">
        <f>DATE(2013,5,22) + TIME(20,47,45)</f>
        <v>41416.866493055553</v>
      </c>
      <c r="C1849">
        <v>90</v>
      </c>
      <c r="D1849">
        <v>89.953765868999994</v>
      </c>
      <c r="E1849">
        <v>60</v>
      </c>
      <c r="F1849">
        <v>58.063583373999997</v>
      </c>
      <c r="G1849">
        <v>1381.7265625</v>
      </c>
      <c r="H1849">
        <v>1368.3378906</v>
      </c>
      <c r="I1849">
        <v>1294.2220459</v>
      </c>
      <c r="J1849">
        <v>1277.8181152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1118.3350660000001</v>
      </c>
      <c r="B1850" s="1">
        <f>DATE(2013,5,23) + TIME(8,2,29)</f>
        <v>41417.335057870368</v>
      </c>
      <c r="C1850">
        <v>90</v>
      </c>
      <c r="D1850">
        <v>89.953735351999995</v>
      </c>
      <c r="E1850">
        <v>60</v>
      </c>
      <c r="F1850">
        <v>58.029605865000001</v>
      </c>
      <c r="G1850">
        <v>1381.6799315999999</v>
      </c>
      <c r="H1850">
        <v>1368.3031006000001</v>
      </c>
      <c r="I1850">
        <v>1294.2114257999999</v>
      </c>
      <c r="J1850">
        <v>1277.8043213000001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1118.808978</v>
      </c>
      <c r="B1851" s="1">
        <f>DATE(2013,5,23) + TIME(19,24,55)</f>
        <v>41417.808969907404</v>
      </c>
      <c r="C1851">
        <v>90</v>
      </c>
      <c r="D1851">
        <v>89.953712463000002</v>
      </c>
      <c r="E1851">
        <v>60</v>
      </c>
      <c r="F1851">
        <v>57.995353698999999</v>
      </c>
      <c r="G1851">
        <v>1381.6335449000001</v>
      </c>
      <c r="H1851">
        <v>1368.2683105000001</v>
      </c>
      <c r="I1851">
        <v>1294.2005615</v>
      </c>
      <c r="J1851">
        <v>1277.7902832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1119.2894220000001</v>
      </c>
      <c r="B1852" s="1">
        <f>DATE(2013,5,24) + TIME(6,56,46)</f>
        <v>41418.289421296293</v>
      </c>
      <c r="C1852">
        <v>90</v>
      </c>
      <c r="D1852">
        <v>89.953689574999999</v>
      </c>
      <c r="E1852">
        <v>60</v>
      </c>
      <c r="F1852">
        <v>57.960792542</v>
      </c>
      <c r="G1852">
        <v>1381.5872803</v>
      </c>
      <c r="H1852">
        <v>1368.2337646000001</v>
      </c>
      <c r="I1852">
        <v>1294.1895752</v>
      </c>
      <c r="J1852">
        <v>1277.776001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1119.777071</v>
      </c>
      <c r="B1853" s="1">
        <f>DATE(2013,5,24) + TIME(18,38,58)</f>
        <v>41418.777060185188</v>
      </c>
      <c r="C1853">
        <v>90</v>
      </c>
      <c r="D1853">
        <v>89.953666686999995</v>
      </c>
      <c r="E1853">
        <v>60</v>
      </c>
      <c r="F1853">
        <v>57.925891876000001</v>
      </c>
      <c r="G1853">
        <v>1381.5411377</v>
      </c>
      <c r="H1853">
        <v>1368.1992187999999</v>
      </c>
      <c r="I1853">
        <v>1294.1783447</v>
      </c>
      <c r="J1853">
        <v>1277.7614745999999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1120.272933</v>
      </c>
      <c r="B1854" s="1">
        <f>DATE(2013,5,25) + TIME(6,33,1)</f>
        <v>41419.272928240738</v>
      </c>
      <c r="C1854">
        <v>90</v>
      </c>
      <c r="D1854">
        <v>89.953643799000005</v>
      </c>
      <c r="E1854">
        <v>60</v>
      </c>
      <c r="F1854">
        <v>57.890605927000003</v>
      </c>
      <c r="G1854">
        <v>1381.4949951000001</v>
      </c>
      <c r="H1854">
        <v>1368.1647949000001</v>
      </c>
      <c r="I1854">
        <v>1294.1669922000001</v>
      </c>
      <c r="J1854">
        <v>1277.746582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1120.7780809999999</v>
      </c>
      <c r="B1855" s="1">
        <f>DATE(2013,5,25) + TIME(18,40,26)</f>
        <v>41419.778078703705</v>
      </c>
      <c r="C1855">
        <v>90</v>
      </c>
      <c r="D1855">
        <v>89.953620911000002</v>
      </c>
      <c r="E1855">
        <v>60</v>
      </c>
      <c r="F1855">
        <v>57.854877471999998</v>
      </c>
      <c r="G1855">
        <v>1381.4489745999999</v>
      </c>
      <c r="H1855">
        <v>1368.1303711</v>
      </c>
      <c r="I1855">
        <v>1294.1552733999999</v>
      </c>
      <c r="J1855">
        <v>1277.7314452999999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1121.2936769999999</v>
      </c>
      <c r="B1856" s="1">
        <f>DATE(2013,5,26) + TIME(7,2,53)</f>
        <v>41420.293668981481</v>
      </c>
      <c r="C1856">
        <v>90</v>
      </c>
      <c r="D1856">
        <v>89.953590392999999</v>
      </c>
      <c r="E1856">
        <v>60</v>
      </c>
      <c r="F1856">
        <v>57.818641663000001</v>
      </c>
      <c r="G1856">
        <v>1381.4027100000001</v>
      </c>
      <c r="H1856">
        <v>1368.0957031</v>
      </c>
      <c r="I1856">
        <v>1294.1433105000001</v>
      </c>
      <c r="J1856">
        <v>1277.7158202999999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1121.82087</v>
      </c>
      <c r="B1857" s="1">
        <f>DATE(2013,5,26) + TIME(19,42,3)</f>
        <v>41420.820868055554</v>
      </c>
      <c r="C1857">
        <v>90</v>
      </c>
      <c r="D1857">
        <v>89.953567504999995</v>
      </c>
      <c r="E1857">
        <v>60</v>
      </c>
      <c r="F1857">
        <v>57.781833648999999</v>
      </c>
      <c r="G1857">
        <v>1381.3562012</v>
      </c>
      <c r="H1857">
        <v>1368.0609131000001</v>
      </c>
      <c r="I1857">
        <v>1294.1309814000001</v>
      </c>
      <c r="J1857">
        <v>1277.6998291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1122.3611659999999</v>
      </c>
      <c r="B1858" s="1">
        <f>DATE(2013,5,27) + TIME(8,40,4)</f>
        <v>41421.361157407409</v>
      </c>
      <c r="C1858">
        <v>90</v>
      </c>
      <c r="D1858">
        <v>89.953544617000006</v>
      </c>
      <c r="E1858">
        <v>60</v>
      </c>
      <c r="F1858">
        <v>57.744365692000002</v>
      </c>
      <c r="G1858">
        <v>1381.3094481999999</v>
      </c>
      <c r="H1858">
        <v>1368.0258789</v>
      </c>
      <c r="I1858">
        <v>1294.1184082</v>
      </c>
      <c r="J1858">
        <v>1277.6833495999999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1122.9055980000001</v>
      </c>
      <c r="B1859" s="1">
        <f>DATE(2013,5,27) + TIME(21,44,3)</f>
        <v>41421.905590277776</v>
      </c>
      <c r="C1859">
        <v>90</v>
      </c>
      <c r="D1859">
        <v>89.953521729000002</v>
      </c>
      <c r="E1859">
        <v>60</v>
      </c>
      <c r="F1859">
        <v>57.706600189</v>
      </c>
      <c r="G1859">
        <v>1381.2623291</v>
      </c>
      <c r="H1859">
        <v>1367.9906006000001</v>
      </c>
      <c r="I1859">
        <v>1294.1053466999999</v>
      </c>
      <c r="J1859">
        <v>1277.6663818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1123.454571</v>
      </c>
      <c r="B1860" s="1">
        <f>DATE(2013,5,28) + TIME(10,54,34)</f>
        <v>41422.454560185186</v>
      </c>
      <c r="C1860">
        <v>90</v>
      </c>
      <c r="D1860">
        <v>89.953498839999995</v>
      </c>
      <c r="E1860">
        <v>60</v>
      </c>
      <c r="F1860">
        <v>57.668590545999997</v>
      </c>
      <c r="G1860">
        <v>1381.2154541</v>
      </c>
      <c r="H1860">
        <v>1367.9555664</v>
      </c>
      <c r="I1860">
        <v>1294.0921631000001</v>
      </c>
      <c r="J1860">
        <v>1277.6491699000001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1124.00909</v>
      </c>
      <c r="B1861" s="1">
        <f>DATE(2013,5,29) + TIME(0,13,5)</f>
        <v>41423.009085648147</v>
      </c>
      <c r="C1861">
        <v>90</v>
      </c>
      <c r="D1861">
        <v>89.953475952000005</v>
      </c>
      <c r="E1861">
        <v>60</v>
      </c>
      <c r="F1861">
        <v>57.630344391000001</v>
      </c>
      <c r="G1861">
        <v>1381.1689452999999</v>
      </c>
      <c r="H1861">
        <v>1367.9206543</v>
      </c>
      <c r="I1861">
        <v>1294.0787353999999</v>
      </c>
      <c r="J1861">
        <v>1277.6315918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1124.5702630000001</v>
      </c>
      <c r="B1862" s="1">
        <f>DATE(2013,5,29) + TIME(13,41,10)</f>
        <v>41423.570254629631</v>
      </c>
      <c r="C1862">
        <v>90</v>
      </c>
      <c r="D1862">
        <v>89.953460692999997</v>
      </c>
      <c r="E1862">
        <v>60</v>
      </c>
      <c r="F1862">
        <v>57.591831206999998</v>
      </c>
      <c r="G1862">
        <v>1381.1228027</v>
      </c>
      <c r="H1862">
        <v>1367.8859863</v>
      </c>
      <c r="I1862">
        <v>1294.0650635</v>
      </c>
      <c r="J1862">
        <v>1277.6137695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1125.139336</v>
      </c>
      <c r="B1863" s="1">
        <f>DATE(2013,5,30) + TIME(3,20,38)</f>
        <v>41424.139328703706</v>
      </c>
      <c r="C1863">
        <v>90</v>
      </c>
      <c r="D1863">
        <v>89.953437804999993</v>
      </c>
      <c r="E1863">
        <v>60</v>
      </c>
      <c r="F1863">
        <v>57.553001404</v>
      </c>
      <c r="G1863">
        <v>1381.0766602000001</v>
      </c>
      <c r="H1863">
        <v>1367.8514404</v>
      </c>
      <c r="I1863">
        <v>1294.0511475000001</v>
      </c>
      <c r="J1863">
        <v>1277.5955810999999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1125.7176159999999</v>
      </c>
      <c r="B1864" s="1">
        <f>DATE(2013,5,30) + TIME(17,13,22)</f>
        <v>41424.717615740738</v>
      </c>
      <c r="C1864">
        <v>90</v>
      </c>
      <c r="D1864">
        <v>89.953414917000003</v>
      </c>
      <c r="E1864">
        <v>60</v>
      </c>
      <c r="F1864">
        <v>57.513790131</v>
      </c>
      <c r="G1864">
        <v>1381.0306396000001</v>
      </c>
      <c r="H1864">
        <v>1367.8168945</v>
      </c>
      <c r="I1864">
        <v>1294.0369873</v>
      </c>
      <c r="J1864">
        <v>1277.5769043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1126.3040430000001</v>
      </c>
      <c r="B1865" s="1">
        <f>DATE(2013,5,31) + TIME(7,17,49)</f>
        <v>41425.304039351853</v>
      </c>
      <c r="C1865">
        <v>90</v>
      </c>
      <c r="D1865">
        <v>89.953392029</v>
      </c>
      <c r="E1865">
        <v>60</v>
      </c>
      <c r="F1865">
        <v>57.474220275999997</v>
      </c>
      <c r="G1865">
        <v>1380.9846190999999</v>
      </c>
      <c r="H1865">
        <v>1367.7822266000001</v>
      </c>
      <c r="I1865">
        <v>1294.0224608999999</v>
      </c>
      <c r="J1865">
        <v>1277.5578613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1126.8986</v>
      </c>
      <c r="B1866" s="1">
        <f>DATE(2013,5,31) + TIME(21,33,59)</f>
        <v>41425.898599537039</v>
      </c>
      <c r="C1866">
        <v>90</v>
      </c>
      <c r="D1866">
        <v>89.953376770000006</v>
      </c>
      <c r="E1866">
        <v>60</v>
      </c>
      <c r="F1866">
        <v>57.434299469000003</v>
      </c>
      <c r="G1866">
        <v>1380.9385986</v>
      </c>
      <c r="H1866">
        <v>1367.7476807</v>
      </c>
      <c r="I1866">
        <v>1294.0075684000001</v>
      </c>
      <c r="J1866">
        <v>1277.5383300999999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1127</v>
      </c>
      <c r="B1867" s="1">
        <f>DATE(2013,6,1) + TIME(0,0,0)</f>
        <v>41426</v>
      </c>
      <c r="C1867">
        <v>90</v>
      </c>
      <c r="D1867">
        <v>89.953361510999997</v>
      </c>
      <c r="E1867">
        <v>60</v>
      </c>
      <c r="F1867">
        <v>57.423988342000001</v>
      </c>
      <c r="G1867">
        <v>1380.8936768000001</v>
      </c>
      <c r="H1867">
        <v>1367.7141113</v>
      </c>
      <c r="I1867">
        <v>1293.9908447</v>
      </c>
      <c r="J1867">
        <v>1277.5214844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1127.6039539999999</v>
      </c>
      <c r="B1868" s="1">
        <f>DATE(2013,6,1) + TIME(14,29,41)</f>
        <v>41426.603946759256</v>
      </c>
      <c r="C1868">
        <v>90</v>
      </c>
      <c r="D1868">
        <v>89.953346252000003</v>
      </c>
      <c r="E1868">
        <v>60</v>
      </c>
      <c r="F1868">
        <v>57.385116576999998</v>
      </c>
      <c r="G1868">
        <v>1380.8845214999999</v>
      </c>
      <c r="H1868">
        <v>1367.7069091999999</v>
      </c>
      <c r="I1868">
        <v>1293.9898682</v>
      </c>
      <c r="J1868">
        <v>1277.5145264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1128.22064</v>
      </c>
      <c r="B1869" s="1">
        <f>DATE(2013,6,2) + TIME(5,17,43)</f>
        <v>41427.220636574071</v>
      </c>
      <c r="C1869">
        <v>90</v>
      </c>
      <c r="D1869">
        <v>89.953330993999998</v>
      </c>
      <c r="E1869">
        <v>60</v>
      </c>
      <c r="F1869">
        <v>57.345127106</v>
      </c>
      <c r="G1869">
        <v>1380.8388672000001</v>
      </c>
      <c r="H1869">
        <v>1367.6726074000001</v>
      </c>
      <c r="I1869">
        <v>1293.9743652</v>
      </c>
      <c r="J1869">
        <v>1277.4942627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1128.8471239999999</v>
      </c>
      <c r="B1870" s="1">
        <f>DATE(2013,6,2) + TIME(20,19,51)</f>
        <v>41427.847118055557</v>
      </c>
      <c r="C1870">
        <v>90</v>
      </c>
      <c r="D1870">
        <v>89.953308105000005</v>
      </c>
      <c r="E1870">
        <v>60</v>
      </c>
      <c r="F1870">
        <v>57.304325104</v>
      </c>
      <c r="G1870">
        <v>1380.7926024999999</v>
      </c>
      <c r="H1870">
        <v>1367.6378173999999</v>
      </c>
      <c r="I1870">
        <v>1293.958374</v>
      </c>
      <c r="J1870">
        <v>1277.4732666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1129.4824980000001</v>
      </c>
      <c r="B1871" s="1">
        <f>DATE(2013,6,3) + TIME(11,34,47)</f>
        <v>41428.482488425929</v>
      </c>
      <c r="C1871">
        <v>90</v>
      </c>
      <c r="D1871">
        <v>89.953292847</v>
      </c>
      <c r="E1871">
        <v>60</v>
      </c>
      <c r="F1871">
        <v>57.262889862000002</v>
      </c>
      <c r="G1871">
        <v>1380.7463379000001</v>
      </c>
      <c r="H1871">
        <v>1367.6029053</v>
      </c>
      <c r="I1871">
        <v>1293.9420166</v>
      </c>
      <c r="J1871">
        <v>1277.4515381000001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1130.1281509999999</v>
      </c>
      <c r="B1872" s="1">
        <f>DATE(2013,6,4) + TIME(3,4,32)</f>
        <v>41429.128148148149</v>
      </c>
      <c r="C1872">
        <v>90</v>
      </c>
      <c r="D1872">
        <v>89.953269958000007</v>
      </c>
      <c r="E1872">
        <v>60</v>
      </c>
      <c r="F1872">
        <v>57.220882416000002</v>
      </c>
      <c r="G1872">
        <v>1380.7000731999999</v>
      </c>
      <c r="H1872">
        <v>1367.5679932</v>
      </c>
      <c r="I1872">
        <v>1293.925293</v>
      </c>
      <c r="J1872">
        <v>1277.4294434000001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1130.7855489999999</v>
      </c>
      <c r="B1873" s="1">
        <f>DATE(2013,6,4) + TIME(18,51,11)</f>
        <v>41429.785543981481</v>
      </c>
      <c r="C1873">
        <v>90</v>
      </c>
      <c r="D1873">
        <v>89.953254700000002</v>
      </c>
      <c r="E1873">
        <v>60</v>
      </c>
      <c r="F1873">
        <v>57.178287505999997</v>
      </c>
      <c r="G1873">
        <v>1380.6538086</v>
      </c>
      <c r="H1873">
        <v>1367.5330810999999</v>
      </c>
      <c r="I1873">
        <v>1293.9080810999999</v>
      </c>
      <c r="J1873">
        <v>1277.4066161999999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1131.456228</v>
      </c>
      <c r="B1874" s="1">
        <f>DATE(2013,6,5) + TIME(10,56,58)</f>
        <v>41430.456226851849</v>
      </c>
      <c r="C1874">
        <v>90</v>
      </c>
      <c r="D1874">
        <v>89.953239440999994</v>
      </c>
      <c r="E1874">
        <v>60</v>
      </c>
      <c r="F1874">
        <v>57.135070800999998</v>
      </c>
      <c r="G1874">
        <v>1380.6072998</v>
      </c>
      <c r="H1874">
        <v>1367.4979248</v>
      </c>
      <c r="I1874">
        <v>1293.8905029</v>
      </c>
      <c r="J1874">
        <v>1277.3831786999999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1132.133092</v>
      </c>
      <c r="B1875" s="1">
        <f>DATE(2013,6,6) + TIME(3,11,39)</f>
        <v>41431.133090277777</v>
      </c>
      <c r="C1875">
        <v>90</v>
      </c>
      <c r="D1875">
        <v>89.953216553000004</v>
      </c>
      <c r="E1875">
        <v>60</v>
      </c>
      <c r="F1875">
        <v>57.091472625999998</v>
      </c>
      <c r="G1875">
        <v>1380.5605469</v>
      </c>
      <c r="H1875">
        <v>1367.4625243999999</v>
      </c>
      <c r="I1875">
        <v>1293.8723144999999</v>
      </c>
      <c r="J1875">
        <v>1277.3588867000001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1132.812167</v>
      </c>
      <c r="B1876" s="1">
        <f>DATE(2013,6,6) + TIME(19,29,31)</f>
        <v>41431.812164351853</v>
      </c>
      <c r="C1876">
        <v>90</v>
      </c>
      <c r="D1876">
        <v>89.953201293999996</v>
      </c>
      <c r="E1876">
        <v>60</v>
      </c>
      <c r="F1876">
        <v>57.047721863</v>
      </c>
      <c r="G1876">
        <v>1380.5139160000001</v>
      </c>
      <c r="H1876">
        <v>1367.4272461</v>
      </c>
      <c r="I1876">
        <v>1293.8537598</v>
      </c>
      <c r="J1876">
        <v>1277.3342285000001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1133.4948059999999</v>
      </c>
      <c r="B1877" s="1">
        <f>DATE(2013,6,7) + TIME(11,52,31)</f>
        <v>41432.494803240741</v>
      </c>
      <c r="C1877">
        <v>90</v>
      </c>
      <c r="D1877">
        <v>89.953186035000002</v>
      </c>
      <c r="E1877">
        <v>60</v>
      </c>
      <c r="F1877">
        <v>57.003871918000002</v>
      </c>
      <c r="G1877">
        <v>1380.4678954999999</v>
      </c>
      <c r="H1877">
        <v>1367.3924560999999</v>
      </c>
      <c r="I1877">
        <v>1293.8349608999999</v>
      </c>
      <c r="J1877">
        <v>1277.3092041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1134.18236</v>
      </c>
      <c r="B1878" s="1">
        <f>DATE(2013,6,8) + TIME(4,22,35)</f>
        <v>41433.182349537034</v>
      </c>
      <c r="C1878">
        <v>90</v>
      </c>
      <c r="D1878">
        <v>89.953170775999993</v>
      </c>
      <c r="E1878">
        <v>60</v>
      </c>
      <c r="F1878">
        <v>56.959903717000003</v>
      </c>
      <c r="G1878">
        <v>1380.4222411999999</v>
      </c>
      <c r="H1878">
        <v>1367.3577881000001</v>
      </c>
      <c r="I1878">
        <v>1293.815918</v>
      </c>
      <c r="J1878">
        <v>1277.2836914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1134.8763369999999</v>
      </c>
      <c r="B1879" s="1">
        <f>DATE(2013,6,8) + TIME(21,1,55)</f>
        <v>41433.876331018517</v>
      </c>
      <c r="C1879">
        <v>90</v>
      </c>
      <c r="D1879">
        <v>89.953147888000004</v>
      </c>
      <c r="E1879">
        <v>60</v>
      </c>
      <c r="F1879">
        <v>56.915767670000001</v>
      </c>
      <c r="G1879">
        <v>1380.3769531</v>
      </c>
      <c r="H1879">
        <v>1367.3233643000001</v>
      </c>
      <c r="I1879">
        <v>1293.7966309000001</v>
      </c>
      <c r="J1879">
        <v>1277.2575684000001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1135.578381</v>
      </c>
      <c r="B1880" s="1">
        <f>DATE(2013,6,9) + TIME(13,52,52)</f>
        <v>41434.578379629631</v>
      </c>
      <c r="C1880">
        <v>90</v>
      </c>
      <c r="D1880">
        <v>89.953132628999995</v>
      </c>
      <c r="E1880">
        <v>60</v>
      </c>
      <c r="F1880">
        <v>56.871395110999998</v>
      </c>
      <c r="G1880">
        <v>1380.3317870999999</v>
      </c>
      <c r="H1880">
        <v>1367.2890625</v>
      </c>
      <c r="I1880">
        <v>1293.7768555</v>
      </c>
      <c r="J1880">
        <v>1277.2310791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1136.289638</v>
      </c>
      <c r="B1881" s="1">
        <f>DATE(2013,6,10) + TIME(6,57,4)</f>
        <v>41435.289629629631</v>
      </c>
      <c r="C1881">
        <v>90</v>
      </c>
      <c r="D1881">
        <v>89.953117371000005</v>
      </c>
      <c r="E1881">
        <v>60</v>
      </c>
      <c r="F1881">
        <v>56.826713562000002</v>
      </c>
      <c r="G1881">
        <v>1380.2866211</v>
      </c>
      <c r="H1881">
        <v>1367.2547606999999</v>
      </c>
      <c r="I1881">
        <v>1293.7567139</v>
      </c>
      <c r="J1881">
        <v>1277.2038574000001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1137.0116459999999</v>
      </c>
      <c r="B1882" s="1">
        <f>DATE(2013,6,11) + TIME(0,16,46)</f>
        <v>41436.011643518519</v>
      </c>
      <c r="C1882">
        <v>90</v>
      </c>
      <c r="D1882">
        <v>89.953109741000006</v>
      </c>
      <c r="E1882">
        <v>60</v>
      </c>
      <c r="F1882">
        <v>56.781642914000003</v>
      </c>
      <c r="G1882">
        <v>1380.2415771000001</v>
      </c>
      <c r="H1882">
        <v>1367.2205810999999</v>
      </c>
      <c r="I1882">
        <v>1293.7360839999999</v>
      </c>
      <c r="J1882">
        <v>1277.1759033000001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1137.746007</v>
      </c>
      <c r="B1883" s="1">
        <f>DATE(2013,6,11) + TIME(17,54,14)</f>
        <v>41436.745995370373</v>
      </c>
      <c r="C1883">
        <v>90</v>
      </c>
      <c r="D1883">
        <v>89.953094481999997</v>
      </c>
      <c r="E1883">
        <v>60</v>
      </c>
      <c r="F1883">
        <v>56.736095427999999</v>
      </c>
      <c r="G1883">
        <v>1380.1964111</v>
      </c>
      <c r="H1883">
        <v>1367.1861572</v>
      </c>
      <c r="I1883">
        <v>1293.7148437999999</v>
      </c>
      <c r="J1883">
        <v>1277.1472168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1138.4944270000001</v>
      </c>
      <c r="B1884" s="1">
        <f>DATE(2013,6,12) + TIME(11,51,58)</f>
        <v>41437.494421296295</v>
      </c>
      <c r="C1884">
        <v>90</v>
      </c>
      <c r="D1884">
        <v>89.953079224000007</v>
      </c>
      <c r="E1884">
        <v>60</v>
      </c>
      <c r="F1884">
        <v>56.689975738999998</v>
      </c>
      <c r="G1884">
        <v>1380.1511230000001</v>
      </c>
      <c r="H1884">
        <v>1367.1516113</v>
      </c>
      <c r="I1884">
        <v>1293.6931152</v>
      </c>
      <c r="J1884">
        <v>1277.1175536999999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1139.2586779999999</v>
      </c>
      <c r="B1885" s="1">
        <f>DATE(2013,6,13) + TIME(6,12,29)</f>
        <v>41438.258668981478</v>
      </c>
      <c r="C1885">
        <v>90</v>
      </c>
      <c r="D1885">
        <v>89.953063964999998</v>
      </c>
      <c r="E1885">
        <v>60</v>
      </c>
      <c r="F1885">
        <v>56.643184662000003</v>
      </c>
      <c r="G1885">
        <v>1380.1055908000001</v>
      </c>
      <c r="H1885">
        <v>1367.1168213000001</v>
      </c>
      <c r="I1885">
        <v>1293.6706543</v>
      </c>
      <c r="J1885">
        <v>1277.0870361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1140.0409400000001</v>
      </c>
      <c r="B1886" s="1">
        <f>DATE(2013,6,14) + TIME(0,58,57)</f>
        <v>41439.040937500002</v>
      </c>
      <c r="C1886">
        <v>90</v>
      </c>
      <c r="D1886">
        <v>89.953048706000004</v>
      </c>
      <c r="E1886">
        <v>60</v>
      </c>
      <c r="F1886">
        <v>56.595611572000003</v>
      </c>
      <c r="G1886">
        <v>1380.0595702999999</v>
      </c>
      <c r="H1886">
        <v>1367.0816649999999</v>
      </c>
      <c r="I1886">
        <v>1293.6474608999999</v>
      </c>
      <c r="J1886">
        <v>1277.0554199000001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1140.8434689999999</v>
      </c>
      <c r="B1887" s="1">
        <f>DATE(2013,6,14) + TIME(20,14,35)</f>
        <v>41439.843460648146</v>
      </c>
      <c r="C1887">
        <v>90</v>
      </c>
      <c r="D1887">
        <v>89.953041076999995</v>
      </c>
      <c r="E1887">
        <v>60</v>
      </c>
      <c r="F1887">
        <v>56.547134399000001</v>
      </c>
      <c r="G1887">
        <v>1380.0131836</v>
      </c>
      <c r="H1887">
        <v>1367.0462646000001</v>
      </c>
      <c r="I1887">
        <v>1293.6235352000001</v>
      </c>
      <c r="J1887">
        <v>1277.0225829999999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1141.6512829999999</v>
      </c>
      <c r="B1888" s="1">
        <f>DATE(2013,6,15) + TIME(15,37,50)</f>
        <v>41440.651273148149</v>
      </c>
      <c r="C1888">
        <v>90</v>
      </c>
      <c r="D1888">
        <v>89.953025818</v>
      </c>
      <c r="E1888">
        <v>60</v>
      </c>
      <c r="F1888">
        <v>56.498165131</v>
      </c>
      <c r="G1888">
        <v>1379.9661865</v>
      </c>
      <c r="H1888">
        <v>1367.0102539</v>
      </c>
      <c r="I1888">
        <v>1293.5986327999999</v>
      </c>
      <c r="J1888">
        <v>1276.9885254000001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1142.4600869999999</v>
      </c>
      <c r="B1889" s="1">
        <f>DATE(2013,6,16) + TIME(11,2,31)</f>
        <v>41441.460081018522</v>
      </c>
      <c r="C1889">
        <v>90</v>
      </c>
      <c r="D1889">
        <v>89.953010559000006</v>
      </c>
      <c r="E1889">
        <v>60</v>
      </c>
      <c r="F1889">
        <v>56.449024199999997</v>
      </c>
      <c r="G1889">
        <v>1379.9194336</v>
      </c>
      <c r="H1889">
        <v>1366.9744873</v>
      </c>
      <c r="I1889">
        <v>1293.5732422000001</v>
      </c>
      <c r="J1889">
        <v>1276.9537353999999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1143.2715579999999</v>
      </c>
      <c r="B1890" s="1">
        <f>DATE(2013,6,17) + TIME(6,31,2)</f>
        <v>41442.271550925929</v>
      </c>
      <c r="C1890">
        <v>90</v>
      </c>
      <c r="D1890">
        <v>89.953002929999997</v>
      </c>
      <c r="E1890">
        <v>60</v>
      </c>
      <c r="F1890">
        <v>56.399806976000001</v>
      </c>
      <c r="G1890">
        <v>1379.8732910000001</v>
      </c>
      <c r="H1890">
        <v>1366.9390868999999</v>
      </c>
      <c r="I1890">
        <v>1293.5474853999999</v>
      </c>
      <c r="J1890">
        <v>1276.9183350000001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1144.0873349999999</v>
      </c>
      <c r="B1891" s="1">
        <f>DATE(2013,6,18) + TIME(2,5,45)</f>
        <v>41443.087326388886</v>
      </c>
      <c r="C1891">
        <v>90</v>
      </c>
      <c r="D1891">
        <v>89.952987671000002</v>
      </c>
      <c r="E1891">
        <v>60</v>
      </c>
      <c r="F1891">
        <v>56.350521088000001</v>
      </c>
      <c r="G1891">
        <v>1379.8276367000001</v>
      </c>
      <c r="H1891">
        <v>1366.9039307</v>
      </c>
      <c r="I1891">
        <v>1293.5213623</v>
      </c>
      <c r="J1891">
        <v>1276.8823242000001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1144.9090900000001</v>
      </c>
      <c r="B1892" s="1">
        <f>DATE(2013,6,18) + TIME(21,49,5)</f>
        <v>41443.909085648149</v>
      </c>
      <c r="C1892">
        <v>90</v>
      </c>
      <c r="D1892">
        <v>89.952980041999993</v>
      </c>
      <c r="E1892">
        <v>60</v>
      </c>
      <c r="F1892">
        <v>56.301116942999997</v>
      </c>
      <c r="G1892">
        <v>1379.7822266000001</v>
      </c>
      <c r="H1892">
        <v>1366.8690185999999</v>
      </c>
      <c r="I1892">
        <v>1293.494751</v>
      </c>
      <c r="J1892">
        <v>1276.8454589999999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1145.7388539999999</v>
      </c>
      <c r="B1893" s="1">
        <f>DATE(2013,6,19) + TIME(17,43,56)</f>
        <v>41444.738842592589</v>
      </c>
      <c r="C1893">
        <v>90</v>
      </c>
      <c r="D1893">
        <v>89.952972411999994</v>
      </c>
      <c r="E1893">
        <v>60</v>
      </c>
      <c r="F1893">
        <v>56.251510619999998</v>
      </c>
      <c r="G1893">
        <v>1379.7370605000001</v>
      </c>
      <c r="H1893">
        <v>1366.8342285000001</v>
      </c>
      <c r="I1893">
        <v>1293.4676514</v>
      </c>
      <c r="J1893">
        <v>1276.8078613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1146.5782859999999</v>
      </c>
      <c r="B1894" s="1">
        <f>DATE(2013,6,20) + TIME(13,52,43)</f>
        <v>41445.578275462962</v>
      </c>
      <c r="C1894">
        <v>90</v>
      </c>
      <c r="D1894">
        <v>89.952957153</v>
      </c>
      <c r="E1894">
        <v>60</v>
      </c>
      <c r="F1894">
        <v>56.201610565000003</v>
      </c>
      <c r="G1894">
        <v>1379.6921387</v>
      </c>
      <c r="H1894">
        <v>1366.7995605000001</v>
      </c>
      <c r="I1894">
        <v>1293.4399414</v>
      </c>
      <c r="J1894">
        <v>1276.7692870999999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1147.4289920000001</v>
      </c>
      <c r="B1895" s="1">
        <f>DATE(2013,6,21) + TIME(10,17,44)</f>
        <v>41446.428981481484</v>
      </c>
      <c r="C1895">
        <v>90</v>
      </c>
      <c r="D1895">
        <v>89.952949524000005</v>
      </c>
      <c r="E1895">
        <v>60</v>
      </c>
      <c r="F1895">
        <v>56.151317595999998</v>
      </c>
      <c r="G1895">
        <v>1379.6470947</v>
      </c>
      <c r="H1895">
        <v>1366.7647704999999</v>
      </c>
      <c r="I1895">
        <v>1293.411499</v>
      </c>
      <c r="J1895">
        <v>1276.7296143000001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1148.292874</v>
      </c>
      <c r="B1896" s="1">
        <f>DATE(2013,6,22) + TIME(7,1,44)</f>
        <v>41447.292870370373</v>
      </c>
      <c r="C1896">
        <v>90</v>
      </c>
      <c r="D1896">
        <v>89.952941894999995</v>
      </c>
      <c r="E1896">
        <v>60</v>
      </c>
      <c r="F1896">
        <v>56.100540160999998</v>
      </c>
      <c r="G1896">
        <v>1379.6020507999999</v>
      </c>
      <c r="H1896">
        <v>1366.7299805</v>
      </c>
      <c r="I1896">
        <v>1293.3824463000001</v>
      </c>
      <c r="J1896">
        <v>1276.6889647999999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1149.1719399999999</v>
      </c>
      <c r="B1897" s="1">
        <f>DATE(2013,6,23) + TIME(4,7,35)</f>
        <v>41448.171932870369</v>
      </c>
      <c r="C1897">
        <v>90</v>
      </c>
      <c r="D1897">
        <v>89.952934264999996</v>
      </c>
      <c r="E1897">
        <v>60</v>
      </c>
      <c r="F1897">
        <v>56.049160004000001</v>
      </c>
      <c r="G1897">
        <v>1379.5568848</v>
      </c>
      <c r="H1897">
        <v>1366.6950684000001</v>
      </c>
      <c r="I1897">
        <v>1293.3524170000001</v>
      </c>
      <c r="J1897">
        <v>1276.6469727000001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1150.0682569999999</v>
      </c>
      <c r="B1898" s="1">
        <f>DATE(2013,6,24) + TIME(1,38,17)</f>
        <v>41449.068252314813</v>
      </c>
      <c r="C1898">
        <v>90</v>
      </c>
      <c r="D1898">
        <v>89.952926636000001</v>
      </c>
      <c r="E1898">
        <v>60</v>
      </c>
      <c r="F1898">
        <v>55.997066498000002</v>
      </c>
      <c r="G1898">
        <v>1379.5114745999999</v>
      </c>
      <c r="H1898">
        <v>1366.6599120999999</v>
      </c>
      <c r="I1898">
        <v>1293.3216553</v>
      </c>
      <c r="J1898">
        <v>1276.6035156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1150.9826270000001</v>
      </c>
      <c r="B1899" s="1">
        <f>DATE(2013,6,24) + TIME(23,34,58)</f>
        <v>41449.982615740744</v>
      </c>
      <c r="C1899">
        <v>90</v>
      </c>
      <c r="D1899">
        <v>89.952919006000002</v>
      </c>
      <c r="E1899">
        <v>60</v>
      </c>
      <c r="F1899">
        <v>55.944179535000004</v>
      </c>
      <c r="G1899">
        <v>1379.4656981999999</v>
      </c>
      <c r="H1899">
        <v>1366.6243896000001</v>
      </c>
      <c r="I1899">
        <v>1293.2897949000001</v>
      </c>
      <c r="J1899">
        <v>1276.5587158000001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1151.910973</v>
      </c>
      <c r="B1900" s="1">
        <f>DATE(2013,6,25) + TIME(21,51,48)</f>
        <v>41450.91097222222</v>
      </c>
      <c r="C1900">
        <v>90</v>
      </c>
      <c r="D1900">
        <v>89.952911377000007</v>
      </c>
      <c r="E1900">
        <v>60</v>
      </c>
      <c r="F1900">
        <v>55.890571594000001</v>
      </c>
      <c r="G1900">
        <v>1379.4195557</v>
      </c>
      <c r="H1900">
        <v>1366.588501</v>
      </c>
      <c r="I1900">
        <v>1293.2568358999999</v>
      </c>
      <c r="J1900">
        <v>1276.512207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1152.855427</v>
      </c>
      <c r="B1901" s="1">
        <f>DATE(2013,6,26) + TIME(20,31,48)</f>
        <v>41451.855416666665</v>
      </c>
      <c r="C1901">
        <v>90</v>
      </c>
      <c r="D1901">
        <v>89.952903747999997</v>
      </c>
      <c r="E1901">
        <v>60</v>
      </c>
      <c r="F1901">
        <v>55.836231232000003</v>
      </c>
      <c r="G1901">
        <v>1379.3732910000001</v>
      </c>
      <c r="H1901">
        <v>1366.5526123</v>
      </c>
      <c r="I1901">
        <v>1293.2229004000001</v>
      </c>
      <c r="J1901">
        <v>1276.4642334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1153.8130200000001</v>
      </c>
      <c r="B1902" s="1">
        <f>DATE(2013,6,27) + TIME(19,30,44)</f>
        <v>41452.813009259262</v>
      </c>
      <c r="C1902">
        <v>90</v>
      </c>
      <c r="D1902">
        <v>89.952896117999998</v>
      </c>
      <c r="E1902">
        <v>60</v>
      </c>
      <c r="F1902">
        <v>55.781223296999997</v>
      </c>
      <c r="G1902">
        <v>1379.3267822</v>
      </c>
      <c r="H1902">
        <v>1366.5163574000001</v>
      </c>
      <c r="I1902">
        <v>1293.1879882999999</v>
      </c>
      <c r="J1902">
        <v>1276.4146728999999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1154.773081</v>
      </c>
      <c r="B1903" s="1">
        <f>DATE(2013,6,28) + TIME(18,33,14)</f>
        <v>41453.773078703707</v>
      </c>
      <c r="C1903">
        <v>90</v>
      </c>
      <c r="D1903">
        <v>89.952888489000003</v>
      </c>
      <c r="E1903">
        <v>60</v>
      </c>
      <c r="F1903">
        <v>55.725883484000001</v>
      </c>
      <c r="G1903">
        <v>1379.2802733999999</v>
      </c>
      <c r="H1903">
        <v>1366.4801024999999</v>
      </c>
      <c r="I1903">
        <v>1293.1520995999999</v>
      </c>
      <c r="J1903">
        <v>1276.3636475000001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1155.737629</v>
      </c>
      <c r="B1904" s="1">
        <f>DATE(2013,6,29) + TIME(17,42,11)</f>
        <v>41454.737627314818</v>
      </c>
      <c r="C1904">
        <v>90</v>
      </c>
      <c r="D1904">
        <v>89.952888489000003</v>
      </c>
      <c r="E1904">
        <v>60</v>
      </c>
      <c r="F1904">
        <v>55.670341491999999</v>
      </c>
      <c r="G1904">
        <v>1379.2341309000001</v>
      </c>
      <c r="H1904">
        <v>1366.4439697</v>
      </c>
      <c r="I1904">
        <v>1293.1157227000001</v>
      </c>
      <c r="J1904">
        <v>1276.3116454999999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1156.7086710000001</v>
      </c>
      <c r="B1905" s="1">
        <f>DATE(2013,6,30) + TIME(17,0,29)</f>
        <v>41455.708668981482</v>
      </c>
      <c r="C1905">
        <v>90</v>
      </c>
      <c r="D1905">
        <v>89.952880859000004</v>
      </c>
      <c r="E1905">
        <v>60</v>
      </c>
      <c r="F1905">
        <v>55.614601135000001</v>
      </c>
      <c r="G1905">
        <v>1379.1882324000001</v>
      </c>
      <c r="H1905">
        <v>1366.4082031</v>
      </c>
      <c r="I1905">
        <v>1293.0786132999999</v>
      </c>
      <c r="J1905">
        <v>1276.2584228999999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1157</v>
      </c>
      <c r="B1906" s="1">
        <f>DATE(2013,7,1) + TIME(0,0,0)</f>
        <v>41456</v>
      </c>
      <c r="C1906">
        <v>90</v>
      </c>
      <c r="D1906">
        <v>89.952865600999999</v>
      </c>
      <c r="E1906">
        <v>60</v>
      </c>
      <c r="F1906">
        <v>55.588050842000001</v>
      </c>
      <c r="G1906">
        <v>1379.1430664</v>
      </c>
      <c r="H1906">
        <v>1366.3728027</v>
      </c>
      <c r="I1906">
        <v>1293.0411377</v>
      </c>
      <c r="J1906">
        <v>1276.2114257999999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1157.9797610000001</v>
      </c>
      <c r="B1907" s="1">
        <f>DATE(2013,7,1) + TIME(23,30,51)</f>
        <v>41456.979756944442</v>
      </c>
      <c r="C1907">
        <v>90</v>
      </c>
      <c r="D1907">
        <v>89.952873229999994</v>
      </c>
      <c r="E1907">
        <v>60</v>
      </c>
      <c r="F1907">
        <v>55.537258147999999</v>
      </c>
      <c r="G1907">
        <v>1379.1289062000001</v>
      </c>
      <c r="H1907">
        <v>1366.3615723</v>
      </c>
      <c r="I1907">
        <v>1293.0285644999999</v>
      </c>
      <c r="J1907">
        <v>1276.1855469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1158.9745089999999</v>
      </c>
      <c r="B1908" s="1">
        <f>DATE(2013,7,2) + TIME(23,23,17)</f>
        <v>41457.974502314813</v>
      </c>
      <c r="C1908">
        <v>90</v>
      </c>
      <c r="D1908">
        <v>89.952873229999994</v>
      </c>
      <c r="E1908">
        <v>60</v>
      </c>
      <c r="F1908">
        <v>55.483257293999998</v>
      </c>
      <c r="G1908">
        <v>1379.0838623</v>
      </c>
      <c r="H1908">
        <v>1366.3262939000001</v>
      </c>
      <c r="I1908">
        <v>1292.9901123</v>
      </c>
      <c r="J1908">
        <v>1276.1306152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1159.9828130000001</v>
      </c>
      <c r="B1909" s="1">
        <f>DATE(2013,7,3) + TIME(23,35,15)</f>
        <v>41458.982812499999</v>
      </c>
      <c r="C1909">
        <v>90</v>
      </c>
      <c r="D1909">
        <v>89.952865600999999</v>
      </c>
      <c r="E1909">
        <v>60</v>
      </c>
      <c r="F1909">
        <v>55.427398682000003</v>
      </c>
      <c r="G1909">
        <v>1379.0383300999999</v>
      </c>
      <c r="H1909">
        <v>1366.2906493999999</v>
      </c>
      <c r="I1909">
        <v>1292.9503173999999</v>
      </c>
      <c r="J1909">
        <v>1276.0734863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1161.0026089999999</v>
      </c>
      <c r="B1910" s="1">
        <f>DATE(2013,7,5) + TIME(0,3,45)</f>
        <v>41460.002604166664</v>
      </c>
      <c r="C1910">
        <v>90</v>
      </c>
      <c r="D1910">
        <v>89.952865600999999</v>
      </c>
      <c r="E1910">
        <v>60</v>
      </c>
      <c r="F1910">
        <v>55.370388030999997</v>
      </c>
      <c r="G1910">
        <v>1378.9927978999999</v>
      </c>
      <c r="H1910">
        <v>1366.2547606999999</v>
      </c>
      <c r="I1910">
        <v>1292.9094238</v>
      </c>
      <c r="J1910">
        <v>1276.0142822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1162.0330260000001</v>
      </c>
      <c r="B1911" s="1">
        <f>DATE(2013,7,6) + TIME(0,47,33)</f>
        <v>41461.033020833333</v>
      </c>
      <c r="C1911">
        <v>90</v>
      </c>
      <c r="D1911">
        <v>89.952865600999999</v>
      </c>
      <c r="E1911">
        <v>60</v>
      </c>
      <c r="F1911">
        <v>55.312591552999997</v>
      </c>
      <c r="G1911">
        <v>1378.9471435999999</v>
      </c>
      <c r="H1911">
        <v>1366.2188721</v>
      </c>
      <c r="I1911">
        <v>1292.8674315999999</v>
      </c>
      <c r="J1911">
        <v>1275.9534911999999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1163.076693</v>
      </c>
      <c r="B1912" s="1">
        <f>DATE(2013,7,7) + TIME(1,50,26)</f>
        <v>41462.076689814814</v>
      </c>
      <c r="C1912">
        <v>90</v>
      </c>
      <c r="D1912">
        <v>89.952857971</v>
      </c>
      <c r="E1912">
        <v>60</v>
      </c>
      <c r="F1912">
        <v>55.254119873</v>
      </c>
      <c r="G1912">
        <v>1378.9016113</v>
      </c>
      <c r="H1912">
        <v>1366.1828613</v>
      </c>
      <c r="I1912">
        <v>1292.8244629000001</v>
      </c>
      <c r="J1912">
        <v>1275.8908690999999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1164.1356169999999</v>
      </c>
      <c r="B1913" s="1">
        <f>DATE(2013,7,8) + TIME(3,15,17)</f>
        <v>41463.135613425926</v>
      </c>
      <c r="C1913">
        <v>90</v>
      </c>
      <c r="D1913">
        <v>89.952857971</v>
      </c>
      <c r="E1913">
        <v>60</v>
      </c>
      <c r="F1913">
        <v>55.194957733000003</v>
      </c>
      <c r="G1913">
        <v>1378.8560791</v>
      </c>
      <c r="H1913">
        <v>1366.1468506000001</v>
      </c>
      <c r="I1913">
        <v>1292.7805175999999</v>
      </c>
      <c r="J1913">
        <v>1275.8265381000001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1165.2119749999999</v>
      </c>
      <c r="B1914" s="1">
        <f>DATE(2013,7,9) + TIME(5,5,14)</f>
        <v>41464.211967592593</v>
      </c>
      <c r="C1914">
        <v>90</v>
      </c>
      <c r="D1914">
        <v>89.952857971</v>
      </c>
      <c r="E1914">
        <v>60</v>
      </c>
      <c r="F1914">
        <v>55.135032654</v>
      </c>
      <c r="G1914">
        <v>1378.8103027</v>
      </c>
      <c r="H1914">
        <v>1366.1107178</v>
      </c>
      <c r="I1914">
        <v>1292.7352295000001</v>
      </c>
      <c r="J1914">
        <v>1275.7602539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1166.308315</v>
      </c>
      <c r="B1915" s="1">
        <f>DATE(2013,7,10) + TIME(7,23,58)</f>
        <v>41465.308310185188</v>
      </c>
      <c r="C1915">
        <v>90</v>
      </c>
      <c r="D1915">
        <v>89.952857971</v>
      </c>
      <c r="E1915">
        <v>60</v>
      </c>
      <c r="F1915">
        <v>55.074241637999997</v>
      </c>
      <c r="G1915">
        <v>1378.7642822</v>
      </c>
      <c r="H1915">
        <v>1366.0742187999999</v>
      </c>
      <c r="I1915">
        <v>1292.6885986</v>
      </c>
      <c r="J1915">
        <v>1275.6918945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1167.427383</v>
      </c>
      <c r="B1916" s="1">
        <f>DATE(2013,7,11) + TIME(10,15,25)</f>
        <v>41466.427372685182</v>
      </c>
      <c r="C1916">
        <v>90</v>
      </c>
      <c r="D1916">
        <v>89.952857971</v>
      </c>
      <c r="E1916">
        <v>60</v>
      </c>
      <c r="F1916">
        <v>55.012454986999998</v>
      </c>
      <c r="G1916">
        <v>1378.7178954999999</v>
      </c>
      <c r="H1916">
        <v>1366.0374756000001</v>
      </c>
      <c r="I1916">
        <v>1292.640625</v>
      </c>
      <c r="J1916">
        <v>1275.6212158000001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1168.558203</v>
      </c>
      <c r="B1917" s="1">
        <f>DATE(2013,7,12) + TIME(13,23,48)</f>
        <v>41467.558194444442</v>
      </c>
      <c r="C1917">
        <v>90</v>
      </c>
      <c r="D1917">
        <v>89.952857971</v>
      </c>
      <c r="E1917">
        <v>60</v>
      </c>
      <c r="F1917">
        <v>54.949863434000001</v>
      </c>
      <c r="G1917">
        <v>1378.6711425999999</v>
      </c>
      <c r="H1917">
        <v>1366.0002440999999</v>
      </c>
      <c r="I1917">
        <v>1292.5910644999999</v>
      </c>
      <c r="J1917">
        <v>1275.5479736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1169.695692</v>
      </c>
      <c r="B1918" s="1">
        <f>DATE(2013,7,13) + TIME(16,41,47)</f>
        <v>41468.69568287037</v>
      </c>
      <c r="C1918">
        <v>90</v>
      </c>
      <c r="D1918">
        <v>89.952865600999999</v>
      </c>
      <c r="E1918">
        <v>60</v>
      </c>
      <c r="F1918">
        <v>54.886745453000003</v>
      </c>
      <c r="G1918">
        <v>1378.6243896000001</v>
      </c>
      <c r="H1918">
        <v>1365.9630127</v>
      </c>
      <c r="I1918">
        <v>1292.5402832</v>
      </c>
      <c r="J1918">
        <v>1275.4729004000001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1170.842312</v>
      </c>
      <c r="B1919" s="1">
        <f>DATE(2013,7,14) + TIME(20,12,55)</f>
        <v>41469.842303240737</v>
      </c>
      <c r="C1919">
        <v>90</v>
      </c>
      <c r="D1919">
        <v>89.952865600999999</v>
      </c>
      <c r="E1919">
        <v>60</v>
      </c>
      <c r="F1919">
        <v>54.823215484999999</v>
      </c>
      <c r="G1919">
        <v>1378.5778809000001</v>
      </c>
      <c r="H1919">
        <v>1365.9260254000001</v>
      </c>
      <c r="I1919">
        <v>1292.4886475000001</v>
      </c>
      <c r="J1919">
        <v>1275.3962402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1171.995627</v>
      </c>
      <c r="B1920" s="1">
        <f>DATE(2013,7,15) + TIME(23,53,42)</f>
        <v>41470.995625000003</v>
      </c>
      <c r="C1920">
        <v>90</v>
      </c>
      <c r="D1920">
        <v>89.952865600999999</v>
      </c>
      <c r="E1920">
        <v>60</v>
      </c>
      <c r="F1920">
        <v>54.759357452000003</v>
      </c>
      <c r="G1920">
        <v>1378.5314940999999</v>
      </c>
      <c r="H1920">
        <v>1365.8889160000001</v>
      </c>
      <c r="I1920">
        <v>1292.4359131000001</v>
      </c>
      <c r="J1920">
        <v>1275.317749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1173.155438</v>
      </c>
      <c r="B1921" s="1">
        <f>DATE(2013,7,17) + TIME(3,43,49)</f>
        <v>41472.155428240738</v>
      </c>
      <c r="C1921">
        <v>90</v>
      </c>
      <c r="D1921">
        <v>89.952865600999999</v>
      </c>
      <c r="E1921">
        <v>60</v>
      </c>
      <c r="F1921">
        <v>54.695232390999998</v>
      </c>
      <c r="G1921">
        <v>1378.4852295000001</v>
      </c>
      <c r="H1921">
        <v>1365.8520507999999</v>
      </c>
      <c r="I1921">
        <v>1292.3823242000001</v>
      </c>
      <c r="J1921">
        <v>1275.2376709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1174.324063</v>
      </c>
      <c r="B1922" s="1">
        <f>DATE(2013,7,18) + TIME(7,46,39)</f>
        <v>41473.324062500003</v>
      </c>
      <c r="C1922">
        <v>90</v>
      </c>
      <c r="D1922">
        <v>89.952873229999994</v>
      </c>
      <c r="E1922">
        <v>60</v>
      </c>
      <c r="F1922">
        <v>54.630817413000003</v>
      </c>
      <c r="G1922">
        <v>1378.4393310999999</v>
      </c>
      <c r="H1922">
        <v>1365.8151855000001</v>
      </c>
      <c r="I1922">
        <v>1292.3277588000001</v>
      </c>
      <c r="J1922">
        <v>1275.1560059000001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1175.503866</v>
      </c>
      <c r="B1923" s="1">
        <f>DATE(2013,7,19) + TIME(12,5,33)</f>
        <v>41474.503854166665</v>
      </c>
      <c r="C1923">
        <v>90</v>
      </c>
      <c r="D1923">
        <v>89.952873229999994</v>
      </c>
      <c r="E1923">
        <v>60</v>
      </c>
      <c r="F1923">
        <v>54.566032409999998</v>
      </c>
      <c r="G1923">
        <v>1378.3935547000001</v>
      </c>
      <c r="H1923">
        <v>1365.7785644999999</v>
      </c>
      <c r="I1923">
        <v>1292.2722168</v>
      </c>
      <c r="J1923">
        <v>1275.0725098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1176.697379</v>
      </c>
      <c r="B1924" s="1">
        <f>DATE(2013,7,20) + TIME(16,44,13)</f>
        <v>41475.697372685187</v>
      </c>
      <c r="C1924">
        <v>90</v>
      </c>
      <c r="D1924">
        <v>89.952880859000004</v>
      </c>
      <c r="E1924">
        <v>60</v>
      </c>
      <c r="F1924">
        <v>54.500774384000003</v>
      </c>
      <c r="G1924">
        <v>1378.3477783000001</v>
      </c>
      <c r="H1924">
        <v>1365.7416992000001</v>
      </c>
      <c r="I1924">
        <v>1292.2155762</v>
      </c>
      <c r="J1924">
        <v>1274.9871826000001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1177.907884</v>
      </c>
      <c r="B1925" s="1">
        <f>DATE(2013,7,21) + TIME(21,47,21)</f>
        <v>41476.907881944448</v>
      </c>
      <c r="C1925">
        <v>90</v>
      </c>
      <c r="D1925">
        <v>89.952880859000004</v>
      </c>
      <c r="E1925">
        <v>60</v>
      </c>
      <c r="F1925">
        <v>54.434898376</v>
      </c>
      <c r="G1925">
        <v>1378.3018798999999</v>
      </c>
      <c r="H1925">
        <v>1365.7048339999999</v>
      </c>
      <c r="I1925">
        <v>1292.1575928</v>
      </c>
      <c r="J1925">
        <v>1274.8996582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1179.1374450000001</v>
      </c>
      <c r="B1926" s="1">
        <f>DATE(2013,7,23) + TIME(3,17,55)</f>
        <v>41478.137442129628</v>
      </c>
      <c r="C1926">
        <v>90</v>
      </c>
      <c r="D1926">
        <v>89.952888489000003</v>
      </c>
      <c r="E1926">
        <v>60</v>
      </c>
      <c r="F1926">
        <v>54.368286132999998</v>
      </c>
      <c r="G1926">
        <v>1378.2559814000001</v>
      </c>
      <c r="H1926">
        <v>1365.6678466999999</v>
      </c>
      <c r="I1926">
        <v>1292.0982666</v>
      </c>
      <c r="J1926">
        <v>1274.8098144999999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1180.3890080000001</v>
      </c>
      <c r="B1927" s="1">
        <f>DATE(2013,7,24) + TIME(9,20,10)</f>
        <v>41479.389004629629</v>
      </c>
      <c r="C1927">
        <v>90</v>
      </c>
      <c r="D1927">
        <v>89.952896117999998</v>
      </c>
      <c r="E1927">
        <v>60</v>
      </c>
      <c r="F1927">
        <v>54.300807953000003</v>
      </c>
      <c r="G1927">
        <v>1378.2097168</v>
      </c>
      <c r="H1927">
        <v>1365.6304932</v>
      </c>
      <c r="I1927">
        <v>1292.0374756000001</v>
      </c>
      <c r="J1927">
        <v>1274.7174072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1181.665743</v>
      </c>
      <c r="B1928" s="1">
        <f>DATE(2013,7,25) + TIME(15,58,40)</f>
        <v>41480.66574074074</v>
      </c>
      <c r="C1928">
        <v>90</v>
      </c>
      <c r="D1928">
        <v>89.952903747999997</v>
      </c>
      <c r="E1928">
        <v>60</v>
      </c>
      <c r="F1928">
        <v>54.232322693</v>
      </c>
      <c r="G1928">
        <v>1378.1630858999999</v>
      </c>
      <c r="H1928">
        <v>1365.5927733999999</v>
      </c>
      <c r="I1928">
        <v>1291.9749756000001</v>
      </c>
      <c r="J1928">
        <v>1274.6221923999999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1182.971108</v>
      </c>
      <c r="B1929" s="1">
        <f>DATE(2013,7,26) + TIME(23,18,23)</f>
        <v>41481.971099537041</v>
      </c>
      <c r="C1929">
        <v>90</v>
      </c>
      <c r="D1929">
        <v>89.952911377000007</v>
      </c>
      <c r="E1929">
        <v>60</v>
      </c>
      <c r="F1929">
        <v>54.162689209</v>
      </c>
      <c r="G1929">
        <v>1378.1159668</v>
      </c>
      <c r="H1929">
        <v>1365.5546875</v>
      </c>
      <c r="I1929">
        <v>1291.9106445</v>
      </c>
      <c r="J1929">
        <v>1274.5239257999999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1183.633474</v>
      </c>
      <c r="B1930" s="1">
        <f>DATE(2013,7,27) + TIME(15,12,12)</f>
        <v>41482.633472222224</v>
      </c>
      <c r="C1930">
        <v>90</v>
      </c>
      <c r="D1930">
        <v>89.952903747999997</v>
      </c>
      <c r="E1930">
        <v>60</v>
      </c>
      <c r="F1930">
        <v>54.111972809000001</v>
      </c>
      <c r="G1930">
        <v>1378.0682373</v>
      </c>
      <c r="H1930">
        <v>1365.5159911999999</v>
      </c>
      <c r="I1930">
        <v>1291.8464355000001</v>
      </c>
      <c r="J1930">
        <v>1274.4310303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1184.29584</v>
      </c>
      <c r="B1931" s="1">
        <f>DATE(2013,7,28) + TIME(7,6,0)</f>
        <v>41483.29583333333</v>
      </c>
      <c r="C1931">
        <v>90</v>
      </c>
      <c r="D1931">
        <v>89.952903747999997</v>
      </c>
      <c r="E1931">
        <v>60</v>
      </c>
      <c r="F1931">
        <v>54.067768096999998</v>
      </c>
      <c r="G1931">
        <v>1378.0439452999999</v>
      </c>
      <c r="H1931">
        <v>1365.4962158000001</v>
      </c>
      <c r="I1931">
        <v>1291.8101807</v>
      </c>
      <c r="J1931">
        <v>1274.3729248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1184.958206</v>
      </c>
      <c r="B1932" s="1">
        <f>DATE(2013,7,28) + TIME(22,59,49)</f>
        <v>41483.95820601852</v>
      </c>
      <c r="C1932">
        <v>90</v>
      </c>
      <c r="D1932">
        <v>89.952903747999997</v>
      </c>
      <c r="E1932">
        <v>60</v>
      </c>
      <c r="F1932">
        <v>54.027267455999997</v>
      </c>
      <c r="G1932">
        <v>1378.0201416</v>
      </c>
      <c r="H1932">
        <v>1365.4768065999999</v>
      </c>
      <c r="I1932">
        <v>1291.7749022999999</v>
      </c>
      <c r="J1932">
        <v>1274.3172606999999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1185.6205729999999</v>
      </c>
      <c r="B1933" s="1">
        <f>DATE(2013,7,29) + TIME(14,53,37)</f>
        <v>41484.620567129627</v>
      </c>
      <c r="C1933">
        <v>90</v>
      </c>
      <c r="D1933">
        <v>89.952911377000007</v>
      </c>
      <c r="E1933">
        <v>60</v>
      </c>
      <c r="F1933">
        <v>53.988887787000003</v>
      </c>
      <c r="G1933">
        <v>1377.9964600000001</v>
      </c>
      <c r="H1933">
        <v>1365.4575195</v>
      </c>
      <c r="I1933">
        <v>1291.7399902</v>
      </c>
      <c r="J1933">
        <v>1274.2626952999999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1186.945305</v>
      </c>
      <c r="B1934" s="1">
        <f>DATE(2013,7,30) + TIME(22,41,14)</f>
        <v>41485.945300925923</v>
      </c>
      <c r="C1934">
        <v>90</v>
      </c>
      <c r="D1934">
        <v>89.952926636000001</v>
      </c>
      <c r="E1934">
        <v>60</v>
      </c>
      <c r="F1934">
        <v>53.937129974000001</v>
      </c>
      <c r="G1934">
        <v>1377.9730225000001</v>
      </c>
      <c r="H1934">
        <v>1365.4384766000001</v>
      </c>
      <c r="I1934">
        <v>1291.7034911999999</v>
      </c>
      <c r="J1934">
        <v>1274.2020264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1188</v>
      </c>
      <c r="B1935" s="1">
        <f>DATE(2013,8,1) + TIME(0,0,0)</f>
        <v>41487</v>
      </c>
      <c r="C1935">
        <v>90</v>
      </c>
      <c r="D1935">
        <v>89.952934264999996</v>
      </c>
      <c r="E1935">
        <v>60</v>
      </c>
      <c r="F1935">
        <v>53.879596710000001</v>
      </c>
      <c r="G1935">
        <v>1377.9262695</v>
      </c>
      <c r="H1935">
        <v>1365.4003906</v>
      </c>
      <c r="I1935">
        <v>1291.6376952999999</v>
      </c>
      <c r="J1935">
        <v>1274.104126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1189.3265799999999</v>
      </c>
      <c r="B1936" s="1">
        <f>DATE(2013,8,2) + TIME(7,50,16)</f>
        <v>41488.326574074075</v>
      </c>
      <c r="C1936">
        <v>90</v>
      </c>
      <c r="D1936">
        <v>89.952949524000005</v>
      </c>
      <c r="E1936">
        <v>60</v>
      </c>
      <c r="F1936">
        <v>53.81710434</v>
      </c>
      <c r="G1936">
        <v>1377.8892822</v>
      </c>
      <c r="H1936">
        <v>1365.3701172000001</v>
      </c>
      <c r="I1936">
        <v>1291.5814209</v>
      </c>
      <c r="J1936">
        <v>1274.0151367000001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1190.673724</v>
      </c>
      <c r="B1937" s="1">
        <f>DATE(2013,8,3) + TIME(16,10,9)</f>
        <v>41489.673715277779</v>
      </c>
      <c r="C1937">
        <v>90</v>
      </c>
      <c r="D1937">
        <v>89.952957153</v>
      </c>
      <c r="E1937">
        <v>60</v>
      </c>
      <c r="F1937">
        <v>53.749511718999997</v>
      </c>
      <c r="G1937">
        <v>1377.8431396000001</v>
      </c>
      <c r="H1937">
        <v>1365.3323975000001</v>
      </c>
      <c r="I1937">
        <v>1291.5124512</v>
      </c>
      <c r="J1937">
        <v>1273.9088135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1192.036016</v>
      </c>
      <c r="B1938" s="1">
        <f>DATE(2013,8,5) + TIME(0,51,51)</f>
        <v>41491.036006944443</v>
      </c>
      <c r="C1938">
        <v>90</v>
      </c>
      <c r="D1938">
        <v>89.952972411999994</v>
      </c>
      <c r="E1938">
        <v>60</v>
      </c>
      <c r="F1938">
        <v>53.679615020999996</v>
      </c>
      <c r="G1938">
        <v>1377.7966309000001</v>
      </c>
      <c r="H1938">
        <v>1365.2944336</v>
      </c>
      <c r="I1938">
        <v>1291.4412841999999</v>
      </c>
      <c r="J1938">
        <v>1273.7983397999999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1193.416747</v>
      </c>
      <c r="B1939" s="1">
        <f>DATE(2013,8,6) + TIME(10,0,6)</f>
        <v>41492.41673611111</v>
      </c>
      <c r="C1939">
        <v>90</v>
      </c>
      <c r="D1939">
        <v>89.952980041999993</v>
      </c>
      <c r="E1939">
        <v>60</v>
      </c>
      <c r="F1939">
        <v>53.608554839999996</v>
      </c>
      <c r="G1939">
        <v>1377.7501221</v>
      </c>
      <c r="H1939">
        <v>1365.2562256000001</v>
      </c>
      <c r="I1939">
        <v>1291.3687743999999</v>
      </c>
      <c r="J1939">
        <v>1273.6850586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1194.8194719999999</v>
      </c>
      <c r="B1940" s="1">
        <f>DATE(2013,8,7) + TIME(19,40,2)</f>
        <v>41493.819467592592</v>
      </c>
      <c r="C1940">
        <v>90</v>
      </c>
      <c r="D1940">
        <v>89.952995299999998</v>
      </c>
      <c r="E1940">
        <v>60</v>
      </c>
      <c r="F1940">
        <v>53.536716460999997</v>
      </c>
      <c r="G1940">
        <v>1377.7033690999999</v>
      </c>
      <c r="H1940">
        <v>1365.2177733999999</v>
      </c>
      <c r="I1940">
        <v>1291.2946777</v>
      </c>
      <c r="J1940">
        <v>1273.5689697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1196.2471310000001</v>
      </c>
      <c r="B1941" s="1">
        <f>DATE(2013,8,9) + TIME(5,55,52)</f>
        <v>41495.247129629628</v>
      </c>
      <c r="C1941">
        <v>90</v>
      </c>
      <c r="D1941">
        <v>89.953002929999997</v>
      </c>
      <c r="E1941">
        <v>60</v>
      </c>
      <c r="F1941">
        <v>53.464183806999998</v>
      </c>
      <c r="G1941">
        <v>1377.6563721</v>
      </c>
      <c r="H1941">
        <v>1365.1790771000001</v>
      </c>
      <c r="I1941">
        <v>1291.2189940999999</v>
      </c>
      <c r="J1941">
        <v>1273.4499512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1197.703481</v>
      </c>
      <c r="B1942" s="1">
        <f>DATE(2013,8,10) + TIME(16,53,0)</f>
        <v>41496.703472222223</v>
      </c>
      <c r="C1942">
        <v>90</v>
      </c>
      <c r="D1942">
        <v>89.953018188000001</v>
      </c>
      <c r="E1942">
        <v>60</v>
      </c>
      <c r="F1942">
        <v>53.390945434999999</v>
      </c>
      <c r="G1942">
        <v>1377.6088867000001</v>
      </c>
      <c r="H1942">
        <v>1365.1400146000001</v>
      </c>
      <c r="I1942">
        <v>1291.1416016000001</v>
      </c>
      <c r="J1942">
        <v>1273.3280029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1199.1841219999999</v>
      </c>
      <c r="B1943" s="1">
        <f>DATE(2013,8,12) + TIME(4,25,8)</f>
        <v>41498.184120370373</v>
      </c>
      <c r="C1943">
        <v>90</v>
      </c>
      <c r="D1943">
        <v>89.953033446999996</v>
      </c>
      <c r="E1943">
        <v>60</v>
      </c>
      <c r="F1943">
        <v>53.317089080999999</v>
      </c>
      <c r="G1943">
        <v>1377.5609131000001</v>
      </c>
      <c r="H1943">
        <v>1365.1003418</v>
      </c>
      <c r="I1943">
        <v>1291.0625</v>
      </c>
      <c r="J1943">
        <v>1273.2028809000001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1200.6852530000001</v>
      </c>
      <c r="B1944" s="1">
        <f>DATE(2013,8,13) + TIME(16,26,45)</f>
        <v>41499.685243055559</v>
      </c>
      <c r="C1944">
        <v>90</v>
      </c>
      <c r="D1944">
        <v>89.953048706000004</v>
      </c>
      <c r="E1944">
        <v>60</v>
      </c>
      <c r="F1944">
        <v>53.242835999</v>
      </c>
      <c r="G1944">
        <v>1377.5126952999999</v>
      </c>
      <c r="H1944">
        <v>1365.0604248</v>
      </c>
      <c r="I1944">
        <v>1290.9818115</v>
      </c>
      <c r="J1944">
        <v>1273.0748291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1202.2008880000001</v>
      </c>
      <c r="B1945" s="1">
        <f>DATE(2013,8,15) + TIME(4,49,16)</f>
        <v>41501.200879629629</v>
      </c>
      <c r="C1945">
        <v>90</v>
      </c>
      <c r="D1945">
        <v>89.953063964999998</v>
      </c>
      <c r="E1945">
        <v>60</v>
      </c>
      <c r="F1945">
        <v>53.168502808</v>
      </c>
      <c r="G1945">
        <v>1377.4641113</v>
      </c>
      <c r="H1945">
        <v>1365.0202637</v>
      </c>
      <c r="I1945">
        <v>1290.8996582</v>
      </c>
      <c r="J1945">
        <v>1272.9442139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1203.7309929999999</v>
      </c>
      <c r="B1946" s="1">
        <f>DATE(2013,8,16) + TIME(17,32,37)</f>
        <v>41502.730983796297</v>
      </c>
      <c r="C1946">
        <v>90</v>
      </c>
      <c r="D1946">
        <v>89.953079224000007</v>
      </c>
      <c r="E1946">
        <v>60</v>
      </c>
      <c r="F1946">
        <v>53.094367980999998</v>
      </c>
      <c r="G1946">
        <v>1377.4155272999999</v>
      </c>
      <c r="H1946">
        <v>1364.9798584</v>
      </c>
      <c r="I1946">
        <v>1290.8166504000001</v>
      </c>
      <c r="J1946">
        <v>1272.8116454999999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1205.268321</v>
      </c>
      <c r="B1947" s="1">
        <f>DATE(2013,8,18) + TIME(6,26,22)</f>
        <v>41504.268310185187</v>
      </c>
      <c r="C1947">
        <v>90</v>
      </c>
      <c r="D1947">
        <v>89.953094481999997</v>
      </c>
      <c r="E1947">
        <v>60</v>
      </c>
      <c r="F1947">
        <v>53.020740508999999</v>
      </c>
      <c r="G1947">
        <v>1377.3669434000001</v>
      </c>
      <c r="H1947">
        <v>1364.9394531</v>
      </c>
      <c r="I1947">
        <v>1290.7327881000001</v>
      </c>
      <c r="J1947">
        <v>1272.6773682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1206.8166839999999</v>
      </c>
      <c r="B1948" s="1">
        <f>DATE(2013,8,19) + TIME(19,36,1)</f>
        <v>41505.816678240742</v>
      </c>
      <c r="C1948">
        <v>90</v>
      </c>
      <c r="D1948">
        <v>89.953109741000006</v>
      </c>
      <c r="E1948">
        <v>60</v>
      </c>
      <c r="F1948">
        <v>52.947860718000001</v>
      </c>
      <c r="G1948">
        <v>1377.3184814000001</v>
      </c>
      <c r="H1948">
        <v>1364.8991699000001</v>
      </c>
      <c r="I1948">
        <v>1290.6483154</v>
      </c>
      <c r="J1948">
        <v>1272.5417480000001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1208.3798260000001</v>
      </c>
      <c r="B1949" s="1">
        <f>DATE(2013,8,21) + TIME(9,6,56)</f>
        <v>41507.379814814813</v>
      </c>
      <c r="C1949">
        <v>90</v>
      </c>
      <c r="D1949">
        <v>89.953125</v>
      </c>
      <c r="E1949">
        <v>60</v>
      </c>
      <c r="F1949">
        <v>52.875778197999999</v>
      </c>
      <c r="G1949">
        <v>1377.2701416</v>
      </c>
      <c r="H1949">
        <v>1364.8587646000001</v>
      </c>
      <c r="I1949">
        <v>1290.5633545000001</v>
      </c>
      <c r="J1949">
        <v>1272.4046631000001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1209.9612999999999</v>
      </c>
      <c r="B1950" s="1">
        <f>DATE(2013,8,22) + TIME(23,4,16)</f>
        <v>41508.961296296293</v>
      </c>
      <c r="C1950">
        <v>90</v>
      </c>
      <c r="D1950">
        <v>89.953140258999994</v>
      </c>
      <c r="E1950">
        <v>60</v>
      </c>
      <c r="F1950">
        <v>52.804519653</v>
      </c>
      <c r="G1950">
        <v>1377.2218018000001</v>
      </c>
      <c r="H1950">
        <v>1364.8183594</v>
      </c>
      <c r="I1950">
        <v>1290.4777832</v>
      </c>
      <c r="J1950">
        <v>1272.2662353999999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1211.564707</v>
      </c>
      <c r="B1951" s="1">
        <f>DATE(2013,8,24) + TIME(13,33,10)</f>
        <v>41510.564699074072</v>
      </c>
      <c r="C1951">
        <v>90</v>
      </c>
      <c r="D1951">
        <v>89.953155518000003</v>
      </c>
      <c r="E1951">
        <v>60</v>
      </c>
      <c r="F1951">
        <v>52.734119415000002</v>
      </c>
      <c r="G1951">
        <v>1377.1732178</v>
      </c>
      <c r="H1951">
        <v>1364.7777100000001</v>
      </c>
      <c r="I1951">
        <v>1290.3913574000001</v>
      </c>
      <c r="J1951">
        <v>1272.1259766000001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1213.1948950000001</v>
      </c>
      <c r="B1952" s="1">
        <f>DATE(2013,8,26) + TIME(4,40,38)</f>
        <v>41512.194884259261</v>
      </c>
      <c r="C1952">
        <v>90</v>
      </c>
      <c r="D1952">
        <v>89.953178406000006</v>
      </c>
      <c r="E1952">
        <v>60</v>
      </c>
      <c r="F1952">
        <v>52.664608002000001</v>
      </c>
      <c r="G1952">
        <v>1377.1243896000001</v>
      </c>
      <c r="H1952">
        <v>1364.7366943</v>
      </c>
      <c r="I1952">
        <v>1290.3040771000001</v>
      </c>
      <c r="J1952">
        <v>1271.9837646000001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1214.841414</v>
      </c>
      <c r="B1953" s="1">
        <f>DATE(2013,8,27) + TIME(20,11,38)</f>
        <v>41513.841412037036</v>
      </c>
      <c r="C1953">
        <v>90</v>
      </c>
      <c r="D1953">
        <v>89.953193665000001</v>
      </c>
      <c r="E1953">
        <v>60</v>
      </c>
      <c r="F1953">
        <v>52.596240997000002</v>
      </c>
      <c r="G1953">
        <v>1377.0751952999999</v>
      </c>
      <c r="H1953">
        <v>1364.6953125</v>
      </c>
      <c r="I1953">
        <v>1290.2156981999999</v>
      </c>
      <c r="J1953">
        <v>1271.8395995999999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1216.503764</v>
      </c>
      <c r="B1954" s="1">
        <f>DATE(2013,8,29) + TIME(12,5,25)</f>
        <v>41515.503761574073</v>
      </c>
      <c r="C1954">
        <v>90</v>
      </c>
      <c r="D1954">
        <v>89.953216553000004</v>
      </c>
      <c r="E1954">
        <v>60</v>
      </c>
      <c r="F1954">
        <v>52.529422760000003</v>
      </c>
      <c r="G1954">
        <v>1377.0258789</v>
      </c>
      <c r="H1954">
        <v>1364.6538086</v>
      </c>
      <c r="I1954">
        <v>1290.1269531</v>
      </c>
      <c r="J1954">
        <v>1271.6940918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1218.1874399999999</v>
      </c>
      <c r="B1955" s="1">
        <f>DATE(2013,8,31) + TIME(4,29,54)</f>
        <v>41517.187430555554</v>
      </c>
      <c r="C1955">
        <v>90</v>
      </c>
      <c r="D1955">
        <v>89.953231811999999</v>
      </c>
      <c r="E1955">
        <v>60</v>
      </c>
      <c r="F1955">
        <v>52.464416503999999</v>
      </c>
      <c r="G1955">
        <v>1376.9764404</v>
      </c>
      <c r="H1955">
        <v>1364.6120605000001</v>
      </c>
      <c r="I1955">
        <v>1290.0378418</v>
      </c>
      <c r="J1955">
        <v>1271.5477295000001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1219</v>
      </c>
      <c r="B1956" s="1">
        <f>DATE(2013,9,1) + TIME(0,0,0)</f>
        <v>41518</v>
      </c>
      <c r="C1956">
        <v>90</v>
      </c>
      <c r="D1956">
        <v>89.953239440999994</v>
      </c>
      <c r="E1956">
        <v>60</v>
      </c>
      <c r="F1956">
        <v>52.418090820000003</v>
      </c>
      <c r="G1956">
        <v>1376.9267577999999</v>
      </c>
      <c r="H1956">
        <v>1364.5700684000001</v>
      </c>
      <c r="I1956">
        <v>1289.9537353999999</v>
      </c>
      <c r="J1956">
        <v>1271.4140625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1219.8528180000001</v>
      </c>
      <c r="B1957" s="1">
        <f>DATE(2013,9,1) + TIME(20,28,3)</f>
        <v>41518.852812500001</v>
      </c>
      <c r="C1957">
        <v>90</v>
      </c>
      <c r="D1957">
        <v>89.953247070000003</v>
      </c>
      <c r="E1957">
        <v>60</v>
      </c>
      <c r="F1957">
        <v>52.379787444999998</v>
      </c>
      <c r="G1957">
        <v>1376.9025879000001</v>
      </c>
      <c r="H1957">
        <v>1364.5495605000001</v>
      </c>
      <c r="I1957">
        <v>1289.9057617000001</v>
      </c>
      <c r="J1957">
        <v>1271.3320312000001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1220.705637</v>
      </c>
      <c r="B1958" s="1">
        <f>DATE(2013,9,2) + TIME(16,56,7)</f>
        <v>41519.705636574072</v>
      </c>
      <c r="C1958">
        <v>90</v>
      </c>
      <c r="D1958">
        <v>89.953254700000002</v>
      </c>
      <c r="E1958">
        <v>60</v>
      </c>
      <c r="F1958">
        <v>52.346275329999997</v>
      </c>
      <c r="G1958">
        <v>1376.8776855000001</v>
      </c>
      <c r="H1958">
        <v>1364.5284423999999</v>
      </c>
      <c r="I1958">
        <v>1289.8587646000001</v>
      </c>
      <c r="J1958">
        <v>1271.2531738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1221.5584550000001</v>
      </c>
      <c r="B1959" s="1">
        <f>DATE(2013,9,3) + TIME(13,24,10)</f>
        <v>41520.558449074073</v>
      </c>
      <c r="C1959">
        <v>90</v>
      </c>
      <c r="D1959">
        <v>89.953262328999998</v>
      </c>
      <c r="E1959">
        <v>60</v>
      </c>
      <c r="F1959">
        <v>52.315582274999997</v>
      </c>
      <c r="G1959">
        <v>1376.8529053</v>
      </c>
      <c r="H1959">
        <v>1364.5074463000001</v>
      </c>
      <c r="I1959">
        <v>1289.8132324000001</v>
      </c>
      <c r="J1959">
        <v>1271.1770019999999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1222.4112729999999</v>
      </c>
      <c r="B1960" s="1">
        <f>DATE(2013,9,4) + TIME(9,52,14)</f>
        <v>41521.411273148151</v>
      </c>
      <c r="C1960">
        <v>90</v>
      </c>
      <c r="D1960">
        <v>89.953269958000007</v>
      </c>
      <c r="E1960">
        <v>60</v>
      </c>
      <c r="F1960">
        <v>52.286758423000002</v>
      </c>
      <c r="G1960">
        <v>1376.8282471</v>
      </c>
      <c r="H1960">
        <v>1364.4864502</v>
      </c>
      <c r="I1960">
        <v>1289.7684326000001</v>
      </c>
      <c r="J1960">
        <v>1271.1022949000001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1223.2640919999999</v>
      </c>
      <c r="B1961" s="1">
        <f>DATE(2013,9,5) + TIME(6,20,17)</f>
        <v>41522.264085648145</v>
      </c>
      <c r="C1961">
        <v>90</v>
      </c>
      <c r="D1961">
        <v>89.953285217000001</v>
      </c>
      <c r="E1961">
        <v>60</v>
      </c>
      <c r="F1961">
        <v>52.259346008000001</v>
      </c>
      <c r="G1961">
        <v>1376.8035889</v>
      </c>
      <c r="H1961">
        <v>1364.4655762</v>
      </c>
      <c r="I1961">
        <v>1289.7242432</v>
      </c>
      <c r="J1961">
        <v>1271.0285644999999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1224.969728</v>
      </c>
      <c r="B1962" s="1">
        <f>DATE(2013,9,6) + TIME(23,16,24)</f>
        <v>41523.969722222224</v>
      </c>
      <c r="C1962">
        <v>90</v>
      </c>
      <c r="D1962">
        <v>89.953315735000004</v>
      </c>
      <c r="E1962">
        <v>60</v>
      </c>
      <c r="F1962">
        <v>52.224582671999997</v>
      </c>
      <c r="G1962">
        <v>1376.7792969</v>
      </c>
      <c r="H1962">
        <v>1364.4448242000001</v>
      </c>
      <c r="I1962">
        <v>1289.6767577999999</v>
      </c>
      <c r="J1962">
        <v>1270.9467772999999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1226.6841260000001</v>
      </c>
      <c r="B1963" s="1">
        <f>DATE(2013,9,8) + TIME(16,25,8)</f>
        <v>41525.684120370373</v>
      </c>
      <c r="C1963">
        <v>90</v>
      </c>
      <c r="D1963">
        <v>89.953338622999993</v>
      </c>
      <c r="E1963">
        <v>60</v>
      </c>
      <c r="F1963">
        <v>52.180961609000001</v>
      </c>
      <c r="G1963">
        <v>1376.7305908000001</v>
      </c>
      <c r="H1963">
        <v>1364.4034423999999</v>
      </c>
      <c r="I1963">
        <v>1289.5952147999999</v>
      </c>
      <c r="J1963">
        <v>1270.8123779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1228.4278939999999</v>
      </c>
      <c r="B1964" s="1">
        <f>DATE(2013,9,10) + TIME(10,16,10)</f>
        <v>41527.427893518521</v>
      </c>
      <c r="C1964">
        <v>90</v>
      </c>
      <c r="D1964">
        <v>89.953361510999997</v>
      </c>
      <c r="E1964">
        <v>60</v>
      </c>
      <c r="F1964">
        <v>52.137069701999998</v>
      </c>
      <c r="G1964">
        <v>1376.6818848</v>
      </c>
      <c r="H1964">
        <v>1364.3618164</v>
      </c>
      <c r="I1964">
        <v>1289.5108643000001</v>
      </c>
      <c r="J1964">
        <v>1270.6717529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1230.2055720000001</v>
      </c>
      <c r="B1965" s="1">
        <f>DATE(2013,9,12) + TIME(4,56,1)</f>
        <v>41529.205567129633</v>
      </c>
      <c r="C1965">
        <v>90</v>
      </c>
      <c r="D1965">
        <v>89.953392029</v>
      </c>
      <c r="E1965">
        <v>60</v>
      </c>
      <c r="F1965">
        <v>52.095794677999997</v>
      </c>
      <c r="G1965">
        <v>1376.6326904</v>
      </c>
      <c r="H1965">
        <v>1364.3198242000001</v>
      </c>
      <c r="I1965">
        <v>1289.425293</v>
      </c>
      <c r="J1965">
        <v>1270.5286865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1232.0219500000001</v>
      </c>
      <c r="B1966" s="1">
        <f>DATE(2013,9,14) + TIME(0,31,36)</f>
        <v>41531.021944444445</v>
      </c>
      <c r="C1966">
        <v>90</v>
      </c>
      <c r="D1966">
        <v>89.953414917000003</v>
      </c>
      <c r="E1966">
        <v>60</v>
      </c>
      <c r="F1966">
        <v>52.058433532999999</v>
      </c>
      <c r="G1966">
        <v>1376.5828856999999</v>
      </c>
      <c r="H1966">
        <v>1364.2772216999999</v>
      </c>
      <c r="I1966">
        <v>1289.3393555</v>
      </c>
      <c r="J1966">
        <v>1270.3842772999999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1233.868817</v>
      </c>
      <c r="B1967" s="1">
        <f>DATE(2013,9,15) + TIME(20,51,5)</f>
        <v>41532.868807870371</v>
      </c>
      <c r="C1967">
        <v>90</v>
      </c>
      <c r="D1967">
        <v>89.953437804999993</v>
      </c>
      <c r="E1967">
        <v>60</v>
      </c>
      <c r="F1967">
        <v>52.025890349999997</v>
      </c>
      <c r="G1967">
        <v>1376.5323486</v>
      </c>
      <c r="H1967">
        <v>1364.2338867000001</v>
      </c>
      <c r="I1967">
        <v>1289.2532959</v>
      </c>
      <c r="J1967">
        <v>1270.2392577999999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1235.738218</v>
      </c>
      <c r="B1968" s="1">
        <f>DATE(2013,9,17) + TIME(17,43,2)</f>
        <v>41534.738217592596</v>
      </c>
      <c r="C1968">
        <v>90</v>
      </c>
      <c r="D1968">
        <v>89.953460692999997</v>
      </c>
      <c r="E1968">
        <v>60</v>
      </c>
      <c r="F1968">
        <v>51.999019623000002</v>
      </c>
      <c r="G1968">
        <v>1376.4813231999999</v>
      </c>
      <c r="H1968">
        <v>1364.1900635</v>
      </c>
      <c r="I1968">
        <v>1289.1674805</v>
      </c>
      <c r="J1968">
        <v>1270.0947266000001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1237.635489</v>
      </c>
      <c r="B1969" s="1">
        <f>DATE(2013,9,19) + TIME(15,15,6)</f>
        <v>41536.63548611111</v>
      </c>
      <c r="C1969">
        <v>90</v>
      </c>
      <c r="D1969">
        <v>89.953491210999999</v>
      </c>
      <c r="E1969">
        <v>60</v>
      </c>
      <c r="F1969">
        <v>51.978591919000003</v>
      </c>
      <c r="G1969">
        <v>1376.4300536999999</v>
      </c>
      <c r="H1969">
        <v>1364.145874</v>
      </c>
      <c r="I1969">
        <v>1289.0826416</v>
      </c>
      <c r="J1969">
        <v>1269.9515381000001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1239.5643600000001</v>
      </c>
      <c r="B1970" s="1">
        <f>DATE(2013,9,21) + TIME(13,32,40)</f>
        <v>41538.564351851855</v>
      </c>
      <c r="C1970">
        <v>90</v>
      </c>
      <c r="D1970">
        <v>89.953521729000002</v>
      </c>
      <c r="E1970">
        <v>60</v>
      </c>
      <c r="F1970">
        <v>51.965309142999999</v>
      </c>
      <c r="G1970">
        <v>1376.378418</v>
      </c>
      <c r="H1970">
        <v>1364.1013184000001</v>
      </c>
      <c r="I1970">
        <v>1288.9987793</v>
      </c>
      <c r="J1970">
        <v>1269.8098144999999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1241.505805</v>
      </c>
      <c r="B1971" s="1">
        <f>DATE(2013,9,23) + TIME(12,8,21)</f>
        <v>41540.505798611113</v>
      </c>
      <c r="C1971">
        <v>90</v>
      </c>
      <c r="D1971">
        <v>89.953544617000006</v>
      </c>
      <c r="E1971">
        <v>60</v>
      </c>
      <c r="F1971">
        <v>51.959960938000002</v>
      </c>
      <c r="G1971">
        <v>1376.3261719</v>
      </c>
      <c r="H1971">
        <v>1364.0562743999999</v>
      </c>
      <c r="I1971">
        <v>1288.9160156</v>
      </c>
      <c r="J1971">
        <v>1269.6701660000001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1242.486795</v>
      </c>
      <c r="B1972" s="1">
        <f>DATE(2013,9,24) + TIME(11,40,59)</f>
        <v>41541.486793981479</v>
      </c>
      <c r="C1972">
        <v>90</v>
      </c>
      <c r="D1972">
        <v>89.953552246000001</v>
      </c>
      <c r="E1972">
        <v>60</v>
      </c>
      <c r="F1972">
        <v>51.962558745999999</v>
      </c>
      <c r="G1972">
        <v>1376.2740478999999</v>
      </c>
      <c r="H1972">
        <v>1364.0111084</v>
      </c>
      <c r="I1972">
        <v>1288.8425293</v>
      </c>
      <c r="J1972">
        <v>1269.5458983999999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1243.467785</v>
      </c>
      <c r="B1973" s="1">
        <f>DATE(2013,9,25) + TIME(11,13,36)</f>
        <v>41542.467777777776</v>
      </c>
      <c r="C1973">
        <v>90</v>
      </c>
      <c r="D1973">
        <v>89.953559874999996</v>
      </c>
      <c r="E1973">
        <v>60</v>
      </c>
      <c r="F1973">
        <v>51.968185425000001</v>
      </c>
      <c r="G1973">
        <v>1376.2475586</v>
      </c>
      <c r="H1973">
        <v>1363.9880370999999</v>
      </c>
      <c r="I1973">
        <v>1288.7973632999999</v>
      </c>
      <c r="J1973">
        <v>1269.4697266000001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1244.4487750000001</v>
      </c>
      <c r="B1974" s="1">
        <f>DATE(2013,9,26) + TIME(10,46,14)</f>
        <v>41543.448773148149</v>
      </c>
      <c r="C1974">
        <v>90</v>
      </c>
      <c r="D1974">
        <v>89.953575134000005</v>
      </c>
      <c r="E1974">
        <v>60</v>
      </c>
      <c r="F1974">
        <v>51.976528168000002</v>
      </c>
      <c r="G1974">
        <v>1376.2214355000001</v>
      </c>
      <c r="H1974">
        <v>1363.9654541</v>
      </c>
      <c r="I1974">
        <v>1288.7559814000001</v>
      </c>
      <c r="J1974">
        <v>1269.4001464999999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1245.4297650000001</v>
      </c>
      <c r="B1975" s="1">
        <f>DATE(2013,9,27) + TIME(10,18,51)</f>
        <v>41544.429756944446</v>
      </c>
      <c r="C1975">
        <v>90</v>
      </c>
      <c r="D1975">
        <v>89.953590392999999</v>
      </c>
      <c r="E1975">
        <v>60</v>
      </c>
      <c r="F1975">
        <v>51.987476348999998</v>
      </c>
      <c r="G1975">
        <v>1376.1954346</v>
      </c>
      <c r="H1975">
        <v>1363.9428711</v>
      </c>
      <c r="I1975">
        <v>1288.7166748</v>
      </c>
      <c r="J1975">
        <v>1269.3341064000001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1246.4107550000001</v>
      </c>
      <c r="B1976" s="1">
        <f>DATE(2013,9,28) + TIME(9,51,29)</f>
        <v>41545.410752314812</v>
      </c>
      <c r="C1976">
        <v>90</v>
      </c>
      <c r="D1976">
        <v>89.953605651999993</v>
      </c>
      <c r="E1976">
        <v>60</v>
      </c>
      <c r="F1976">
        <v>52.000999450999998</v>
      </c>
      <c r="G1976">
        <v>1376.1695557</v>
      </c>
      <c r="H1976">
        <v>1363.9202881000001</v>
      </c>
      <c r="I1976">
        <v>1288.6788329999999</v>
      </c>
      <c r="J1976">
        <v>1269.2705077999999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1247.3917449999999</v>
      </c>
      <c r="B1977" s="1">
        <f>DATE(2013,9,29) + TIME(9,24,6)</f>
        <v>41546.391736111109</v>
      </c>
      <c r="C1977">
        <v>90</v>
      </c>
      <c r="D1977">
        <v>89.953620911000002</v>
      </c>
      <c r="E1977">
        <v>60</v>
      </c>
      <c r="F1977">
        <v>52.017101287999999</v>
      </c>
      <c r="G1977">
        <v>1376.1436768000001</v>
      </c>
      <c r="H1977">
        <v>1363.8978271000001</v>
      </c>
      <c r="I1977">
        <v>1288.6420897999999</v>
      </c>
      <c r="J1977">
        <v>1269.2088623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1249</v>
      </c>
      <c r="B1978" s="1">
        <f>DATE(2013,10,1) + TIME(0,0,0)</f>
        <v>41548</v>
      </c>
      <c r="C1978">
        <v>90</v>
      </c>
      <c r="D1978">
        <v>89.953643799000005</v>
      </c>
      <c r="E1978">
        <v>60</v>
      </c>
      <c r="F1978">
        <v>52.039733886999997</v>
      </c>
      <c r="G1978">
        <v>1376.1180420000001</v>
      </c>
      <c r="H1978">
        <v>1363.8754882999999</v>
      </c>
      <c r="I1978">
        <v>1288.6022949000001</v>
      </c>
      <c r="J1978">
        <v>1269.1435547000001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1250.96198</v>
      </c>
      <c r="B1979" s="1">
        <f>DATE(2013,10,2) + TIME(23,5,15)</f>
        <v>41549.96197916667</v>
      </c>
      <c r="C1979">
        <v>90</v>
      </c>
      <c r="D1979">
        <v>89.953681946000003</v>
      </c>
      <c r="E1979">
        <v>60</v>
      </c>
      <c r="F1979">
        <v>52.075111389</v>
      </c>
      <c r="G1979">
        <v>1376.0761719</v>
      </c>
      <c r="H1979">
        <v>1363.8389893000001</v>
      </c>
      <c r="I1979">
        <v>1288.5466309000001</v>
      </c>
      <c r="J1979">
        <v>1269.0507812000001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1252.9470799999999</v>
      </c>
      <c r="B1980" s="1">
        <f>DATE(2013,10,4) + TIME(22,43,47)</f>
        <v>41551.947071759256</v>
      </c>
      <c r="C1980">
        <v>90</v>
      </c>
      <c r="D1980">
        <v>89.953712463000002</v>
      </c>
      <c r="E1980">
        <v>60</v>
      </c>
      <c r="F1980">
        <v>52.125244141000003</v>
      </c>
      <c r="G1980">
        <v>1376.0253906</v>
      </c>
      <c r="H1980">
        <v>1363.7946777</v>
      </c>
      <c r="I1980">
        <v>1288.4820557</v>
      </c>
      <c r="J1980">
        <v>1268.9431152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1254.9680040000001</v>
      </c>
      <c r="B1981" s="1">
        <f>DATE(2013,10,6) + TIME(23,13,55)</f>
        <v>41553.967997685184</v>
      </c>
      <c r="C1981">
        <v>90</v>
      </c>
      <c r="D1981">
        <v>89.953742981000005</v>
      </c>
      <c r="E1981">
        <v>60</v>
      </c>
      <c r="F1981">
        <v>52.188095093000001</v>
      </c>
      <c r="G1981">
        <v>1375.9742432</v>
      </c>
      <c r="H1981">
        <v>1363.75</v>
      </c>
      <c r="I1981">
        <v>1288.4173584</v>
      </c>
      <c r="J1981">
        <v>1268.8367920000001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1257.0307299999999</v>
      </c>
      <c r="B1982" s="1">
        <f>DATE(2013,10,9) + TIME(0,44,15)</f>
        <v>41556.030729166669</v>
      </c>
      <c r="C1982">
        <v>90</v>
      </c>
      <c r="D1982">
        <v>89.953773498999993</v>
      </c>
      <c r="E1982">
        <v>60</v>
      </c>
      <c r="F1982">
        <v>52.263729095000002</v>
      </c>
      <c r="G1982">
        <v>1375.9224853999999</v>
      </c>
      <c r="H1982">
        <v>1363.7047118999999</v>
      </c>
      <c r="I1982">
        <v>1288.354126</v>
      </c>
      <c r="J1982">
        <v>1268.7338867000001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1259.141118</v>
      </c>
      <c r="B1983" s="1">
        <f>DATE(2013,10,11) + TIME(3,23,12)</f>
        <v>41558.141111111108</v>
      </c>
      <c r="C1983">
        <v>90</v>
      </c>
      <c r="D1983">
        <v>89.953804016000007</v>
      </c>
      <c r="E1983">
        <v>60</v>
      </c>
      <c r="F1983">
        <v>52.352863311999997</v>
      </c>
      <c r="G1983">
        <v>1375.8702393000001</v>
      </c>
      <c r="H1983">
        <v>1363.6588135</v>
      </c>
      <c r="I1983">
        <v>1288.2927245999999</v>
      </c>
      <c r="J1983">
        <v>1268.6350098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1261.2918999999999</v>
      </c>
      <c r="B1984" s="1">
        <f>DATE(2013,10,13) + TIME(7,0,20)</f>
        <v>41560.291898148149</v>
      </c>
      <c r="C1984">
        <v>90</v>
      </c>
      <c r="D1984">
        <v>89.953842163000004</v>
      </c>
      <c r="E1984">
        <v>60</v>
      </c>
      <c r="F1984">
        <v>52.456127166999998</v>
      </c>
      <c r="G1984">
        <v>1375.8171387</v>
      </c>
      <c r="H1984">
        <v>1363.6123047000001</v>
      </c>
      <c r="I1984">
        <v>1288.2333983999999</v>
      </c>
      <c r="J1984">
        <v>1268.5408935999999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1263.4542630000001</v>
      </c>
      <c r="B1985" s="1">
        <f>DATE(2013,10,15) + TIME(10,54,8)</f>
        <v>41562.454259259262</v>
      </c>
      <c r="C1985">
        <v>90</v>
      </c>
      <c r="D1985">
        <v>89.953872681000007</v>
      </c>
      <c r="E1985">
        <v>60</v>
      </c>
      <c r="F1985">
        <v>52.573490143000001</v>
      </c>
      <c r="G1985">
        <v>1375.7634277</v>
      </c>
      <c r="H1985">
        <v>1363.5650635</v>
      </c>
      <c r="I1985">
        <v>1288.1765137</v>
      </c>
      <c r="J1985">
        <v>1268.4522704999999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1265.6372550000001</v>
      </c>
      <c r="B1986" s="1">
        <f>DATE(2013,10,17) + TIME(15,17,38)</f>
        <v>41564.637245370373</v>
      </c>
      <c r="C1986">
        <v>90</v>
      </c>
      <c r="D1986">
        <v>89.953910828000005</v>
      </c>
      <c r="E1986">
        <v>60</v>
      </c>
      <c r="F1986">
        <v>52.704277038999997</v>
      </c>
      <c r="G1986">
        <v>1375.7099608999999</v>
      </c>
      <c r="H1986">
        <v>1363.5179443</v>
      </c>
      <c r="I1986">
        <v>1288.1226807</v>
      </c>
      <c r="J1986">
        <v>1268.3702393000001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1267.851306</v>
      </c>
      <c r="B1987" s="1">
        <f>DATE(2013,10,19) + TIME(20,25,52)</f>
        <v>41566.8512962963</v>
      </c>
      <c r="C1987">
        <v>90</v>
      </c>
      <c r="D1987">
        <v>89.953941345000004</v>
      </c>
      <c r="E1987">
        <v>60</v>
      </c>
      <c r="F1987">
        <v>52.848545074</v>
      </c>
      <c r="G1987">
        <v>1375.6563721</v>
      </c>
      <c r="H1987">
        <v>1363.4708252</v>
      </c>
      <c r="I1987">
        <v>1288.0720214999999</v>
      </c>
      <c r="J1987">
        <v>1268.2947998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1270.0926460000001</v>
      </c>
      <c r="B1988" s="1">
        <f>DATE(2013,10,22) + TIME(2,13,24)</f>
        <v>41569.092638888891</v>
      </c>
      <c r="C1988">
        <v>90</v>
      </c>
      <c r="D1988">
        <v>89.953979492000002</v>
      </c>
      <c r="E1988">
        <v>60</v>
      </c>
      <c r="F1988">
        <v>53.006397247000002</v>
      </c>
      <c r="G1988">
        <v>1375.6026611</v>
      </c>
      <c r="H1988">
        <v>1363.4233397999999</v>
      </c>
      <c r="I1988">
        <v>1288.0241699000001</v>
      </c>
      <c r="J1988">
        <v>1268.2258300999999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1272.357422</v>
      </c>
      <c r="B1989" s="1">
        <f>DATE(2013,10,24) + TIME(8,34,41)</f>
        <v>41571.357418981483</v>
      </c>
      <c r="C1989">
        <v>90</v>
      </c>
      <c r="D1989">
        <v>89.954017639</v>
      </c>
      <c r="E1989">
        <v>60</v>
      </c>
      <c r="F1989">
        <v>53.177215576000002</v>
      </c>
      <c r="G1989">
        <v>1375.5488281</v>
      </c>
      <c r="H1989">
        <v>1363.3758545000001</v>
      </c>
      <c r="I1989">
        <v>1287.9792480000001</v>
      </c>
      <c r="J1989">
        <v>1268.1634521000001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1274.662887</v>
      </c>
      <c r="B1990" s="1">
        <f>DATE(2013,10,26) + TIME(15,54,33)</f>
        <v>41573.662881944445</v>
      </c>
      <c r="C1990">
        <v>90</v>
      </c>
      <c r="D1990">
        <v>89.954048157000003</v>
      </c>
      <c r="E1990">
        <v>60</v>
      </c>
      <c r="F1990">
        <v>53.360580444</v>
      </c>
      <c r="G1990">
        <v>1375.4949951000001</v>
      </c>
      <c r="H1990">
        <v>1363.328125</v>
      </c>
      <c r="I1990">
        <v>1287.9373779</v>
      </c>
      <c r="J1990">
        <v>1268.1076660000001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1276.9851590000001</v>
      </c>
      <c r="B1991" s="1">
        <f>DATE(2013,10,28) + TIME(23,38,37)</f>
        <v>41575.985150462962</v>
      </c>
      <c r="C1991">
        <v>90</v>
      </c>
      <c r="D1991">
        <v>89.954086304</v>
      </c>
      <c r="E1991">
        <v>60</v>
      </c>
      <c r="F1991">
        <v>53.556087494000003</v>
      </c>
      <c r="G1991">
        <v>1375.4406738</v>
      </c>
      <c r="H1991">
        <v>1363.2801514</v>
      </c>
      <c r="I1991">
        <v>1287.8983154</v>
      </c>
      <c r="J1991">
        <v>1268.0581055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1279.3121269999999</v>
      </c>
      <c r="B1992" s="1">
        <f>DATE(2013,10,31) + TIME(7,29,27)</f>
        <v>41578.312118055554</v>
      </c>
      <c r="C1992">
        <v>90</v>
      </c>
      <c r="D1992">
        <v>89.954124450999998</v>
      </c>
      <c r="E1992">
        <v>60</v>
      </c>
      <c r="F1992">
        <v>53.761569977000001</v>
      </c>
      <c r="G1992">
        <v>1375.3867187999999</v>
      </c>
      <c r="H1992">
        <v>1363.2322998</v>
      </c>
      <c r="I1992">
        <v>1287.8625488</v>
      </c>
      <c r="J1992">
        <v>1268.0153809000001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1280</v>
      </c>
      <c r="B1993" s="1">
        <f>DATE(2013,11,1) + TIME(0,0,0)</f>
        <v>41579</v>
      </c>
      <c r="C1993">
        <v>90</v>
      </c>
      <c r="D1993">
        <v>89.954124450999998</v>
      </c>
      <c r="E1993">
        <v>60</v>
      </c>
      <c r="F1993">
        <v>53.896442413000003</v>
      </c>
      <c r="G1993">
        <v>1375.3338623</v>
      </c>
      <c r="H1993">
        <v>1363.1854248</v>
      </c>
      <c r="I1993">
        <v>1287.8481445</v>
      </c>
      <c r="J1993">
        <v>1267.9855957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1280.0000010000001</v>
      </c>
      <c r="B1994" s="1">
        <f>DATE(2013,11,1) + TIME(0,0,0)</f>
        <v>41579</v>
      </c>
      <c r="C1994">
        <v>90</v>
      </c>
      <c r="D1994">
        <v>89.953994750999996</v>
      </c>
      <c r="E1994">
        <v>60</v>
      </c>
      <c r="F1994">
        <v>53.896575927999997</v>
      </c>
      <c r="G1994">
        <v>1362.3145752</v>
      </c>
      <c r="H1994">
        <v>1351.8522949000001</v>
      </c>
      <c r="I1994">
        <v>1308.6235352000001</v>
      </c>
      <c r="J1994">
        <v>1288.8127440999999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1280.000004</v>
      </c>
      <c r="B1995" s="1">
        <f>DATE(2013,11,1) + TIME(0,0,0)</f>
        <v>41579</v>
      </c>
      <c r="C1995">
        <v>90</v>
      </c>
      <c r="D1995">
        <v>89.953681946000003</v>
      </c>
      <c r="E1995">
        <v>60</v>
      </c>
      <c r="F1995">
        <v>53.896926880000002</v>
      </c>
      <c r="G1995">
        <v>1360.1544189000001</v>
      </c>
      <c r="H1995">
        <v>1349.6916504000001</v>
      </c>
      <c r="I1995">
        <v>1311.003418</v>
      </c>
      <c r="J1995">
        <v>1291.3620605000001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1280.0000130000001</v>
      </c>
      <c r="B1996" s="1">
        <f>DATE(2013,11,1) + TIME(0,0,1)</f>
        <v>41579.000011574077</v>
      </c>
      <c r="C1996">
        <v>90</v>
      </c>
      <c r="D1996">
        <v>89.953056334999999</v>
      </c>
      <c r="E1996">
        <v>60</v>
      </c>
      <c r="F1996">
        <v>53.897720337000003</v>
      </c>
      <c r="G1996">
        <v>1355.9335937999999</v>
      </c>
      <c r="H1996">
        <v>1345.4704589999999</v>
      </c>
      <c r="I1996">
        <v>1316.3677978999999</v>
      </c>
      <c r="J1996">
        <v>1296.9840088000001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1280.0000399999999</v>
      </c>
      <c r="B1997" s="1">
        <f>DATE(2013,11,1) + TIME(0,0,3)</f>
        <v>41579.000034722223</v>
      </c>
      <c r="C1997">
        <v>90</v>
      </c>
      <c r="D1997">
        <v>89.952178954999994</v>
      </c>
      <c r="E1997">
        <v>60</v>
      </c>
      <c r="F1997">
        <v>53.899105071999998</v>
      </c>
      <c r="G1997">
        <v>1349.9884033000001</v>
      </c>
      <c r="H1997">
        <v>1339.5272216999999</v>
      </c>
      <c r="I1997">
        <v>1325.3808594</v>
      </c>
      <c r="J1997">
        <v>1306.1362305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1280.000121</v>
      </c>
      <c r="B1998" s="1">
        <f>DATE(2013,11,1) + TIME(0,0,10)</f>
        <v>41579.000115740739</v>
      </c>
      <c r="C1998">
        <v>90</v>
      </c>
      <c r="D1998">
        <v>89.951217650999993</v>
      </c>
      <c r="E1998">
        <v>60</v>
      </c>
      <c r="F1998">
        <v>53.901161193999997</v>
      </c>
      <c r="G1998">
        <v>1343.5070800999999</v>
      </c>
      <c r="H1998">
        <v>1333.050293</v>
      </c>
      <c r="I1998">
        <v>1336.5092772999999</v>
      </c>
      <c r="J1998">
        <v>1317.2292480000001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1280.000364</v>
      </c>
      <c r="B1999" s="1">
        <f>DATE(2013,11,1) + TIME(0,0,31)</f>
        <v>41579.000358796293</v>
      </c>
      <c r="C1999">
        <v>90</v>
      </c>
      <c r="D1999">
        <v>89.950210571</v>
      </c>
      <c r="E1999">
        <v>60</v>
      </c>
      <c r="F1999">
        <v>53.904552459999998</v>
      </c>
      <c r="G1999">
        <v>1337.0123291</v>
      </c>
      <c r="H1999">
        <v>1326.5565185999999</v>
      </c>
      <c r="I1999">
        <v>1348.1354980000001</v>
      </c>
      <c r="J1999">
        <v>1328.791626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1280.0010930000001</v>
      </c>
      <c r="B2000" s="1">
        <f>DATE(2013,11,1) + TIME(0,1,34)</f>
        <v>41579.001087962963</v>
      </c>
      <c r="C2000">
        <v>90</v>
      </c>
      <c r="D2000">
        <v>89.949089049999998</v>
      </c>
      <c r="E2000">
        <v>60</v>
      </c>
      <c r="F2000">
        <v>53.91179657</v>
      </c>
      <c r="G2000">
        <v>1330.4337158000001</v>
      </c>
      <c r="H2000">
        <v>1319.9285889</v>
      </c>
      <c r="I2000">
        <v>1359.9914550999999</v>
      </c>
      <c r="J2000">
        <v>1340.5620117000001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1280.0032799999999</v>
      </c>
      <c r="B2001" s="1">
        <f>DATE(2013,11,1) + TIME(0,4,43)</f>
        <v>41579.003275462965</v>
      </c>
      <c r="C2001">
        <v>90</v>
      </c>
      <c r="D2001">
        <v>89.947601317999997</v>
      </c>
      <c r="E2001">
        <v>60</v>
      </c>
      <c r="F2001">
        <v>53.930625915999997</v>
      </c>
      <c r="G2001">
        <v>1323.4993896000001</v>
      </c>
      <c r="H2001">
        <v>1312.8284911999999</v>
      </c>
      <c r="I2001">
        <v>1372.0855713000001</v>
      </c>
      <c r="J2001">
        <v>1352.494751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1280.0098410000001</v>
      </c>
      <c r="B2002" s="1">
        <f>DATE(2013,11,1) + TIME(0,14,10)</f>
        <v>41579.009837962964</v>
      </c>
      <c r="C2002">
        <v>90</v>
      </c>
      <c r="D2002">
        <v>89.945137024000005</v>
      </c>
      <c r="E2002">
        <v>60</v>
      </c>
      <c r="F2002">
        <v>53.984073639000002</v>
      </c>
      <c r="G2002">
        <v>1316.4479980000001</v>
      </c>
      <c r="H2002">
        <v>1305.5891113</v>
      </c>
      <c r="I2002">
        <v>1383.3515625</v>
      </c>
      <c r="J2002">
        <v>1363.5524902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1280.029524</v>
      </c>
      <c r="B2003" s="1">
        <f>DATE(2013,11,1) + TIME(0,42,30)</f>
        <v>41579.029513888891</v>
      </c>
      <c r="C2003">
        <v>90</v>
      </c>
      <c r="D2003">
        <v>89.940055846999996</v>
      </c>
      <c r="E2003">
        <v>60</v>
      </c>
      <c r="F2003">
        <v>54.138427733999997</v>
      </c>
      <c r="G2003">
        <v>1310.7122803</v>
      </c>
      <c r="H2003">
        <v>1299.7609863</v>
      </c>
      <c r="I2003">
        <v>1391.3258057</v>
      </c>
      <c r="J2003">
        <v>1371.4077147999999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1280.072506</v>
      </c>
      <c r="B2004" s="1">
        <f>DATE(2013,11,1) + TIME(1,44,24)</f>
        <v>41579.072500000002</v>
      </c>
      <c r="C2004">
        <v>90</v>
      </c>
      <c r="D2004">
        <v>89.930686950999998</v>
      </c>
      <c r="E2004">
        <v>60</v>
      </c>
      <c r="F2004">
        <v>54.456184387</v>
      </c>
      <c r="G2004">
        <v>1308.0134277</v>
      </c>
      <c r="H2004">
        <v>1297.0374756000001</v>
      </c>
      <c r="I2004">
        <v>1394.2712402</v>
      </c>
      <c r="J2004">
        <v>1374.4053954999999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1280.1171919999999</v>
      </c>
      <c r="B2005" s="1">
        <f>DATE(2013,11,1) + TIME(2,48,45)</f>
        <v>41579.1171875</v>
      </c>
      <c r="C2005">
        <v>90</v>
      </c>
      <c r="D2005">
        <v>89.921386718999997</v>
      </c>
      <c r="E2005">
        <v>60</v>
      </c>
      <c r="F2005">
        <v>54.767574310000001</v>
      </c>
      <c r="G2005">
        <v>1307.3020019999999</v>
      </c>
      <c r="H2005">
        <v>1296.3210449000001</v>
      </c>
      <c r="I2005">
        <v>1394.6981201000001</v>
      </c>
      <c r="J2005">
        <v>1374.9295654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1280.163468</v>
      </c>
      <c r="B2006" s="1">
        <f>DATE(2013,11,1) + TIME(3,55,23)</f>
        <v>41579.163460648146</v>
      </c>
      <c r="C2006">
        <v>90</v>
      </c>
      <c r="D2006">
        <v>89.911979674999998</v>
      </c>
      <c r="E2006">
        <v>60</v>
      </c>
      <c r="F2006">
        <v>55.070999145999998</v>
      </c>
      <c r="G2006">
        <v>1307.0954589999999</v>
      </c>
      <c r="H2006">
        <v>1296.1129149999999</v>
      </c>
      <c r="I2006">
        <v>1394.6021728999999</v>
      </c>
      <c r="J2006">
        <v>1374.9390868999999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1280.211417</v>
      </c>
      <c r="B2007" s="1">
        <f>DATE(2013,11,1) + TIME(5,4,26)</f>
        <v>41579.211412037039</v>
      </c>
      <c r="C2007">
        <v>90</v>
      </c>
      <c r="D2007">
        <v>89.902420043999996</v>
      </c>
      <c r="E2007">
        <v>60</v>
      </c>
      <c r="F2007">
        <v>55.366218566999997</v>
      </c>
      <c r="G2007">
        <v>1307.0292969</v>
      </c>
      <c r="H2007">
        <v>1296.0460204999999</v>
      </c>
      <c r="I2007">
        <v>1394.4067382999999</v>
      </c>
      <c r="J2007">
        <v>1374.8482666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1280.261178</v>
      </c>
      <c r="B2008" s="1">
        <f>DATE(2013,11,1) + TIME(6,16,5)</f>
        <v>41579.26116898148</v>
      </c>
      <c r="C2008">
        <v>90</v>
      </c>
      <c r="D2008">
        <v>89.892662048000005</v>
      </c>
      <c r="E2008">
        <v>60</v>
      </c>
      <c r="F2008">
        <v>55.653278350999997</v>
      </c>
      <c r="G2008">
        <v>1307.005249</v>
      </c>
      <c r="H2008">
        <v>1296.0216064000001</v>
      </c>
      <c r="I2008">
        <v>1394.2008057</v>
      </c>
      <c r="J2008">
        <v>1374.7440185999999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1280.312919</v>
      </c>
      <c r="B2009" s="1">
        <f>DATE(2013,11,1) + TIME(7,30,36)</f>
        <v>41579.312916666669</v>
      </c>
      <c r="C2009">
        <v>90</v>
      </c>
      <c r="D2009">
        <v>89.882682799999998</v>
      </c>
      <c r="E2009">
        <v>60</v>
      </c>
      <c r="F2009">
        <v>55.932250977000002</v>
      </c>
      <c r="G2009">
        <v>1306.9951172000001</v>
      </c>
      <c r="H2009">
        <v>1296.0111084</v>
      </c>
      <c r="I2009">
        <v>1394.0004882999999</v>
      </c>
      <c r="J2009">
        <v>1374.6422118999999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1280.366835</v>
      </c>
      <c r="B2010" s="1">
        <f>DATE(2013,11,1) + TIME(8,48,14)</f>
        <v>41579.366828703707</v>
      </c>
      <c r="C2010">
        <v>90</v>
      </c>
      <c r="D2010">
        <v>89.872451781999999</v>
      </c>
      <c r="E2010">
        <v>60</v>
      </c>
      <c r="F2010">
        <v>56.203224182</v>
      </c>
      <c r="G2010">
        <v>1306.9898682</v>
      </c>
      <c r="H2010">
        <v>1296.0054932</v>
      </c>
      <c r="I2010">
        <v>1393.807251</v>
      </c>
      <c r="J2010">
        <v>1374.5443115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1280.423133</v>
      </c>
      <c r="B2011" s="1">
        <f>DATE(2013,11,1) + TIME(10,9,18)</f>
        <v>41579.423125000001</v>
      </c>
      <c r="C2011">
        <v>90</v>
      </c>
      <c r="D2011">
        <v>89.861953735</v>
      </c>
      <c r="E2011">
        <v>60</v>
      </c>
      <c r="F2011">
        <v>56.466209411999998</v>
      </c>
      <c r="G2011">
        <v>1306.9863281</v>
      </c>
      <c r="H2011">
        <v>1296.0015868999999</v>
      </c>
      <c r="I2011">
        <v>1393.6202393000001</v>
      </c>
      <c r="J2011">
        <v>1374.4494629000001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1280.482082</v>
      </c>
      <c r="B2012" s="1">
        <f>DATE(2013,11,1) + TIME(11,34,11)</f>
        <v>41579.482071759259</v>
      </c>
      <c r="C2012">
        <v>90</v>
      </c>
      <c r="D2012">
        <v>89.851142882999994</v>
      </c>
      <c r="E2012">
        <v>60</v>
      </c>
      <c r="F2012">
        <v>56.721309662000003</v>
      </c>
      <c r="G2012">
        <v>1306.9835204999999</v>
      </c>
      <c r="H2012">
        <v>1295.9982910000001</v>
      </c>
      <c r="I2012">
        <v>1393.4385986</v>
      </c>
      <c r="J2012">
        <v>1374.3570557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1280.5439759999999</v>
      </c>
      <c r="B2013" s="1">
        <f>DATE(2013,11,1) + TIME(13,3,19)</f>
        <v>41579.543969907405</v>
      </c>
      <c r="C2013">
        <v>90</v>
      </c>
      <c r="D2013">
        <v>89.839988708000007</v>
      </c>
      <c r="E2013">
        <v>60</v>
      </c>
      <c r="F2013">
        <v>56.968559265000003</v>
      </c>
      <c r="G2013">
        <v>1306.9807129000001</v>
      </c>
      <c r="H2013">
        <v>1295.9951172000001</v>
      </c>
      <c r="I2013">
        <v>1393.2617187999999</v>
      </c>
      <c r="J2013">
        <v>1374.2666016000001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1280.6091610000001</v>
      </c>
      <c r="B2014" s="1">
        <f>DATE(2013,11,1) + TIME(14,37,11)</f>
        <v>41579.609155092592</v>
      </c>
      <c r="C2014">
        <v>90</v>
      </c>
      <c r="D2014">
        <v>89.828437804999993</v>
      </c>
      <c r="E2014">
        <v>60</v>
      </c>
      <c r="F2014">
        <v>57.207965850999997</v>
      </c>
      <c r="G2014">
        <v>1306.9780272999999</v>
      </c>
      <c r="H2014">
        <v>1295.9919434000001</v>
      </c>
      <c r="I2014">
        <v>1393.0892334</v>
      </c>
      <c r="J2014">
        <v>1374.1777344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1280.678044</v>
      </c>
      <c r="B2015" s="1">
        <f>DATE(2013,11,1) + TIME(16,16,23)</f>
        <v>41579.678043981483</v>
      </c>
      <c r="C2015">
        <v>90</v>
      </c>
      <c r="D2015">
        <v>89.816444396999998</v>
      </c>
      <c r="E2015">
        <v>60</v>
      </c>
      <c r="F2015">
        <v>57.439521790000001</v>
      </c>
      <c r="G2015">
        <v>1306.9750977000001</v>
      </c>
      <c r="H2015">
        <v>1295.9886475000001</v>
      </c>
      <c r="I2015">
        <v>1392.9208983999999</v>
      </c>
      <c r="J2015">
        <v>1374.090332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1280.7511079999999</v>
      </c>
      <c r="B2016" s="1">
        <f>DATE(2013,11,1) + TIME(18,1,35)</f>
        <v>41579.751099537039</v>
      </c>
      <c r="C2016">
        <v>90</v>
      </c>
      <c r="D2016">
        <v>89.803955078000001</v>
      </c>
      <c r="E2016">
        <v>60</v>
      </c>
      <c r="F2016">
        <v>57.663196564000003</v>
      </c>
      <c r="G2016">
        <v>1306.972168</v>
      </c>
      <c r="H2016">
        <v>1295.9852295000001</v>
      </c>
      <c r="I2016">
        <v>1392.7564697</v>
      </c>
      <c r="J2016">
        <v>1374.0042725000001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1280.828931</v>
      </c>
      <c r="B2017" s="1">
        <f>DATE(2013,11,1) + TIME(19,53,39)</f>
        <v>41579.828923611109</v>
      </c>
      <c r="C2017">
        <v>90</v>
      </c>
      <c r="D2017">
        <v>89.790885924999998</v>
      </c>
      <c r="E2017">
        <v>60</v>
      </c>
      <c r="F2017">
        <v>57.878921509000001</v>
      </c>
      <c r="G2017">
        <v>1306.9689940999999</v>
      </c>
      <c r="H2017">
        <v>1295.9815673999999</v>
      </c>
      <c r="I2017">
        <v>1392.5957031</v>
      </c>
      <c r="J2017">
        <v>1373.9191894999999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1280.9122170000001</v>
      </c>
      <c r="B2018" s="1">
        <f>DATE(2013,11,1) + TIME(21,53,35)</f>
        <v>41579.912210648145</v>
      </c>
      <c r="C2018">
        <v>90</v>
      </c>
      <c r="D2018">
        <v>89.777160644999995</v>
      </c>
      <c r="E2018">
        <v>60</v>
      </c>
      <c r="F2018">
        <v>58.086616515999999</v>
      </c>
      <c r="G2018">
        <v>1306.9655762</v>
      </c>
      <c r="H2018">
        <v>1295.9776611</v>
      </c>
      <c r="I2018">
        <v>1392.4383545000001</v>
      </c>
      <c r="J2018">
        <v>1373.8350829999999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1281.0018299999999</v>
      </c>
      <c r="B2019" s="1">
        <f>DATE(2013,11,2) + TIME(0,2,38)</f>
        <v>41580.001828703702</v>
      </c>
      <c r="C2019">
        <v>90</v>
      </c>
      <c r="D2019">
        <v>89.762672424000002</v>
      </c>
      <c r="E2019">
        <v>60</v>
      </c>
      <c r="F2019">
        <v>58.286155700999998</v>
      </c>
      <c r="G2019">
        <v>1306.9619141000001</v>
      </c>
      <c r="H2019">
        <v>1295.9735106999999</v>
      </c>
      <c r="I2019">
        <v>1392.2841797000001</v>
      </c>
      <c r="J2019">
        <v>1373.7518310999999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1281.098847</v>
      </c>
      <c r="B2020" s="1">
        <f>DATE(2013,11,2) + TIME(2,22,20)</f>
        <v>41580.09884259259</v>
      </c>
      <c r="C2020">
        <v>90</v>
      </c>
      <c r="D2020">
        <v>89.747291564999998</v>
      </c>
      <c r="E2020">
        <v>60</v>
      </c>
      <c r="F2020">
        <v>58.477382660000004</v>
      </c>
      <c r="G2020">
        <v>1306.9581298999999</v>
      </c>
      <c r="H2020">
        <v>1295.9689940999999</v>
      </c>
      <c r="I2020">
        <v>1392.1328125</v>
      </c>
      <c r="J2020">
        <v>1373.6690673999999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1281.204655</v>
      </c>
      <c r="B2021" s="1">
        <f>DATE(2013,11,2) + TIME(4,54,42)</f>
        <v>41580.204652777778</v>
      </c>
      <c r="C2021">
        <v>90</v>
      </c>
      <c r="D2021">
        <v>89.730865479000002</v>
      </c>
      <c r="E2021">
        <v>60</v>
      </c>
      <c r="F2021">
        <v>58.660114288000003</v>
      </c>
      <c r="G2021">
        <v>1306.9538574000001</v>
      </c>
      <c r="H2021">
        <v>1295.9642334</v>
      </c>
      <c r="I2021">
        <v>1391.9841309000001</v>
      </c>
      <c r="J2021">
        <v>1373.5866699000001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1281.3210389999999</v>
      </c>
      <c r="B2022" s="1">
        <f>DATE(2013,11,2) + TIME(7,42,17)</f>
        <v>41580.321030092593</v>
      </c>
      <c r="C2022">
        <v>90</v>
      </c>
      <c r="D2022">
        <v>89.713180542000003</v>
      </c>
      <c r="E2022">
        <v>60</v>
      </c>
      <c r="F2022">
        <v>58.834102631</v>
      </c>
      <c r="G2022">
        <v>1306.9493408000001</v>
      </c>
      <c r="H2022">
        <v>1295.9591064000001</v>
      </c>
      <c r="I2022">
        <v>1391.8377685999999</v>
      </c>
      <c r="J2022">
        <v>1373.5043945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1281.4503070000001</v>
      </c>
      <c r="B2023" s="1">
        <f>DATE(2013,11,2) + TIME(10,48,26)</f>
        <v>41580.450300925928</v>
      </c>
      <c r="C2023">
        <v>90</v>
      </c>
      <c r="D2023">
        <v>89.693984985</v>
      </c>
      <c r="E2023">
        <v>60</v>
      </c>
      <c r="F2023">
        <v>58.998970032000003</v>
      </c>
      <c r="G2023">
        <v>1306.9444579999999</v>
      </c>
      <c r="H2023">
        <v>1295.9533690999999</v>
      </c>
      <c r="I2023">
        <v>1391.6934814000001</v>
      </c>
      <c r="J2023">
        <v>1373.4219971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1281.5956229999999</v>
      </c>
      <c r="B2024" s="1">
        <f>DATE(2013,11,2) + TIME(14,17,41)</f>
        <v>41580.595613425925</v>
      </c>
      <c r="C2024">
        <v>90</v>
      </c>
      <c r="D2024">
        <v>89.672927856000001</v>
      </c>
      <c r="E2024">
        <v>60</v>
      </c>
      <c r="F2024">
        <v>59.154285430999998</v>
      </c>
      <c r="G2024">
        <v>1306.9389647999999</v>
      </c>
      <c r="H2024">
        <v>1295.9471435999999</v>
      </c>
      <c r="I2024">
        <v>1391.5506591999999</v>
      </c>
      <c r="J2024">
        <v>1373.3389893000001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1281.7614120000001</v>
      </c>
      <c r="B2025" s="1">
        <f>DATE(2013,11,2) + TIME(18,16,25)</f>
        <v>41580.761400462965</v>
      </c>
      <c r="C2025">
        <v>90</v>
      </c>
      <c r="D2025">
        <v>89.649536132999998</v>
      </c>
      <c r="E2025">
        <v>60</v>
      </c>
      <c r="F2025">
        <v>59.299514770999998</v>
      </c>
      <c r="G2025">
        <v>1306.9329834</v>
      </c>
      <c r="H2025">
        <v>1295.9400635</v>
      </c>
      <c r="I2025">
        <v>1391.4090576000001</v>
      </c>
      <c r="J2025">
        <v>1373.2550048999999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1281.9328539999999</v>
      </c>
      <c r="B2026" s="1">
        <f>DATE(2013,11,2) + TIME(22,23,18)</f>
        <v>41580.932847222219</v>
      </c>
      <c r="C2026">
        <v>90</v>
      </c>
      <c r="D2026">
        <v>89.625572204999997</v>
      </c>
      <c r="E2026">
        <v>60</v>
      </c>
      <c r="F2026">
        <v>59.421897887999997</v>
      </c>
      <c r="G2026">
        <v>1306.9260254000001</v>
      </c>
      <c r="H2026">
        <v>1295.932251</v>
      </c>
      <c r="I2026">
        <v>1391.2790527</v>
      </c>
      <c r="J2026">
        <v>1373.1755370999999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1282.1056619999999</v>
      </c>
      <c r="B2027" s="1">
        <f>DATE(2013,11,3) + TIME(2,32,9)</f>
        <v>41581.10565972222</v>
      </c>
      <c r="C2027">
        <v>90</v>
      </c>
      <c r="D2027">
        <v>89.601516724000007</v>
      </c>
      <c r="E2027">
        <v>60</v>
      </c>
      <c r="F2027">
        <v>59.522296906000001</v>
      </c>
      <c r="G2027">
        <v>1306.9188231999999</v>
      </c>
      <c r="H2027">
        <v>1295.9241943</v>
      </c>
      <c r="I2027">
        <v>1391.1627197</v>
      </c>
      <c r="J2027">
        <v>1373.1025391000001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1282.281432</v>
      </c>
      <c r="B2028" s="1">
        <f>DATE(2013,11,3) + TIME(6,45,15)</f>
        <v>41581.281423611108</v>
      </c>
      <c r="C2028">
        <v>90</v>
      </c>
      <c r="D2028">
        <v>89.577209472999996</v>
      </c>
      <c r="E2028">
        <v>60</v>
      </c>
      <c r="F2028">
        <v>59.605182648000003</v>
      </c>
      <c r="G2028">
        <v>1306.9116211</v>
      </c>
      <c r="H2028">
        <v>1295.9161377</v>
      </c>
      <c r="I2028">
        <v>1391.0578613</v>
      </c>
      <c r="J2028">
        <v>1373.0354004000001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1282.461325</v>
      </c>
      <c r="B2029" s="1">
        <f>DATE(2013,11,3) + TIME(11,4,18)</f>
        <v>41581.461319444446</v>
      </c>
      <c r="C2029">
        <v>90</v>
      </c>
      <c r="D2029">
        <v>89.552513122999997</v>
      </c>
      <c r="E2029">
        <v>60</v>
      </c>
      <c r="F2029">
        <v>59.673755645999996</v>
      </c>
      <c r="G2029">
        <v>1306.9042969</v>
      </c>
      <c r="H2029">
        <v>1295.9079589999999</v>
      </c>
      <c r="I2029">
        <v>1390.9622803</v>
      </c>
      <c r="J2029">
        <v>1372.9731445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1282.6465149999999</v>
      </c>
      <c r="B2030" s="1">
        <f>DATE(2013,11,3) + TIME(15,30,58)</f>
        <v>41581.646504629629</v>
      </c>
      <c r="C2030">
        <v>90</v>
      </c>
      <c r="D2030">
        <v>89.527313231999997</v>
      </c>
      <c r="E2030">
        <v>60</v>
      </c>
      <c r="F2030">
        <v>59.730522155999999</v>
      </c>
      <c r="G2030">
        <v>1306.8968506000001</v>
      </c>
      <c r="H2030">
        <v>1295.8995361</v>
      </c>
      <c r="I2030">
        <v>1390.8745117000001</v>
      </c>
      <c r="J2030">
        <v>1372.9146728999999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1282.838238</v>
      </c>
      <c r="B2031" s="1">
        <f>DATE(2013,11,3) + TIME(20,7,3)</f>
        <v>41581.838229166664</v>
      </c>
      <c r="C2031">
        <v>90</v>
      </c>
      <c r="D2031">
        <v>89.501464843999997</v>
      </c>
      <c r="E2031">
        <v>60</v>
      </c>
      <c r="F2031">
        <v>59.777481078999998</v>
      </c>
      <c r="G2031">
        <v>1306.8892822</v>
      </c>
      <c r="H2031">
        <v>1295.8908690999999</v>
      </c>
      <c r="I2031">
        <v>1390.7929687999999</v>
      </c>
      <c r="J2031">
        <v>1372.8594971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1283.037836</v>
      </c>
      <c r="B2032" s="1">
        <f>DATE(2013,11,4) + TIME(0,54,29)</f>
        <v>41582.037835648145</v>
      </c>
      <c r="C2032">
        <v>90</v>
      </c>
      <c r="D2032">
        <v>89.474822997999993</v>
      </c>
      <c r="E2032">
        <v>60</v>
      </c>
      <c r="F2032">
        <v>59.816242217999999</v>
      </c>
      <c r="G2032">
        <v>1306.8814697</v>
      </c>
      <c r="H2032">
        <v>1295.8820800999999</v>
      </c>
      <c r="I2032">
        <v>1390.7166748</v>
      </c>
      <c r="J2032">
        <v>1372.8070068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1283.246817</v>
      </c>
      <c r="B2033" s="1">
        <f>DATE(2013,11,4) + TIME(5,55,24)</f>
        <v>41582.246805555558</v>
      </c>
      <c r="C2033">
        <v>90</v>
      </c>
      <c r="D2033">
        <v>89.447235106999997</v>
      </c>
      <c r="E2033">
        <v>60</v>
      </c>
      <c r="F2033">
        <v>59.848129272000001</v>
      </c>
      <c r="G2033">
        <v>1306.8734131000001</v>
      </c>
      <c r="H2033">
        <v>1295.8728027</v>
      </c>
      <c r="I2033">
        <v>1390.6446533000001</v>
      </c>
      <c r="J2033">
        <v>1372.7565918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1283.4669160000001</v>
      </c>
      <c r="B2034" s="1">
        <f>DATE(2013,11,4) + TIME(11,12,21)</f>
        <v>41582.466909722221</v>
      </c>
      <c r="C2034">
        <v>90</v>
      </c>
      <c r="D2034">
        <v>89.418518066000004</v>
      </c>
      <c r="E2034">
        <v>60</v>
      </c>
      <c r="F2034">
        <v>59.874240874999998</v>
      </c>
      <c r="G2034">
        <v>1306.8648682</v>
      </c>
      <c r="H2034">
        <v>1295.8631591999999</v>
      </c>
      <c r="I2034">
        <v>1390.5761719</v>
      </c>
      <c r="J2034">
        <v>1372.7077637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1283.7001829999999</v>
      </c>
      <c r="B2035" s="1">
        <f>DATE(2013,11,4) + TIME(16,48,15)</f>
        <v>41582.700173611112</v>
      </c>
      <c r="C2035">
        <v>90</v>
      </c>
      <c r="D2035">
        <v>89.388450622999997</v>
      </c>
      <c r="E2035">
        <v>60</v>
      </c>
      <c r="F2035">
        <v>59.895492554</v>
      </c>
      <c r="G2035">
        <v>1306.8560791</v>
      </c>
      <c r="H2035">
        <v>1295.8530272999999</v>
      </c>
      <c r="I2035">
        <v>1390.5102539</v>
      </c>
      <c r="J2035">
        <v>1372.6602783000001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1283.947907</v>
      </c>
      <c r="B2036" s="1">
        <f>DATE(2013,11,4) + TIME(22,44,59)</f>
        <v>41582.947905092595</v>
      </c>
      <c r="C2036">
        <v>90</v>
      </c>
      <c r="D2036">
        <v>89.356910705999994</v>
      </c>
      <c r="E2036">
        <v>60</v>
      </c>
      <c r="F2036">
        <v>59.912593842</v>
      </c>
      <c r="G2036">
        <v>1306.8466797000001</v>
      </c>
      <c r="H2036">
        <v>1295.8424072</v>
      </c>
      <c r="I2036">
        <v>1390.4465332</v>
      </c>
      <c r="J2036">
        <v>1372.6136475000001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1284.209235</v>
      </c>
      <c r="B2037" s="1">
        <f>DATE(2013,11,5) + TIME(5,1,17)</f>
        <v>41583.209224537037</v>
      </c>
      <c r="C2037">
        <v>90</v>
      </c>
      <c r="D2037">
        <v>89.323966979999994</v>
      </c>
      <c r="E2037">
        <v>60</v>
      </c>
      <c r="F2037">
        <v>59.926109314000001</v>
      </c>
      <c r="G2037">
        <v>1306.8366699000001</v>
      </c>
      <c r="H2037">
        <v>1295.8310547000001</v>
      </c>
      <c r="I2037">
        <v>1390.3846435999999</v>
      </c>
      <c r="J2037">
        <v>1372.567749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1284.486674</v>
      </c>
      <c r="B2038" s="1">
        <f>DATE(2013,11,5) + TIME(11,40,48)</f>
        <v>41583.486666666664</v>
      </c>
      <c r="C2038">
        <v>90</v>
      </c>
      <c r="D2038">
        <v>89.289375304999993</v>
      </c>
      <c r="E2038">
        <v>60</v>
      </c>
      <c r="F2038">
        <v>59.936706543</v>
      </c>
      <c r="G2038">
        <v>1306.8261719</v>
      </c>
      <c r="H2038">
        <v>1295.8190918</v>
      </c>
      <c r="I2038">
        <v>1390.3243408000001</v>
      </c>
      <c r="J2038">
        <v>1372.5227050999999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1284.782999</v>
      </c>
      <c r="B2039" s="1">
        <f>DATE(2013,11,5) + TIME(18,47,31)</f>
        <v>41583.782997685186</v>
      </c>
      <c r="C2039">
        <v>90</v>
      </c>
      <c r="D2039">
        <v>89.252883910999998</v>
      </c>
      <c r="E2039">
        <v>60</v>
      </c>
      <c r="F2039">
        <v>59.944946289000001</v>
      </c>
      <c r="G2039">
        <v>1306.8150635</v>
      </c>
      <c r="H2039">
        <v>1295.8063964999999</v>
      </c>
      <c r="I2039">
        <v>1390.2651367000001</v>
      </c>
      <c r="J2039">
        <v>1372.4781493999999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1285.1016340000001</v>
      </c>
      <c r="B2040" s="1">
        <f>DATE(2013,11,6) + TIME(2,26,21)</f>
        <v>41584.101631944446</v>
      </c>
      <c r="C2040">
        <v>90</v>
      </c>
      <c r="D2040">
        <v>89.214172363000003</v>
      </c>
      <c r="E2040">
        <v>60</v>
      </c>
      <c r="F2040">
        <v>59.951278686999999</v>
      </c>
      <c r="G2040">
        <v>1306.8032227000001</v>
      </c>
      <c r="H2040">
        <v>1295.7929687999999</v>
      </c>
      <c r="I2040">
        <v>1390.2064209</v>
      </c>
      <c r="J2040">
        <v>1372.4335937999999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1285.4469899999999</v>
      </c>
      <c r="B2041" s="1">
        <f>DATE(2013,11,6) + TIME(10,43,39)</f>
        <v>41584.446979166663</v>
      </c>
      <c r="C2041">
        <v>90</v>
      </c>
      <c r="D2041">
        <v>89.172828674000002</v>
      </c>
      <c r="E2041">
        <v>60</v>
      </c>
      <c r="F2041">
        <v>59.956092834000003</v>
      </c>
      <c r="G2041">
        <v>1306.7905272999999</v>
      </c>
      <c r="H2041">
        <v>1295.7784423999999</v>
      </c>
      <c r="I2041">
        <v>1390.1478271000001</v>
      </c>
      <c r="J2041">
        <v>1372.3887939000001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1285.8052</v>
      </c>
      <c r="B2042" s="1">
        <f>DATE(2013,11,6) + TIME(19,19,29)</f>
        <v>41584.805196759262</v>
      </c>
      <c r="C2042">
        <v>90</v>
      </c>
      <c r="D2042">
        <v>89.129951477000006</v>
      </c>
      <c r="E2042">
        <v>60</v>
      </c>
      <c r="F2042">
        <v>59.959571838000002</v>
      </c>
      <c r="G2042">
        <v>1306.7767334</v>
      </c>
      <c r="H2042">
        <v>1295.7626952999999</v>
      </c>
      <c r="I2042">
        <v>1390.0886230000001</v>
      </c>
      <c r="J2042">
        <v>1372.3435059000001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1286.169805</v>
      </c>
      <c r="B2043" s="1">
        <f>DATE(2013,11,7) + TIME(4,4,31)</f>
        <v>41585.169803240744</v>
      </c>
      <c r="C2043">
        <v>90</v>
      </c>
      <c r="D2043">
        <v>89.086174010999997</v>
      </c>
      <c r="E2043">
        <v>60</v>
      </c>
      <c r="F2043">
        <v>59.962036132999998</v>
      </c>
      <c r="G2043">
        <v>1306.7623291</v>
      </c>
      <c r="H2043">
        <v>1295.7464600000001</v>
      </c>
      <c r="I2043">
        <v>1390.03125</v>
      </c>
      <c r="J2043">
        <v>1372.2994385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1286.5440329999999</v>
      </c>
      <c r="B2044" s="1">
        <f>DATE(2013,11,7) + TIME(13,3,24)</f>
        <v>41585.544027777774</v>
      </c>
      <c r="C2044">
        <v>90</v>
      </c>
      <c r="D2044">
        <v>89.041374207000004</v>
      </c>
      <c r="E2044">
        <v>60</v>
      </c>
      <c r="F2044">
        <v>59.963802338000001</v>
      </c>
      <c r="G2044">
        <v>1306.7478027</v>
      </c>
      <c r="H2044">
        <v>1295.7298584</v>
      </c>
      <c r="I2044">
        <v>1389.9763184000001</v>
      </c>
      <c r="J2044">
        <v>1372.2572021000001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1286.930799</v>
      </c>
      <c r="B2045" s="1">
        <f>DATE(2013,11,7) + TIME(22,20,21)</f>
        <v>41585.930798611109</v>
      </c>
      <c r="C2045">
        <v>90</v>
      </c>
      <c r="D2045">
        <v>88.995384216000005</v>
      </c>
      <c r="E2045">
        <v>60</v>
      </c>
      <c r="F2045">
        <v>59.965068817000002</v>
      </c>
      <c r="G2045">
        <v>1306.7327881000001</v>
      </c>
      <c r="H2045">
        <v>1295.7127685999999</v>
      </c>
      <c r="I2045">
        <v>1389.9230957</v>
      </c>
      <c r="J2045">
        <v>1372.2163086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1287.3253360000001</v>
      </c>
      <c r="B2046" s="1">
        <f>DATE(2013,11,8) + TIME(7,48,28)</f>
        <v>41586.325324074074</v>
      </c>
      <c r="C2046">
        <v>90</v>
      </c>
      <c r="D2046">
        <v>88.948623656999999</v>
      </c>
      <c r="E2046">
        <v>60</v>
      </c>
      <c r="F2046">
        <v>59.965972899999997</v>
      </c>
      <c r="G2046">
        <v>1306.7172852000001</v>
      </c>
      <c r="H2046">
        <v>1295.6951904</v>
      </c>
      <c r="I2046">
        <v>1389.8710937999999</v>
      </c>
      <c r="J2046">
        <v>1372.1762695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1287.7301869999999</v>
      </c>
      <c r="B2047" s="1">
        <f>DATE(2013,11,8) + TIME(17,31,28)</f>
        <v>41586.730185185188</v>
      </c>
      <c r="C2047">
        <v>90</v>
      </c>
      <c r="D2047">
        <v>88.900962829999997</v>
      </c>
      <c r="E2047">
        <v>60</v>
      </c>
      <c r="F2047">
        <v>59.966621398999997</v>
      </c>
      <c r="G2047">
        <v>1306.7015381000001</v>
      </c>
      <c r="H2047">
        <v>1295.677124</v>
      </c>
      <c r="I2047">
        <v>1389.8208007999999</v>
      </c>
      <c r="J2047">
        <v>1372.1376952999999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1288.1478990000001</v>
      </c>
      <c r="B2048" s="1">
        <f>DATE(2013,11,9) + TIME(3,32,58)</f>
        <v>41587.147893518515</v>
      </c>
      <c r="C2048">
        <v>90</v>
      </c>
      <c r="D2048">
        <v>88.852226256999998</v>
      </c>
      <c r="E2048">
        <v>60</v>
      </c>
      <c r="F2048">
        <v>59.967090607000003</v>
      </c>
      <c r="G2048">
        <v>1306.6853027</v>
      </c>
      <c r="H2048">
        <v>1295.6585693</v>
      </c>
      <c r="I2048">
        <v>1389.7718506000001</v>
      </c>
      <c r="J2048">
        <v>1372.1000977000001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1288.581234</v>
      </c>
      <c r="B2049" s="1">
        <f>DATE(2013,11,9) + TIME(13,56,58)</f>
        <v>41587.581226851849</v>
      </c>
      <c r="C2049">
        <v>90</v>
      </c>
      <c r="D2049">
        <v>88.802200317</v>
      </c>
      <c r="E2049">
        <v>60</v>
      </c>
      <c r="F2049">
        <v>59.967437744000001</v>
      </c>
      <c r="G2049">
        <v>1306.6685791</v>
      </c>
      <c r="H2049">
        <v>1295.6394043</v>
      </c>
      <c r="I2049">
        <v>1389.7236327999999</v>
      </c>
      <c r="J2049">
        <v>1372.0633545000001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1289.033287</v>
      </c>
      <c r="B2050" s="1">
        <f>DATE(2013,11,10) + TIME(0,47,55)</f>
        <v>41588.033275462964</v>
      </c>
      <c r="C2050">
        <v>90</v>
      </c>
      <c r="D2050">
        <v>88.750648498999993</v>
      </c>
      <c r="E2050">
        <v>60</v>
      </c>
      <c r="F2050">
        <v>59.967693328999999</v>
      </c>
      <c r="G2050">
        <v>1306.6512451000001</v>
      </c>
      <c r="H2050">
        <v>1295.6193848</v>
      </c>
      <c r="I2050">
        <v>1389.6761475000001</v>
      </c>
      <c r="J2050">
        <v>1372.0269774999999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1289.5076349999999</v>
      </c>
      <c r="B2051" s="1">
        <f>DATE(2013,11,10) + TIME(12,10,59)</f>
        <v>41588.507627314815</v>
      </c>
      <c r="C2051">
        <v>90</v>
      </c>
      <c r="D2051">
        <v>88.697250366000006</v>
      </c>
      <c r="E2051">
        <v>60</v>
      </c>
      <c r="F2051">
        <v>59.967884064000003</v>
      </c>
      <c r="G2051">
        <v>1306.6330565999999</v>
      </c>
      <c r="H2051">
        <v>1295.5985106999999</v>
      </c>
      <c r="I2051">
        <v>1389.6287841999999</v>
      </c>
      <c r="J2051">
        <v>1371.9908447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1290.008511</v>
      </c>
      <c r="B2052" s="1">
        <f>DATE(2013,11,11) + TIME(0,12,15)</f>
        <v>41589.008506944447</v>
      </c>
      <c r="C2052">
        <v>90</v>
      </c>
      <c r="D2052">
        <v>88.641647339000002</v>
      </c>
      <c r="E2052">
        <v>60</v>
      </c>
      <c r="F2052">
        <v>59.968029022000003</v>
      </c>
      <c r="G2052">
        <v>1306.6140137</v>
      </c>
      <c r="H2052">
        <v>1295.5765381000001</v>
      </c>
      <c r="I2052">
        <v>1389.5814209</v>
      </c>
      <c r="J2052">
        <v>1371.9547118999999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1290.5410429999999</v>
      </c>
      <c r="B2053" s="1">
        <f>DATE(2013,11,11) + TIME(12,59,6)</f>
        <v>41589.541041666664</v>
      </c>
      <c r="C2053">
        <v>90</v>
      </c>
      <c r="D2053">
        <v>88.583419800000001</v>
      </c>
      <c r="E2053">
        <v>60</v>
      </c>
      <c r="F2053">
        <v>59.968139647999998</v>
      </c>
      <c r="G2053">
        <v>1306.59375</v>
      </c>
      <c r="H2053">
        <v>1295.5531006000001</v>
      </c>
      <c r="I2053">
        <v>1389.5335693</v>
      </c>
      <c r="J2053">
        <v>1371.9183350000001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1291.10004</v>
      </c>
      <c r="B2054" s="1">
        <f>DATE(2013,11,12) + TIME(2,24,3)</f>
        <v>41590.100034722222</v>
      </c>
      <c r="C2054">
        <v>90</v>
      </c>
      <c r="D2054">
        <v>88.522789001000007</v>
      </c>
      <c r="E2054">
        <v>60</v>
      </c>
      <c r="F2054">
        <v>59.968223571999999</v>
      </c>
      <c r="G2054">
        <v>1306.5721435999999</v>
      </c>
      <c r="H2054">
        <v>1295.5283202999999</v>
      </c>
      <c r="I2054">
        <v>1389.4851074000001</v>
      </c>
      <c r="J2054">
        <v>1371.8815918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1291.668359</v>
      </c>
      <c r="B2055" s="1">
        <f>DATE(2013,11,12) + TIME(16,2,26)</f>
        <v>41590.668356481481</v>
      </c>
      <c r="C2055">
        <v>90</v>
      </c>
      <c r="D2055">
        <v>88.460876464999998</v>
      </c>
      <c r="E2055">
        <v>60</v>
      </c>
      <c r="F2055">
        <v>59.968284607000001</v>
      </c>
      <c r="G2055">
        <v>1306.5494385</v>
      </c>
      <c r="H2055">
        <v>1295.5020752</v>
      </c>
      <c r="I2055">
        <v>1389.4366454999999</v>
      </c>
      <c r="J2055">
        <v>1371.8447266000001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1292.2506659999999</v>
      </c>
      <c r="B2056" s="1">
        <f>DATE(2013,11,13) + TIME(6,0,57)</f>
        <v>41591.250659722224</v>
      </c>
      <c r="C2056">
        <v>90</v>
      </c>
      <c r="D2056">
        <v>88.397712708</v>
      </c>
      <c r="E2056">
        <v>60</v>
      </c>
      <c r="F2056">
        <v>59.968330383000001</v>
      </c>
      <c r="G2056">
        <v>1306.5261230000001</v>
      </c>
      <c r="H2056">
        <v>1295.4750977000001</v>
      </c>
      <c r="I2056">
        <v>1389.3895264</v>
      </c>
      <c r="J2056">
        <v>1371.809082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1292.851588</v>
      </c>
      <c r="B2057" s="1">
        <f>DATE(2013,11,13) + TIME(20,26,17)</f>
        <v>41591.851585648146</v>
      </c>
      <c r="C2057">
        <v>90</v>
      </c>
      <c r="D2057">
        <v>88.333137511999993</v>
      </c>
      <c r="E2057">
        <v>60</v>
      </c>
      <c r="F2057">
        <v>59.968368529999999</v>
      </c>
      <c r="G2057">
        <v>1306.5021973</v>
      </c>
      <c r="H2057">
        <v>1295.4473877</v>
      </c>
      <c r="I2057">
        <v>1389.3433838000001</v>
      </c>
      <c r="J2057">
        <v>1371.7742920000001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1293.4761530000001</v>
      </c>
      <c r="B2058" s="1">
        <f>DATE(2013,11,14) + TIME(11,25,39)</f>
        <v>41592.476145833331</v>
      </c>
      <c r="C2058">
        <v>90</v>
      </c>
      <c r="D2058">
        <v>88.266853333</v>
      </c>
      <c r="E2058">
        <v>60</v>
      </c>
      <c r="F2058">
        <v>59.968391418000003</v>
      </c>
      <c r="G2058">
        <v>1306.4774170000001</v>
      </c>
      <c r="H2058">
        <v>1295.418457</v>
      </c>
      <c r="I2058">
        <v>1389.2979736</v>
      </c>
      <c r="J2058">
        <v>1371.7399902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1294.114165</v>
      </c>
      <c r="B2059" s="1">
        <f>DATE(2013,11,15) + TIME(2,44,23)</f>
        <v>41593.114155092589</v>
      </c>
      <c r="C2059">
        <v>90</v>
      </c>
      <c r="D2059">
        <v>88.199401855000005</v>
      </c>
      <c r="E2059">
        <v>60</v>
      </c>
      <c r="F2059">
        <v>59.968410491999997</v>
      </c>
      <c r="G2059">
        <v>1306.4514160000001</v>
      </c>
      <c r="H2059">
        <v>1295.3883057</v>
      </c>
      <c r="I2059">
        <v>1389.2526855000001</v>
      </c>
      <c r="J2059">
        <v>1371.7058105000001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1294.7652720000001</v>
      </c>
      <c r="B2060" s="1">
        <f>DATE(2013,11,15) + TIME(18,21,59)</f>
        <v>41593.765266203707</v>
      </c>
      <c r="C2060">
        <v>90</v>
      </c>
      <c r="D2060">
        <v>88.130973815999994</v>
      </c>
      <c r="E2060">
        <v>60</v>
      </c>
      <c r="F2060">
        <v>59.968425750999998</v>
      </c>
      <c r="G2060">
        <v>1306.4248047000001</v>
      </c>
      <c r="H2060">
        <v>1295.3571777</v>
      </c>
      <c r="I2060">
        <v>1389.208374</v>
      </c>
      <c r="J2060">
        <v>1371.6724853999999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1295.433593</v>
      </c>
      <c r="B2061" s="1">
        <f>DATE(2013,11,16) + TIME(10,24,22)</f>
        <v>41594.433587962965</v>
      </c>
      <c r="C2061">
        <v>90</v>
      </c>
      <c r="D2061">
        <v>88.061439514</v>
      </c>
      <c r="E2061">
        <v>60</v>
      </c>
      <c r="F2061">
        <v>59.968437195</v>
      </c>
      <c r="G2061">
        <v>1306.3974608999999</v>
      </c>
      <c r="H2061">
        <v>1295.3250731999999</v>
      </c>
      <c r="I2061">
        <v>1389.1649170000001</v>
      </c>
      <c r="J2061">
        <v>1371.6398925999999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1296.123468</v>
      </c>
      <c r="B2062" s="1">
        <f>DATE(2013,11,17) + TIME(2,57,47)</f>
        <v>41595.123460648145</v>
      </c>
      <c r="C2062">
        <v>90</v>
      </c>
      <c r="D2062">
        <v>87.990547179999993</v>
      </c>
      <c r="E2062">
        <v>60</v>
      </c>
      <c r="F2062">
        <v>59.968444824000002</v>
      </c>
      <c r="G2062">
        <v>1306.3691406</v>
      </c>
      <c r="H2062">
        <v>1295.2918701000001</v>
      </c>
      <c r="I2062">
        <v>1389.1221923999999</v>
      </c>
      <c r="J2062">
        <v>1371.6079102000001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1296.839702</v>
      </c>
      <c r="B2063" s="1">
        <f>DATE(2013,11,17) + TIME(20,9,10)</f>
        <v>41595.839699074073</v>
      </c>
      <c r="C2063">
        <v>90</v>
      </c>
      <c r="D2063">
        <v>87.91796875</v>
      </c>
      <c r="E2063">
        <v>60</v>
      </c>
      <c r="F2063">
        <v>59.968452454000001</v>
      </c>
      <c r="G2063">
        <v>1306.3397216999999</v>
      </c>
      <c r="H2063">
        <v>1295.2572021000001</v>
      </c>
      <c r="I2063">
        <v>1389.0798339999999</v>
      </c>
      <c r="J2063">
        <v>1371.5761719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1297.5877829999999</v>
      </c>
      <c r="B2064" s="1">
        <f>DATE(2013,11,18) + TIME(14,6,24)</f>
        <v>41596.587777777779</v>
      </c>
      <c r="C2064">
        <v>90</v>
      </c>
      <c r="D2064">
        <v>87.843307495000005</v>
      </c>
      <c r="E2064">
        <v>60</v>
      </c>
      <c r="F2064">
        <v>59.968456267999997</v>
      </c>
      <c r="G2064">
        <v>1306.3089600000001</v>
      </c>
      <c r="H2064">
        <v>1295.2208252</v>
      </c>
      <c r="I2064">
        <v>1389.0375977000001</v>
      </c>
      <c r="J2064">
        <v>1371.5444336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1298.374039</v>
      </c>
      <c r="B2065" s="1">
        <f>DATE(2013,11,19) + TIME(8,58,36)</f>
        <v>41597.374027777776</v>
      </c>
      <c r="C2065">
        <v>90</v>
      </c>
      <c r="D2065">
        <v>87.766067504999995</v>
      </c>
      <c r="E2065">
        <v>60</v>
      </c>
      <c r="F2065">
        <v>59.968460082999997</v>
      </c>
      <c r="G2065">
        <v>1306.2764893000001</v>
      </c>
      <c r="H2065">
        <v>1295.1823730000001</v>
      </c>
      <c r="I2065">
        <v>1388.9951172000001</v>
      </c>
      <c r="J2065">
        <v>1371.5126952999999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1299.1837949999999</v>
      </c>
      <c r="B2066" s="1">
        <f>DATE(2013,11,20) + TIME(4,24,39)</f>
        <v>41598.18378472222</v>
      </c>
      <c r="C2066">
        <v>90</v>
      </c>
      <c r="D2066">
        <v>87.686813353999995</v>
      </c>
      <c r="E2066">
        <v>60</v>
      </c>
      <c r="F2066">
        <v>59.968463898000003</v>
      </c>
      <c r="G2066">
        <v>1306.2421875</v>
      </c>
      <c r="H2066">
        <v>1295.1416016000001</v>
      </c>
      <c r="I2066">
        <v>1388.9522704999999</v>
      </c>
      <c r="J2066">
        <v>1371.4807129000001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1300.024805</v>
      </c>
      <c r="B2067" s="1">
        <f>DATE(2013,11,21) + TIME(0,35,43)</f>
        <v>41599.02480324074</v>
      </c>
      <c r="C2067">
        <v>90</v>
      </c>
      <c r="D2067">
        <v>87.605407714999998</v>
      </c>
      <c r="E2067">
        <v>60</v>
      </c>
      <c r="F2067">
        <v>59.968467711999999</v>
      </c>
      <c r="G2067">
        <v>1306.2064209</v>
      </c>
      <c r="H2067">
        <v>1295.098999</v>
      </c>
      <c r="I2067">
        <v>1388.9097899999999</v>
      </c>
      <c r="J2067">
        <v>1371.4489745999999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1300.905381</v>
      </c>
      <c r="B2068" s="1">
        <f>DATE(2013,11,21) + TIME(21,43,44)</f>
        <v>41599.905370370368</v>
      </c>
      <c r="C2068">
        <v>90</v>
      </c>
      <c r="D2068">
        <v>87.521453856999997</v>
      </c>
      <c r="E2068">
        <v>60</v>
      </c>
      <c r="F2068">
        <v>59.968471526999998</v>
      </c>
      <c r="G2068">
        <v>1306.1688231999999</v>
      </c>
      <c r="H2068">
        <v>1295.0540771000001</v>
      </c>
      <c r="I2068">
        <v>1388.8673096</v>
      </c>
      <c r="J2068">
        <v>1371.4173584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1301.8005069999999</v>
      </c>
      <c r="B2069" s="1">
        <f>DATE(2013,11,22) + TIME(19,12,43)</f>
        <v>41600.800497685188</v>
      </c>
      <c r="C2069">
        <v>90</v>
      </c>
      <c r="D2069">
        <v>87.435943604000002</v>
      </c>
      <c r="E2069">
        <v>60</v>
      </c>
      <c r="F2069">
        <v>59.968471526999998</v>
      </c>
      <c r="G2069">
        <v>1306.1291504000001</v>
      </c>
      <c r="H2069">
        <v>1295.0064697</v>
      </c>
      <c r="I2069">
        <v>1388.8245850000001</v>
      </c>
      <c r="J2069">
        <v>1371.385376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1302.706447</v>
      </c>
      <c r="B2070" s="1">
        <f>DATE(2013,11,23) + TIME(16,57,17)</f>
        <v>41601.706446759257</v>
      </c>
      <c r="C2070">
        <v>90</v>
      </c>
      <c r="D2070">
        <v>87.349601746000005</v>
      </c>
      <c r="E2070">
        <v>60</v>
      </c>
      <c r="F2070">
        <v>59.968475341999998</v>
      </c>
      <c r="G2070">
        <v>1306.0881348</v>
      </c>
      <c r="H2070">
        <v>1294.9573975000001</v>
      </c>
      <c r="I2070">
        <v>1388.7828368999999</v>
      </c>
      <c r="J2070">
        <v>1371.3542480000001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1303.628923</v>
      </c>
      <c r="B2071" s="1">
        <f>DATE(2013,11,24) + TIME(15,5,38)</f>
        <v>41602.628912037035</v>
      </c>
      <c r="C2071">
        <v>90</v>
      </c>
      <c r="D2071">
        <v>87.262565613000007</v>
      </c>
      <c r="E2071">
        <v>60</v>
      </c>
      <c r="F2071">
        <v>59.968479156000001</v>
      </c>
      <c r="G2071">
        <v>1306.0462646000001</v>
      </c>
      <c r="H2071">
        <v>1294.9067382999999</v>
      </c>
      <c r="I2071">
        <v>1388.7420654</v>
      </c>
      <c r="J2071">
        <v>1371.3239745999999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1304.5737549999999</v>
      </c>
      <c r="B2072" s="1">
        <f>DATE(2013,11,25) + TIME(13,46,12)</f>
        <v>41603.573750000003</v>
      </c>
      <c r="C2072">
        <v>90</v>
      </c>
      <c r="D2072">
        <v>87.174621582</v>
      </c>
      <c r="E2072">
        <v>60</v>
      </c>
      <c r="F2072">
        <v>59.968482971</v>
      </c>
      <c r="G2072">
        <v>1306.0030518000001</v>
      </c>
      <c r="H2072">
        <v>1294.8543701000001</v>
      </c>
      <c r="I2072">
        <v>1388.7020264</v>
      </c>
      <c r="J2072">
        <v>1371.2941894999999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1305.547155</v>
      </c>
      <c r="B2073" s="1">
        <f>DATE(2013,11,26) + TIME(13,7,54)</f>
        <v>41604.547152777777</v>
      </c>
      <c r="C2073">
        <v>90</v>
      </c>
      <c r="D2073">
        <v>87.085411071999999</v>
      </c>
      <c r="E2073">
        <v>60</v>
      </c>
      <c r="F2073">
        <v>59.968490600999999</v>
      </c>
      <c r="G2073">
        <v>1305.958374</v>
      </c>
      <c r="H2073">
        <v>1294.7998047000001</v>
      </c>
      <c r="I2073">
        <v>1388.6625977000001</v>
      </c>
      <c r="J2073">
        <v>1371.2647704999999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1306.5559969999999</v>
      </c>
      <c r="B2074" s="1">
        <f>DATE(2013,11,27) + TIME(13,20,38)</f>
        <v>41605.555995370371</v>
      </c>
      <c r="C2074">
        <v>90</v>
      </c>
      <c r="D2074">
        <v>86.994468689000001</v>
      </c>
      <c r="E2074">
        <v>60</v>
      </c>
      <c r="F2074">
        <v>59.968494415000002</v>
      </c>
      <c r="G2074">
        <v>1305.9116211</v>
      </c>
      <c r="H2074">
        <v>1294.7426757999999</v>
      </c>
      <c r="I2074">
        <v>1388.6232910000001</v>
      </c>
      <c r="J2074">
        <v>1371.2354736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1307.6081300000001</v>
      </c>
      <c r="B2075" s="1">
        <f>DATE(2013,11,28) + TIME(14,35,42)</f>
        <v>41606.608124999999</v>
      </c>
      <c r="C2075">
        <v>90</v>
      </c>
      <c r="D2075">
        <v>86.901245117000002</v>
      </c>
      <c r="E2075">
        <v>60</v>
      </c>
      <c r="F2075">
        <v>59.968502045000001</v>
      </c>
      <c r="G2075">
        <v>1305.8625488</v>
      </c>
      <c r="H2075">
        <v>1294.6823730000001</v>
      </c>
      <c r="I2075">
        <v>1388.5838623</v>
      </c>
      <c r="J2075">
        <v>1371.2061768000001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1308.6971840000001</v>
      </c>
      <c r="B2076" s="1">
        <f>DATE(2013,11,29) + TIME(16,43,56)</f>
        <v>41607.697175925925</v>
      </c>
      <c r="C2076">
        <v>90</v>
      </c>
      <c r="D2076">
        <v>86.805725097999996</v>
      </c>
      <c r="E2076">
        <v>60</v>
      </c>
      <c r="F2076">
        <v>59.968509674000003</v>
      </c>
      <c r="G2076">
        <v>1305.8106689000001</v>
      </c>
      <c r="H2076">
        <v>1294.6185303</v>
      </c>
      <c r="I2076">
        <v>1388.5441894999999</v>
      </c>
      <c r="J2076">
        <v>1371.1767577999999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1309.828231</v>
      </c>
      <c r="B2077" s="1">
        <f>DATE(2013,11,30) + TIME(19,52,39)</f>
        <v>41608.828229166669</v>
      </c>
      <c r="C2077">
        <v>90</v>
      </c>
      <c r="D2077">
        <v>86.707801818999997</v>
      </c>
      <c r="E2077">
        <v>60</v>
      </c>
      <c r="F2077">
        <v>59.968517302999999</v>
      </c>
      <c r="G2077">
        <v>1305.7561035000001</v>
      </c>
      <c r="H2077">
        <v>1294.5512695</v>
      </c>
      <c r="I2077">
        <v>1388.5046387</v>
      </c>
      <c r="J2077">
        <v>1371.1472168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1310</v>
      </c>
      <c r="B2078" s="1">
        <f>DATE(2013,12,1) + TIME(0,0,0)</f>
        <v>41609</v>
      </c>
      <c r="C2078">
        <v>90</v>
      </c>
      <c r="D2078">
        <v>86.678627014</v>
      </c>
      <c r="E2078">
        <v>60</v>
      </c>
      <c r="F2078">
        <v>59.968513489000003</v>
      </c>
      <c r="G2078">
        <v>1305.6995850000001</v>
      </c>
      <c r="H2078">
        <v>1294.4886475000001</v>
      </c>
      <c r="I2078">
        <v>1388.4644774999999</v>
      </c>
      <c r="J2078">
        <v>1371.1173096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1311.1757809999999</v>
      </c>
      <c r="B2079" s="1">
        <f>DATE(2013,12,2) + TIME(4,13,7)</f>
        <v>41610.175775462965</v>
      </c>
      <c r="C2079">
        <v>90</v>
      </c>
      <c r="D2079">
        <v>86.586410521999994</v>
      </c>
      <c r="E2079">
        <v>60</v>
      </c>
      <c r="F2079">
        <v>59.968524932999998</v>
      </c>
      <c r="G2079">
        <v>1305.6890868999999</v>
      </c>
      <c r="H2079">
        <v>1294.4671631000001</v>
      </c>
      <c r="I2079">
        <v>1388.4588623</v>
      </c>
      <c r="J2079">
        <v>1371.1132812000001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1312.3651139999999</v>
      </c>
      <c r="B2080" s="1">
        <f>DATE(2013,12,3) + TIME(8,45,45)</f>
        <v>41611.365104166667</v>
      </c>
      <c r="C2080">
        <v>90</v>
      </c>
      <c r="D2080">
        <v>86.487998962000006</v>
      </c>
      <c r="E2080">
        <v>60</v>
      </c>
      <c r="F2080">
        <v>59.968536377</v>
      </c>
      <c r="G2080">
        <v>1305.6287841999999</v>
      </c>
      <c r="H2080">
        <v>1294.3927002</v>
      </c>
      <c r="I2080">
        <v>1388.4191894999999</v>
      </c>
      <c r="J2080">
        <v>1371.0837402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1313.574247</v>
      </c>
      <c r="B2081" s="1">
        <f>DATE(2013,12,4) + TIME(13,46,54)</f>
        <v>41612.574236111112</v>
      </c>
      <c r="C2081">
        <v>90</v>
      </c>
      <c r="D2081">
        <v>86.386810303000004</v>
      </c>
      <c r="E2081">
        <v>60</v>
      </c>
      <c r="F2081">
        <v>59.968547821000001</v>
      </c>
      <c r="G2081">
        <v>1305.5662841999999</v>
      </c>
      <c r="H2081">
        <v>1294.3146973</v>
      </c>
      <c r="I2081">
        <v>1388.3803711</v>
      </c>
      <c r="J2081">
        <v>1371.0548096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1314.811076</v>
      </c>
      <c r="B2082" s="1">
        <f>DATE(2013,12,5) + TIME(19,27,56)</f>
        <v>41613.811064814814</v>
      </c>
      <c r="C2082">
        <v>90</v>
      </c>
      <c r="D2082">
        <v>86.283943175999994</v>
      </c>
      <c r="E2082">
        <v>60</v>
      </c>
      <c r="F2082">
        <v>59.968555449999997</v>
      </c>
      <c r="G2082">
        <v>1305.5017089999999</v>
      </c>
      <c r="H2082">
        <v>1294.2336425999999</v>
      </c>
      <c r="I2082">
        <v>1388.3421631000001</v>
      </c>
      <c r="J2082">
        <v>1371.0263672000001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1316.077288</v>
      </c>
      <c r="B2083" s="1">
        <f>DATE(2013,12,7) + TIME(1,51,17)</f>
        <v>41615.077280092592</v>
      </c>
      <c r="C2083">
        <v>90</v>
      </c>
      <c r="D2083">
        <v>86.1796875</v>
      </c>
      <c r="E2083">
        <v>60</v>
      </c>
      <c r="F2083">
        <v>59.968566895000002</v>
      </c>
      <c r="G2083">
        <v>1305.4344481999999</v>
      </c>
      <c r="H2083">
        <v>1294.1490478999999</v>
      </c>
      <c r="I2083">
        <v>1388.3041992000001</v>
      </c>
      <c r="J2083">
        <v>1370.9981689000001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1317.3764619999999</v>
      </c>
      <c r="B2084" s="1">
        <f>DATE(2013,12,8) + TIME(9,2,6)</f>
        <v>41616.376458333332</v>
      </c>
      <c r="C2084">
        <v>90</v>
      </c>
      <c r="D2084">
        <v>86.074073791999993</v>
      </c>
      <c r="E2084">
        <v>60</v>
      </c>
      <c r="F2084">
        <v>59.968582153</v>
      </c>
      <c r="G2084">
        <v>1305.3645019999999</v>
      </c>
      <c r="H2084">
        <v>1294.0605469</v>
      </c>
      <c r="I2084">
        <v>1388.2667236</v>
      </c>
      <c r="J2084">
        <v>1370.9702147999999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1318.7174640000001</v>
      </c>
      <c r="B2085" s="1">
        <f>DATE(2013,12,9) + TIME(17,13,8)</f>
        <v>41617.717453703706</v>
      </c>
      <c r="C2085">
        <v>90</v>
      </c>
      <c r="D2085">
        <v>85.966804503999995</v>
      </c>
      <c r="E2085">
        <v>60</v>
      </c>
      <c r="F2085">
        <v>59.968593597000002</v>
      </c>
      <c r="G2085">
        <v>1305.291626</v>
      </c>
      <c r="H2085">
        <v>1293.9677733999999</v>
      </c>
      <c r="I2085">
        <v>1388.2293701000001</v>
      </c>
      <c r="J2085">
        <v>1370.9423827999999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1320.1101839999999</v>
      </c>
      <c r="B2086" s="1">
        <f>DATE(2013,12,11) + TIME(2,38,39)</f>
        <v>41619.110173611109</v>
      </c>
      <c r="C2086">
        <v>90</v>
      </c>
      <c r="D2086">
        <v>85.857345581000004</v>
      </c>
      <c r="E2086">
        <v>60</v>
      </c>
      <c r="F2086">
        <v>59.968608856000003</v>
      </c>
      <c r="G2086">
        <v>1305.2150879000001</v>
      </c>
      <c r="H2086">
        <v>1293.8702393000001</v>
      </c>
      <c r="I2086">
        <v>1388.1920166</v>
      </c>
      <c r="J2086">
        <v>1370.9145507999999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1321.5617030000001</v>
      </c>
      <c r="B2087" s="1">
        <f>DATE(2013,12,12) + TIME(13,28,51)</f>
        <v>41620.561701388891</v>
      </c>
      <c r="C2087">
        <v>90</v>
      </c>
      <c r="D2087">
        <v>85.745155334000003</v>
      </c>
      <c r="E2087">
        <v>60</v>
      </c>
      <c r="F2087">
        <v>59.968624114999997</v>
      </c>
      <c r="G2087">
        <v>1305.1342772999999</v>
      </c>
      <c r="H2087">
        <v>1293.7667236</v>
      </c>
      <c r="I2087">
        <v>1388.1544189000001</v>
      </c>
      <c r="J2087">
        <v>1370.8864745999999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1323.0341530000001</v>
      </c>
      <c r="B2088" s="1">
        <f>DATE(2013,12,14) + TIME(0,49,10)</f>
        <v>41622.034143518518</v>
      </c>
      <c r="C2088">
        <v>90</v>
      </c>
      <c r="D2088">
        <v>85.631004333000007</v>
      </c>
      <c r="E2088">
        <v>60</v>
      </c>
      <c r="F2088">
        <v>59.968639373999999</v>
      </c>
      <c r="G2088">
        <v>1305.0485839999999</v>
      </c>
      <c r="H2088">
        <v>1293.6568603999999</v>
      </c>
      <c r="I2088">
        <v>1388.1164550999999</v>
      </c>
      <c r="J2088">
        <v>1370.8580322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1324.519012</v>
      </c>
      <c r="B2089" s="1">
        <f>DATE(2013,12,15) + TIME(12,27,22)</f>
        <v>41623.519004629627</v>
      </c>
      <c r="C2089">
        <v>90</v>
      </c>
      <c r="D2089">
        <v>85.51625061</v>
      </c>
      <c r="E2089">
        <v>60</v>
      </c>
      <c r="F2089">
        <v>59.968658447000003</v>
      </c>
      <c r="G2089">
        <v>1304.9600829999999</v>
      </c>
      <c r="H2089">
        <v>1293.5428466999999</v>
      </c>
      <c r="I2089">
        <v>1388.0791016000001</v>
      </c>
      <c r="J2089">
        <v>1370.8300781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1326.0250020000001</v>
      </c>
      <c r="B2090" s="1">
        <f>DATE(2013,12,17) + TIME(0,36,0)</f>
        <v>41625.025000000001</v>
      </c>
      <c r="C2090">
        <v>90</v>
      </c>
      <c r="D2090">
        <v>85.401313782000003</v>
      </c>
      <c r="E2090">
        <v>60</v>
      </c>
      <c r="F2090">
        <v>59.968673705999997</v>
      </c>
      <c r="G2090">
        <v>1304.8690185999999</v>
      </c>
      <c r="H2090">
        <v>1293.4251709</v>
      </c>
      <c r="I2090">
        <v>1388.0424805</v>
      </c>
      <c r="J2090">
        <v>1370.8027344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1327.5616299999999</v>
      </c>
      <c r="B2091" s="1">
        <f>DATE(2013,12,18) + TIME(13,28,44)</f>
        <v>41626.561620370368</v>
      </c>
      <c r="C2091">
        <v>90</v>
      </c>
      <c r="D2091">
        <v>85.285926818999997</v>
      </c>
      <c r="E2091">
        <v>60</v>
      </c>
      <c r="F2091">
        <v>59.968692779999998</v>
      </c>
      <c r="G2091">
        <v>1304.7751464999999</v>
      </c>
      <c r="H2091">
        <v>1293.3032227000001</v>
      </c>
      <c r="I2091">
        <v>1388.0064697</v>
      </c>
      <c r="J2091">
        <v>1370.7756348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1329.138123</v>
      </c>
      <c r="B2092" s="1">
        <f>DATE(2013,12,20) + TIME(3,18,53)</f>
        <v>41628.138113425928</v>
      </c>
      <c r="C2092">
        <v>90</v>
      </c>
      <c r="D2092">
        <v>85.169548035000005</v>
      </c>
      <c r="E2092">
        <v>60</v>
      </c>
      <c r="F2092">
        <v>59.968711853000002</v>
      </c>
      <c r="G2092">
        <v>1304.6777344</v>
      </c>
      <c r="H2092">
        <v>1293.1762695</v>
      </c>
      <c r="I2092">
        <v>1387.9707031</v>
      </c>
      <c r="J2092">
        <v>1370.7489014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1330.7474669999999</v>
      </c>
      <c r="B2093" s="1">
        <f>DATE(2013,12,21) + TIME(17,56,21)</f>
        <v>41629.747465277775</v>
      </c>
      <c r="C2093">
        <v>90</v>
      </c>
      <c r="D2093">
        <v>85.052032471000004</v>
      </c>
      <c r="E2093">
        <v>60</v>
      </c>
      <c r="F2093">
        <v>59.968730927000003</v>
      </c>
      <c r="G2093">
        <v>1304.5760498</v>
      </c>
      <c r="H2093">
        <v>1293.043457</v>
      </c>
      <c r="I2093">
        <v>1387.9351807</v>
      </c>
      <c r="J2093">
        <v>1370.722168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1332.3925400000001</v>
      </c>
      <c r="B2094" s="1">
        <f>DATE(2013,12,23) + TIME(9,25,15)</f>
        <v>41631.392534722225</v>
      </c>
      <c r="C2094">
        <v>90</v>
      </c>
      <c r="D2094">
        <v>84.933334350999999</v>
      </c>
      <c r="E2094">
        <v>60</v>
      </c>
      <c r="F2094">
        <v>59.968753814999999</v>
      </c>
      <c r="G2094">
        <v>1304.4704589999999</v>
      </c>
      <c r="H2094">
        <v>1292.9050293</v>
      </c>
      <c r="I2094">
        <v>1387.8997803</v>
      </c>
      <c r="J2094">
        <v>1370.6955565999999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1334.070553</v>
      </c>
      <c r="B2095" s="1">
        <f>DATE(2013,12,25) + TIME(1,41,35)</f>
        <v>41633.070543981485</v>
      </c>
      <c r="C2095">
        <v>90</v>
      </c>
      <c r="D2095">
        <v>84.813446045000006</v>
      </c>
      <c r="E2095">
        <v>60</v>
      </c>
      <c r="F2095">
        <v>59.968772887999997</v>
      </c>
      <c r="G2095">
        <v>1304.3607178</v>
      </c>
      <c r="H2095">
        <v>1292.7606201000001</v>
      </c>
      <c r="I2095">
        <v>1387.864624</v>
      </c>
      <c r="J2095">
        <v>1370.6690673999999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1335.7703320000001</v>
      </c>
      <c r="B2096" s="1">
        <f>DATE(2013,12,26) + TIME(18,29,16)</f>
        <v>41634.770324074074</v>
      </c>
      <c r="C2096">
        <v>90</v>
      </c>
      <c r="D2096">
        <v>84.692779540999993</v>
      </c>
      <c r="E2096">
        <v>60</v>
      </c>
      <c r="F2096">
        <v>59.968795776</v>
      </c>
      <c r="G2096">
        <v>1304.2468262</v>
      </c>
      <c r="H2096">
        <v>1292.6104736</v>
      </c>
      <c r="I2096">
        <v>1387.8297118999999</v>
      </c>
      <c r="J2096">
        <v>1370.6427002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1337.4906450000001</v>
      </c>
      <c r="B2097" s="1">
        <f>DATE(2013,12,28) + TIME(11,46,31)</f>
        <v>41636.490636574075</v>
      </c>
      <c r="C2097">
        <v>90</v>
      </c>
      <c r="D2097">
        <v>84.571723938000005</v>
      </c>
      <c r="E2097">
        <v>60</v>
      </c>
      <c r="F2097">
        <v>59.968818665000001</v>
      </c>
      <c r="G2097">
        <v>1304.1293945</v>
      </c>
      <c r="H2097">
        <v>1292.4550781</v>
      </c>
      <c r="I2097">
        <v>1387.7952881000001</v>
      </c>
      <c r="J2097">
        <v>1370.6166992000001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1339.2346910000001</v>
      </c>
      <c r="B2098" s="1">
        <f>DATE(2013,12,30) + TIME(5,37,57)</f>
        <v>41638.2346875</v>
      </c>
      <c r="C2098">
        <v>90</v>
      </c>
      <c r="D2098">
        <v>84.450332642000006</v>
      </c>
      <c r="E2098">
        <v>60</v>
      </c>
      <c r="F2098">
        <v>59.968841552999997</v>
      </c>
      <c r="G2098">
        <v>1304.0084228999999</v>
      </c>
      <c r="H2098">
        <v>1292.2946777</v>
      </c>
      <c r="I2098">
        <v>1387.7613524999999</v>
      </c>
      <c r="J2098">
        <v>1370.5910644999999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1341</v>
      </c>
      <c r="B2099" s="1">
        <f>DATE(2014,1,1) + TIME(0,0,0)</f>
        <v>41640</v>
      </c>
      <c r="C2099">
        <v>90</v>
      </c>
      <c r="D2099">
        <v>84.328598021999994</v>
      </c>
      <c r="E2099">
        <v>60</v>
      </c>
      <c r="F2099">
        <v>59.968864441000001</v>
      </c>
      <c r="G2099">
        <v>1303.8839111</v>
      </c>
      <c r="H2099">
        <v>1292.1289062000001</v>
      </c>
      <c r="I2099">
        <v>1387.7277832</v>
      </c>
      <c r="J2099">
        <v>1370.5656738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1342.7621650000001</v>
      </c>
      <c r="B2100" s="1">
        <f>DATE(2014,1,2) + TIME(18,17,31)</f>
        <v>41641.762164351851</v>
      </c>
      <c r="C2100">
        <v>90</v>
      </c>
      <c r="D2100">
        <v>84.207077025999993</v>
      </c>
      <c r="E2100">
        <v>60</v>
      </c>
      <c r="F2100">
        <v>59.968887328999998</v>
      </c>
      <c r="G2100">
        <v>1303.7558594</v>
      </c>
      <c r="H2100">
        <v>1291.9581298999999</v>
      </c>
      <c r="I2100">
        <v>1387.6945800999999</v>
      </c>
      <c r="J2100">
        <v>1370.5405272999999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1344.568718</v>
      </c>
      <c r="B2101" s="1">
        <f>DATE(2014,1,4) + TIME(13,38,57)</f>
        <v>41643.568715277775</v>
      </c>
      <c r="C2101">
        <v>90</v>
      </c>
      <c r="D2101">
        <v>84.085464478000006</v>
      </c>
      <c r="E2101">
        <v>60</v>
      </c>
      <c r="F2101">
        <v>59.968914032000001</v>
      </c>
      <c r="G2101">
        <v>1303.6257324000001</v>
      </c>
      <c r="H2101">
        <v>1291.7836914</v>
      </c>
      <c r="I2101">
        <v>1387.6623535000001</v>
      </c>
      <c r="J2101">
        <v>1370.5159911999999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1346.4021049999999</v>
      </c>
      <c r="B2102" s="1">
        <f>DATE(2014,1,6) + TIME(9,39,1)</f>
        <v>41645.402094907404</v>
      </c>
      <c r="C2102">
        <v>90</v>
      </c>
      <c r="D2102">
        <v>83.962852478000002</v>
      </c>
      <c r="E2102">
        <v>60</v>
      </c>
      <c r="F2102">
        <v>59.968940734999997</v>
      </c>
      <c r="G2102">
        <v>1303.4904785000001</v>
      </c>
      <c r="H2102">
        <v>1291.6024170000001</v>
      </c>
      <c r="I2102">
        <v>1387.6300048999999</v>
      </c>
      <c r="J2102">
        <v>1370.4913329999999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1348.2652860000001</v>
      </c>
      <c r="B2103" s="1">
        <f>DATE(2014,1,8) + TIME(6,22,0)</f>
        <v>41647.265277777777</v>
      </c>
      <c r="C2103">
        <v>90</v>
      </c>
      <c r="D2103">
        <v>83.839286803999997</v>
      </c>
      <c r="E2103">
        <v>60</v>
      </c>
      <c r="F2103">
        <v>59.968967438</v>
      </c>
      <c r="G2103">
        <v>1303.3510742000001</v>
      </c>
      <c r="H2103">
        <v>1291.4150391000001</v>
      </c>
      <c r="I2103">
        <v>1387.5980225000001</v>
      </c>
      <c r="J2103">
        <v>1370.4669189000001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1350.1613910000001</v>
      </c>
      <c r="B2104" s="1">
        <f>DATE(2014,1,10) + TIME(3,52,24)</f>
        <v>41649.16138888889</v>
      </c>
      <c r="C2104">
        <v>90</v>
      </c>
      <c r="D2104">
        <v>83.714599609000004</v>
      </c>
      <c r="E2104">
        <v>60</v>
      </c>
      <c r="F2104">
        <v>59.968994141000003</v>
      </c>
      <c r="G2104">
        <v>1303.2073975000001</v>
      </c>
      <c r="H2104">
        <v>1291.2211914</v>
      </c>
      <c r="I2104">
        <v>1387.5661620999999</v>
      </c>
      <c r="J2104">
        <v>1370.4426269999999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1352.0933150000001</v>
      </c>
      <c r="B2105" s="1">
        <f>DATE(2014,1,12) + TIME(2,14,22)</f>
        <v>41651.093310185184</v>
      </c>
      <c r="C2105">
        <v>90</v>
      </c>
      <c r="D2105">
        <v>83.588569641000007</v>
      </c>
      <c r="E2105">
        <v>60</v>
      </c>
      <c r="F2105">
        <v>59.969020843999999</v>
      </c>
      <c r="G2105">
        <v>1303.0588379000001</v>
      </c>
      <c r="H2105">
        <v>1291.0205077999999</v>
      </c>
      <c r="I2105">
        <v>1387.5344238</v>
      </c>
      <c r="J2105">
        <v>1370.4183350000001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1354.0586040000001</v>
      </c>
      <c r="B2106" s="1">
        <f>DATE(2014,1,14) + TIME(1,24,23)</f>
        <v>41653.058599537035</v>
      </c>
      <c r="C2106">
        <v>90</v>
      </c>
      <c r="D2106">
        <v>83.461044311999999</v>
      </c>
      <c r="E2106">
        <v>60</v>
      </c>
      <c r="F2106">
        <v>59.969047545999999</v>
      </c>
      <c r="G2106">
        <v>1302.9053954999999</v>
      </c>
      <c r="H2106">
        <v>1290.8127440999999</v>
      </c>
      <c r="I2106">
        <v>1387.5029297000001</v>
      </c>
      <c r="J2106">
        <v>1370.3941649999999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1356.051747</v>
      </c>
      <c r="B2107" s="1">
        <f>DATE(2014,1,16) + TIME(1,14,30)</f>
        <v>41655.051736111112</v>
      </c>
      <c r="C2107">
        <v>90</v>
      </c>
      <c r="D2107">
        <v>83.332092285000002</v>
      </c>
      <c r="E2107">
        <v>60</v>
      </c>
      <c r="F2107">
        <v>59.969078064000001</v>
      </c>
      <c r="G2107">
        <v>1302.7470702999999</v>
      </c>
      <c r="H2107">
        <v>1290.5977783000001</v>
      </c>
      <c r="I2107">
        <v>1387.4714355000001</v>
      </c>
      <c r="J2107">
        <v>1370.3699951000001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1358.0760090000001</v>
      </c>
      <c r="B2108" s="1">
        <f>DATE(2014,1,18) + TIME(1,49,27)</f>
        <v>41657.076006944444</v>
      </c>
      <c r="C2108">
        <v>90</v>
      </c>
      <c r="D2108">
        <v>83.201728821000003</v>
      </c>
      <c r="E2108">
        <v>60</v>
      </c>
      <c r="F2108">
        <v>59.969108581999997</v>
      </c>
      <c r="G2108">
        <v>1302.5841064000001</v>
      </c>
      <c r="H2108">
        <v>1290.3760986</v>
      </c>
      <c r="I2108">
        <v>1387.4401855000001</v>
      </c>
      <c r="J2108">
        <v>1370.3459473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1360.134532</v>
      </c>
      <c r="B2109" s="1">
        <f>DATE(2014,1,20) + TIME(3,13,43)</f>
        <v>41659.134525462963</v>
      </c>
      <c r="C2109">
        <v>90</v>
      </c>
      <c r="D2109">
        <v>83.069755553999997</v>
      </c>
      <c r="E2109">
        <v>60</v>
      </c>
      <c r="F2109">
        <v>59.969135283999996</v>
      </c>
      <c r="G2109">
        <v>1302.4162598</v>
      </c>
      <c r="H2109">
        <v>1290.1472168</v>
      </c>
      <c r="I2109">
        <v>1387.4091797000001</v>
      </c>
      <c r="J2109">
        <v>1370.3220214999999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1362.2303629999999</v>
      </c>
      <c r="B2110" s="1">
        <f>DATE(2014,1,22) + TIME(5,31,43)</f>
        <v>41661.230358796296</v>
      </c>
      <c r="C2110">
        <v>90</v>
      </c>
      <c r="D2110">
        <v>82.935867310000006</v>
      </c>
      <c r="E2110">
        <v>60</v>
      </c>
      <c r="F2110">
        <v>59.969169616999999</v>
      </c>
      <c r="G2110">
        <v>1302.2434082</v>
      </c>
      <c r="H2110">
        <v>1289.9108887</v>
      </c>
      <c r="I2110">
        <v>1387.3781738</v>
      </c>
      <c r="J2110">
        <v>1370.2980957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1364.3671569999999</v>
      </c>
      <c r="B2111" s="1">
        <f>DATE(2014,1,24) + TIME(8,48,42)</f>
        <v>41663.367152777777</v>
      </c>
      <c r="C2111">
        <v>90</v>
      </c>
      <c r="D2111">
        <v>82.799728393999999</v>
      </c>
      <c r="E2111">
        <v>60</v>
      </c>
      <c r="F2111">
        <v>59.969200133999998</v>
      </c>
      <c r="G2111">
        <v>1302.0649414</v>
      </c>
      <c r="H2111">
        <v>1289.666626</v>
      </c>
      <c r="I2111">
        <v>1387.3472899999999</v>
      </c>
      <c r="J2111">
        <v>1370.2740478999999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1366.5460869999999</v>
      </c>
      <c r="B2112" s="1">
        <f>DATE(2014,1,26) + TIME(13,6,21)</f>
        <v>41665.546076388891</v>
      </c>
      <c r="C2112">
        <v>90</v>
      </c>
      <c r="D2112">
        <v>82.660987853999998</v>
      </c>
      <c r="E2112">
        <v>60</v>
      </c>
      <c r="F2112">
        <v>59.969230652</v>
      </c>
      <c r="G2112">
        <v>1301.8808594</v>
      </c>
      <c r="H2112">
        <v>1289.4138184000001</v>
      </c>
      <c r="I2112">
        <v>1387.3162841999999</v>
      </c>
      <c r="J2112">
        <v>1370.2501221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1368.7583010000001</v>
      </c>
      <c r="B2113" s="1">
        <f>DATE(2014,1,28) + TIME(18,11,57)</f>
        <v>41667.758298611108</v>
      </c>
      <c r="C2113">
        <v>90</v>
      </c>
      <c r="D2113">
        <v>82.519546508999994</v>
      </c>
      <c r="E2113">
        <v>60</v>
      </c>
      <c r="F2113">
        <v>59.969264983999999</v>
      </c>
      <c r="G2113">
        <v>1301.6906738</v>
      </c>
      <c r="H2113">
        <v>1289.1523437999999</v>
      </c>
      <c r="I2113">
        <v>1387.2854004000001</v>
      </c>
      <c r="J2113">
        <v>1370.2259521000001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1371.007421</v>
      </c>
      <c r="B2114" s="1">
        <f>DATE(2014,1,31) + TIME(0,10,41)</f>
        <v>41670.007418981484</v>
      </c>
      <c r="C2114">
        <v>90</v>
      </c>
      <c r="D2114">
        <v>82.375419617000006</v>
      </c>
      <c r="E2114">
        <v>60</v>
      </c>
      <c r="F2114">
        <v>59.969299315999997</v>
      </c>
      <c r="G2114">
        <v>1301.4951172000001</v>
      </c>
      <c r="H2114">
        <v>1288.8829346</v>
      </c>
      <c r="I2114">
        <v>1387.2545166</v>
      </c>
      <c r="J2114">
        <v>1370.2019043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1372</v>
      </c>
      <c r="B2115" s="1">
        <f>DATE(2014,2,1) + TIME(0,0,0)</f>
        <v>41671</v>
      </c>
      <c r="C2115">
        <v>90</v>
      </c>
      <c r="D2115">
        <v>82.265266417999996</v>
      </c>
      <c r="E2115">
        <v>60</v>
      </c>
      <c r="F2115">
        <v>59.969306946000003</v>
      </c>
      <c r="G2115">
        <v>1301.3016356999999</v>
      </c>
      <c r="H2115">
        <v>1288.6234131000001</v>
      </c>
      <c r="I2115">
        <v>1387.2229004000001</v>
      </c>
      <c r="J2115">
        <v>1370.177124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1374.2894690000001</v>
      </c>
      <c r="B2116" s="1">
        <f>DATE(2014,2,3) + TIME(6,56,50)</f>
        <v>41673.289467592593</v>
      </c>
      <c r="C2116">
        <v>90</v>
      </c>
      <c r="D2116">
        <v>82.151306152000004</v>
      </c>
      <c r="E2116">
        <v>60</v>
      </c>
      <c r="F2116">
        <v>59.969345093000001</v>
      </c>
      <c r="G2116">
        <v>1301.1937256000001</v>
      </c>
      <c r="H2116">
        <v>1288.4621582</v>
      </c>
      <c r="I2116">
        <v>1387.2103271000001</v>
      </c>
      <c r="J2116">
        <v>1370.1673584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1376.6382329999999</v>
      </c>
      <c r="B2117" s="1">
        <f>DATE(2014,2,5) + TIME(15,19,3)</f>
        <v>41675.638229166667</v>
      </c>
      <c r="C2117">
        <v>90</v>
      </c>
      <c r="D2117">
        <v>82.008666992000002</v>
      </c>
      <c r="E2117">
        <v>60</v>
      </c>
      <c r="F2117">
        <v>59.969383239999999</v>
      </c>
      <c r="G2117">
        <v>1300.9929199000001</v>
      </c>
      <c r="H2117">
        <v>1288.1872559000001</v>
      </c>
      <c r="I2117">
        <v>1387.1796875</v>
      </c>
      <c r="J2117">
        <v>1370.1433105000001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1379.0219979999999</v>
      </c>
      <c r="B2118" s="1">
        <f>DATE(2014,2,8) + TIME(0,31,40)</f>
        <v>41678.021990740737</v>
      </c>
      <c r="C2118">
        <v>90</v>
      </c>
      <c r="D2118">
        <v>81.855110167999996</v>
      </c>
      <c r="E2118">
        <v>60</v>
      </c>
      <c r="F2118">
        <v>59.969417571999998</v>
      </c>
      <c r="G2118">
        <v>1300.7790527</v>
      </c>
      <c r="H2118">
        <v>1287.8914795000001</v>
      </c>
      <c r="I2118">
        <v>1387.1486815999999</v>
      </c>
      <c r="J2118">
        <v>1370.1190185999999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1381.4353209999999</v>
      </c>
      <c r="B2119" s="1">
        <f>DATE(2014,2,10) + TIME(10,26,51)</f>
        <v>41680.435312499998</v>
      </c>
      <c r="C2119">
        <v>90</v>
      </c>
      <c r="D2119">
        <v>81.695968628000003</v>
      </c>
      <c r="E2119">
        <v>60</v>
      </c>
      <c r="F2119">
        <v>59.969455719000003</v>
      </c>
      <c r="G2119">
        <v>1300.5579834</v>
      </c>
      <c r="H2119">
        <v>1287.5843506000001</v>
      </c>
      <c r="I2119">
        <v>1387.1177978999999</v>
      </c>
      <c r="J2119">
        <v>1370.0946045000001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1383.87871</v>
      </c>
      <c r="B2120" s="1">
        <f>DATE(2014,2,12) + TIME(21,5,20)</f>
        <v>41682.878703703704</v>
      </c>
      <c r="C2120">
        <v>90</v>
      </c>
      <c r="D2120">
        <v>81.532531738000003</v>
      </c>
      <c r="E2120">
        <v>60</v>
      </c>
      <c r="F2120">
        <v>59.969490051000001</v>
      </c>
      <c r="G2120">
        <v>1300.3312988</v>
      </c>
      <c r="H2120">
        <v>1287.2685547000001</v>
      </c>
      <c r="I2120">
        <v>1387.0869141000001</v>
      </c>
      <c r="J2120">
        <v>1370.0703125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1386.3563610000001</v>
      </c>
      <c r="B2121" s="1">
        <f>DATE(2014,2,15) + TIME(8,33,9)</f>
        <v>41685.356354166666</v>
      </c>
      <c r="C2121">
        <v>90</v>
      </c>
      <c r="D2121">
        <v>81.364776610999996</v>
      </c>
      <c r="E2121">
        <v>60</v>
      </c>
      <c r="F2121">
        <v>59.969528197999999</v>
      </c>
      <c r="G2121">
        <v>1300.0992432</v>
      </c>
      <c r="H2121">
        <v>1286.9447021000001</v>
      </c>
      <c r="I2121">
        <v>1387.0562743999999</v>
      </c>
      <c r="J2121">
        <v>1370.0458983999999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1388.872584</v>
      </c>
      <c r="B2122" s="1">
        <f>DATE(2014,2,17) + TIME(20,56,31)</f>
        <v>41687.872581018521</v>
      </c>
      <c r="C2122">
        <v>90</v>
      </c>
      <c r="D2122">
        <v>81.192199707</v>
      </c>
      <c r="E2122">
        <v>60</v>
      </c>
      <c r="F2122">
        <v>59.969566344999997</v>
      </c>
      <c r="G2122">
        <v>1299.8616943</v>
      </c>
      <c r="H2122">
        <v>1286.6124268000001</v>
      </c>
      <c r="I2122">
        <v>1387.0255127</v>
      </c>
      <c r="J2122">
        <v>1370.0214844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1391.431415</v>
      </c>
      <c r="B2123" s="1">
        <f>DATE(2014,2,20) + TIME(10,21,14)</f>
        <v>41690.43141203704</v>
      </c>
      <c r="C2123">
        <v>90</v>
      </c>
      <c r="D2123">
        <v>81.014144896999994</v>
      </c>
      <c r="E2123">
        <v>60</v>
      </c>
      <c r="F2123">
        <v>59.969604492000002</v>
      </c>
      <c r="G2123">
        <v>1299.6184082</v>
      </c>
      <c r="H2123">
        <v>1286.2713623</v>
      </c>
      <c r="I2123">
        <v>1386.9946289</v>
      </c>
      <c r="J2123">
        <v>1369.9969481999999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1394.0285819999999</v>
      </c>
      <c r="B2124" s="1">
        <f>DATE(2014,2,23) + TIME(0,41,9)</f>
        <v>41693.02857638889</v>
      </c>
      <c r="C2124">
        <v>90</v>
      </c>
      <c r="D2124">
        <v>80.830032349000007</v>
      </c>
      <c r="E2124">
        <v>60</v>
      </c>
      <c r="F2124">
        <v>59.969642639</v>
      </c>
      <c r="G2124">
        <v>1299.3687743999999</v>
      </c>
      <c r="H2124">
        <v>1285.9210204999999</v>
      </c>
      <c r="I2124">
        <v>1386.9637451000001</v>
      </c>
      <c r="J2124">
        <v>1369.972168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1396.663182</v>
      </c>
      <c r="B2125" s="1">
        <f>DATE(2014,2,25) + TIME(15,54,58)</f>
        <v>41695.663171296299</v>
      </c>
      <c r="C2125">
        <v>90</v>
      </c>
      <c r="D2125">
        <v>80.639549255000006</v>
      </c>
      <c r="E2125">
        <v>60</v>
      </c>
      <c r="F2125">
        <v>59.969684600999997</v>
      </c>
      <c r="G2125">
        <v>1299.1134033000001</v>
      </c>
      <c r="H2125">
        <v>1285.5616454999999</v>
      </c>
      <c r="I2125">
        <v>1386.9327393000001</v>
      </c>
      <c r="J2125">
        <v>1369.9473877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1399.339874</v>
      </c>
      <c r="B2126" s="1">
        <f>DATE(2014,2,28) + TIME(8,9,25)</f>
        <v>41698.339872685188</v>
      </c>
      <c r="C2126">
        <v>90</v>
      </c>
      <c r="D2126">
        <v>80.442214965999995</v>
      </c>
      <c r="E2126">
        <v>60</v>
      </c>
      <c r="F2126">
        <v>59.969722748000002</v>
      </c>
      <c r="G2126">
        <v>1298.8522949000001</v>
      </c>
      <c r="H2126">
        <v>1285.1933594</v>
      </c>
      <c r="I2126">
        <v>1386.9016113</v>
      </c>
      <c r="J2126">
        <v>1369.9223632999999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1400</v>
      </c>
      <c r="B2127" s="1">
        <f>DATE(2014,3,1) + TIME(0,0,0)</f>
        <v>41699</v>
      </c>
      <c r="C2127">
        <v>90</v>
      </c>
      <c r="D2127">
        <v>80.319702148000005</v>
      </c>
      <c r="E2127">
        <v>60</v>
      </c>
      <c r="F2127">
        <v>59.969726561999998</v>
      </c>
      <c r="G2127">
        <v>1298.6031493999999</v>
      </c>
      <c r="H2127">
        <v>1284.8603516000001</v>
      </c>
      <c r="I2127">
        <v>1386.8692627</v>
      </c>
      <c r="J2127">
        <v>1369.8961182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1402.7234269999999</v>
      </c>
      <c r="B2128" s="1">
        <f>DATE(2014,3,3) + TIME(17,21,44)</f>
        <v>41701.723425925928</v>
      </c>
      <c r="C2128">
        <v>90</v>
      </c>
      <c r="D2128">
        <v>80.170013428000004</v>
      </c>
      <c r="E2128">
        <v>60</v>
      </c>
      <c r="F2128">
        <v>59.969772339000002</v>
      </c>
      <c r="G2128">
        <v>1298.5032959</v>
      </c>
      <c r="H2128">
        <v>1284.6934814000001</v>
      </c>
      <c r="I2128">
        <v>1386.8626709</v>
      </c>
      <c r="J2128">
        <v>1369.8908690999999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1405.5115229999999</v>
      </c>
      <c r="B2129" s="1">
        <f>DATE(2014,3,6) + TIME(12,16,35)</f>
        <v>41704.511516203704</v>
      </c>
      <c r="C2129">
        <v>90</v>
      </c>
      <c r="D2129">
        <v>79.967369079999997</v>
      </c>
      <c r="E2129">
        <v>60</v>
      </c>
      <c r="F2129">
        <v>59.969814301</v>
      </c>
      <c r="G2129">
        <v>1298.2412108999999</v>
      </c>
      <c r="H2129">
        <v>1284.3272704999999</v>
      </c>
      <c r="I2129">
        <v>1386.8311768000001</v>
      </c>
      <c r="J2129">
        <v>1369.8654785000001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1408.3545710000001</v>
      </c>
      <c r="B2130" s="1">
        <f>DATE(2014,3,9) + TIME(8,30,34)</f>
        <v>41707.354560185187</v>
      </c>
      <c r="C2130">
        <v>90</v>
      </c>
      <c r="D2130">
        <v>79.744682311999995</v>
      </c>
      <c r="E2130">
        <v>60</v>
      </c>
      <c r="F2130">
        <v>59.969860077</v>
      </c>
      <c r="G2130">
        <v>1297.9619141000001</v>
      </c>
      <c r="H2130">
        <v>1283.9321289</v>
      </c>
      <c r="I2130">
        <v>1386.7993164</v>
      </c>
      <c r="J2130">
        <v>1369.8394774999999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1411.2517250000001</v>
      </c>
      <c r="B2131" s="1">
        <f>DATE(2014,3,12) + TIME(6,2,28)</f>
        <v>41710.251712962963</v>
      </c>
      <c r="C2131">
        <v>90</v>
      </c>
      <c r="D2131">
        <v>79.509323120000005</v>
      </c>
      <c r="E2131">
        <v>60</v>
      </c>
      <c r="F2131">
        <v>59.969902038999997</v>
      </c>
      <c r="G2131">
        <v>1297.6734618999999</v>
      </c>
      <c r="H2131">
        <v>1283.5220947</v>
      </c>
      <c r="I2131">
        <v>1386.7669678</v>
      </c>
      <c r="J2131">
        <v>1369.8132324000001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1414.1925389999999</v>
      </c>
      <c r="B2132" s="1">
        <f>DATE(2014,3,15) + TIME(4,37,15)</f>
        <v>41713.19253472222</v>
      </c>
      <c r="C2132">
        <v>90</v>
      </c>
      <c r="D2132">
        <v>79.262557982999994</v>
      </c>
      <c r="E2132">
        <v>60</v>
      </c>
      <c r="F2132">
        <v>59.969943999999998</v>
      </c>
      <c r="G2132">
        <v>1297.3775635</v>
      </c>
      <c r="H2132">
        <v>1283.1003418</v>
      </c>
      <c r="I2132">
        <v>1386.734375</v>
      </c>
      <c r="J2132">
        <v>1369.7866211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1417.18289</v>
      </c>
      <c r="B2133" s="1">
        <f>DATE(2014,3,18) + TIME(4,23,21)</f>
        <v>41716.182881944442</v>
      </c>
      <c r="C2133">
        <v>90</v>
      </c>
      <c r="D2133">
        <v>79.004516601999995</v>
      </c>
      <c r="E2133">
        <v>60</v>
      </c>
      <c r="F2133">
        <v>59.969989777000002</v>
      </c>
      <c r="G2133">
        <v>1297.0758057</v>
      </c>
      <c r="H2133">
        <v>1282.6690673999999</v>
      </c>
      <c r="I2133">
        <v>1386.7015381000001</v>
      </c>
      <c r="J2133">
        <v>1369.7596435999999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1420.228873</v>
      </c>
      <c r="B2134" s="1">
        <f>DATE(2014,3,21) + TIME(5,29,34)</f>
        <v>41719.228865740741</v>
      </c>
      <c r="C2134">
        <v>90</v>
      </c>
      <c r="D2134">
        <v>78.734313964999998</v>
      </c>
      <c r="E2134">
        <v>60</v>
      </c>
      <c r="F2134">
        <v>59.970035553000002</v>
      </c>
      <c r="G2134">
        <v>1296.7678223</v>
      </c>
      <c r="H2134">
        <v>1282.2279053</v>
      </c>
      <c r="I2134">
        <v>1386.6683350000001</v>
      </c>
      <c r="J2134">
        <v>1369.7322998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1423.3370910000001</v>
      </c>
      <c r="B2135" s="1">
        <f>DATE(2014,3,24) + TIME(8,5,24)</f>
        <v>41722.337083333332</v>
      </c>
      <c r="C2135">
        <v>90</v>
      </c>
      <c r="D2135">
        <v>78.450798035000005</v>
      </c>
      <c r="E2135">
        <v>60</v>
      </c>
      <c r="F2135">
        <v>59.970081329000003</v>
      </c>
      <c r="G2135">
        <v>1296.4533690999999</v>
      </c>
      <c r="H2135">
        <v>1281.7763672000001</v>
      </c>
      <c r="I2135">
        <v>1386.6346435999999</v>
      </c>
      <c r="J2135">
        <v>1369.7044678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1426.51343</v>
      </c>
      <c r="B2136" s="1">
        <f>DATE(2014,3,27) + TIME(12,19,20)</f>
        <v>41725.513425925928</v>
      </c>
      <c r="C2136">
        <v>90</v>
      </c>
      <c r="D2136">
        <v>78.152679442999997</v>
      </c>
      <c r="E2136">
        <v>60</v>
      </c>
      <c r="F2136">
        <v>59.970127106</v>
      </c>
      <c r="G2136">
        <v>1296.1320800999999</v>
      </c>
      <c r="H2136">
        <v>1281.3138428</v>
      </c>
      <c r="I2136">
        <v>1386.6005858999999</v>
      </c>
      <c r="J2136">
        <v>1369.6762695</v>
      </c>
      <c r="K2136">
        <v>0</v>
      </c>
      <c r="L2136">
        <v>2400</v>
      </c>
      <c r="M2136">
        <v>2400</v>
      </c>
      <c r="N2136">
        <v>0</v>
      </c>
    </row>
    <row r="2137" spans="1:14" x14ac:dyDescent="0.25">
      <c r="A2137">
        <v>1429.7634680000001</v>
      </c>
      <c r="B2137" s="1">
        <f>DATE(2014,3,30) + TIME(18,19,23)</f>
        <v>41728.763460648152</v>
      </c>
      <c r="C2137">
        <v>90</v>
      </c>
      <c r="D2137">
        <v>77.838676453000005</v>
      </c>
      <c r="E2137">
        <v>60</v>
      </c>
      <c r="F2137">
        <v>59.970176696999999</v>
      </c>
      <c r="G2137">
        <v>1295.8034668</v>
      </c>
      <c r="H2137">
        <v>1280.8395995999999</v>
      </c>
      <c r="I2137">
        <v>1386.5657959</v>
      </c>
      <c r="J2137">
        <v>1369.6473389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1431</v>
      </c>
      <c r="B2138" s="1">
        <f>DATE(2014,4,1) + TIME(0,0,0)</f>
        <v>41730</v>
      </c>
      <c r="C2138">
        <v>90</v>
      </c>
      <c r="D2138">
        <v>77.583114624000004</v>
      </c>
      <c r="E2138">
        <v>60</v>
      </c>
      <c r="F2138">
        <v>59.970188141000001</v>
      </c>
      <c r="G2138">
        <v>1295.4799805</v>
      </c>
      <c r="H2138">
        <v>1280.3900146000001</v>
      </c>
      <c r="I2138">
        <v>1386.5295410000001</v>
      </c>
      <c r="J2138">
        <v>1369.6169434000001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1434.3294840000001</v>
      </c>
      <c r="B2139" s="1">
        <f>DATE(2014,4,4) + TIME(7,54,27)</f>
        <v>41733.329479166663</v>
      </c>
      <c r="C2139">
        <v>90</v>
      </c>
      <c r="D2139">
        <v>77.35484314</v>
      </c>
      <c r="E2139">
        <v>60</v>
      </c>
      <c r="F2139">
        <v>59.970241547000001</v>
      </c>
      <c r="G2139">
        <v>1295.3192139</v>
      </c>
      <c r="H2139">
        <v>1280.1287841999999</v>
      </c>
      <c r="I2139">
        <v>1386.5169678</v>
      </c>
      <c r="J2139">
        <v>1369.6064452999999</v>
      </c>
      <c r="K2139">
        <v>0</v>
      </c>
      <c r="L2139">
        <v>2400</v>
      </c>
      <c r="M2139">
        <v>2400</v>
      </c>
      <c r="N2139">
        <v>0</v>
      </c>
    </row>
    <row r="2140" spans="1:14" x14ac:dyDescent="0.25">
      <c r="A2140">
        <v>1437.7503529999999</v>
      </c>
      <c r="B2140" s="1">
        <f>DATE(2014,4,7) + TIME(18,0,30)</f>
        <v>41736.750347222223</v>
      </c>
      <c r="C2140">
        <v>90</v>
      </c>
      <c r="D2140">
        <v>77.020065308</v>
      </c>
      <c r="E2140">
        <v>60</v>
      </c>
      <c r="F2140">
        <v>59.970291138</v>
      </c>
      <c r="G2140">
        <v>1294.9919434000001</v>
      </c>
      <c r="H2140">
        <v>1279.6613769999999</v>
      </c>
      <c r="I2140">
        <v>1386.4807129000001</v>
      </c>
      <c r="J2140">
        <v>1369.5760498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1441.251039</v>
      </c>
      <c r="B2141" s="1">
        <f>DATE(2014,4,11) + TIME(6,1,29)</f>
        <v>41740.251030092593</v>
      </c>
      <c r="C2141">
        <v>90</v>
      </c>
      <c r="D2141">
        <v>76.649200438999998</v>
      </c>
      <c r="E2141">
        <v>60</v>
      </c>
      <c r="F2141">
        <v>59.970340729</v>
      </c>
      <c r="G2141">
        <v>1294.6429443</v>
      </c>
      <c r="H2141">
        <v>1279.1547852000001</v>
      </c>
      <c r="I2141">
        <v>1386.4436035000001</v>
      </c>
      <c r="J2141">
        <v>1369.5447998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1444.8413840000001</v>
      </c>
      <c r="B2142" s="1">
        <f>DATE(2014,4,14) + TIME(20,11,35)</f>
        <v>41743.841377314813</v>
      </c>
      <c r="C2142">
        <v>90</v>
      </c>
      <c r="D2142">
        <v>76.255661011000001</v>
      </c>
      <c r="E2142">
        <v>60</v>
      </c>
      <c r="F2142">
        <v>59.970394134999999</v>
      </c>
      <c r="G2142">
        <v>1294.2845459</v>
      </c>
      <c r="H2142">
        <v>1278.6315918</v>
      </c>
      <c r="I2142">
        <v>1386.4056396000001</v>
      </c>
      <c r="J2142">
        <v>1369.5126952999999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1448.5316</v>
      </c>
      <c r="B2143" s="1">
        <f>DATE(2014,4,18) + TIME(12,45,30)</f>
        <v>41747.531597222223</v>
      </c>
      <c r="C2143">
        <v>90</v>
      </c>
      <c r="D2143">
        <v>75.840156554999993</v>
      </c>
      <c r="E2143">
        <v>60</v>
      </c>
      <c r="F2143">
        <v>59.970447540000002</v>
      </c>
      <c r="G2143">
        <v>1293.9182129000001</v>
      </c>
      <c r="H2143">
        <v>1278.0950928</v>
      </c>
      <c r="I2143">
        <v>1386.3666992000001</v>
      </c>
      <c r="J2143">
        <v>1369.4796143000001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1452.331559</v>
      </c>
      <c r="B2144" s="1">
        <f>DATE(2014,4,22) + TIME(7,57,26)</f>
        <v>41751.331550925926</v>
      </c>
      <c r="C2144">
        <v>90</v>
      </c>
      <c r="D2144">
        <v>75.402030945000007</v>
      </c>
      <c r="E2144">
        <v>60</v>
      </c>
      <c r="F2144">
        <v>59.970500946000001</v>
      </c>
      <c r="G2144">
        <v>1293.5441894999999</v>
      </c>
      <c r="H2144">
        <v>1277.5456543</v>
      </c>
      <c r="I2144">
        <v>1386.3267822</v>
      </c>
      <c r="J2144">
        <v>1369.4455565999999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1456.215989</v>
      </c>
      <c r="B2145" s="1">
        <f>DATE(2014,4,26) + TIME(5,11,1)</f>
        <v>41755.215983796297</v>
      </c>
      <c r="C2145">
        <v>90</v>
      </c>
      <c r="D2145">
        <v>74.939331054999997</v>
      </c>
      <c r="E2145">
        <v>60</v>
      </c>
      <c r="F2145">
        <v>59.970554352000001</v>
      </c>
      <c r="G2145">
        <v>1293.1622314000001</v>
      </c>
      <c r="H2145">
        <v>1276.9830322</v>
      </c>
      <c r="I2145">
        <v>1386.2855225000001</v>
      </c>
      <c r="J2145">
        <v>1369.4101562000001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1460.182671</v>
      </c>
      <c r="B2146" s="1">
        <f>DATE(2014,4,30) + TIME(4,23,2)</f>
        <v>41759.182662037034</v>
      </c>
      <c r="C2146">
        <v>90</v>
      </c>
      <c r="D2146">
        <v>74.454261779999996</v>
      </c>
      <c r="E2146">
        <v>60</v>
      </c>
      <c r="F2146">
        <v>59.970611572000003</v>
      </c>
      <c r="G2146">
        <v>1292.7752685999999</v>
      </c>
      <c r="H2146">
        <v>1276.4111327999999</v>
      </c>
      <c r="I2146">
        <v>1386.2432861</v>
      </c>
      <c r="J2146">
        <v>1369.3739014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1461</v>
      </c>
      <c r="B2147" s="1">
        <f>DATE(2014,5,1) + TIME(0,0,0)</f>
        <v>41760</v>
      </c>
      <c r="C2147">
        <v>90</v>
      </c>
      <c r="D2147">
        <v>74.130187988000003</v>
      </c>
      <c r="E2147">
        <v>60</v>
      </c>
      <c r="F2147">
        <v>59.970615387000002</v>
      </c>
      <c r="G2147">
        <v>1292.4030762</v>
      </c>
      <c r="H2147">
        <v>1275.9044189000001</v>
      </c>
      <c r="I2147">
        <v>1386.1993408000001</v>
      </c>
      <c r="J2147">
        <v>1369.3358154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1461.0000010000001</v>
      </c>
      <c r="B2148" s="1">
        <f>DATE(2014,5,1) + TIME(0,0,0)</f>
        <v>41760</v>
      </c>
      <c r="C2148">
        <v>90</v>
      </c>
      <c r="D2148">
        <v>74.130363463999998</v>
      </c>
      <c r="E2148">
        <v>60</v>
      </c>
      <c r="F2148">
        <v>59.970500946000001</v>
      </c>
      <c r="G2148">
        <v>1310.3831786999999</v>
      </c>
      <c r="H2148">
        <v>1293.4776611</v>
      </c>
      <c r="I2148">
        <v>1368.4620361</v>
      </c>
      <c r="J2148">
        <v>1352.4343262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1461.000004</v>
      </c>
      <c r="B2149" s="1">
        <f>DATE(2014,5,1) + TIME(0,0,0)</f>
        <v>41760</v>
      </c>
      <c r="C2149">
        <v>90</v>
      </c>
      <c r="D2149">
        <v>74.130805968999994</v>
      </c>
      <c r="E2149">
        <v>60</v>
      </c>
      <c r="F2149">
        <v>59.970199585000003</v>
      </c>
      <c r="G2149">
        <v>1312.7645264</v>
      </c>
      <c r="H2149">
        <v>1296.1951904</v>
      </c>
      <c r="I2149">
        <v>1366.1728516000001</v>
      </c>
      <c r="J2149">
        <v>1350.1445312000001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1461.0000130000001</v>
      </c>
      <c r="B2150" s="1">
        <f>DATE(2014,5,1) + TIME(0,0,1)</f>
        <v>41760.000011574077</v>
      </c>
      <c r="C2150">
        <v>90</v>
      </c>
      <c r="D2150">
        <v>74.131782532000003</v>
      </c>
      <c r="E2150">
        <v>60</v>
      </c>
      <c r="F2150">
        <v>59.969547272</v>
      </c>
      <c r="G2150">
        <v>1317.8591309000001</v>
      </c>
      <c r="H2150">
        <v>1301.7125243999999</v>
      </c>
      <c r="I2150">
        <v>1361.2208252</v>
      </c>
      <c r="J2150">
        <v>1345.1916504000001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1461.0000399999999</v>
      </c>
      <c r="B2151" s="1">
        <f>DATE(2014,5,1) + TIME(0,0,3)</f>
        <v>41760.000034722223</v>
      </c>
      <c r="C2151">
        <v>90</v>
      </c>
      <c r="D2151">
        <v>74.133544921999999</v>
      </c>
      <c r="E2151">
        <v>60</v>
      </c>
      <c r="F2151">
        <v>59.968509674000003</v>
      </c>
      <c r="G2151">
        <v>1325.9165039</v>
      </c>
      <c r="H2151">
        <v>1309.9176024999999</v>
      </c>
      <c r="I2151">
        <v>1353.34375</v>
      </c>
      <c r="J2151">
        <v>1337.315918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1461.000121</v>
      </c>
      <c r="B2152" s="1">
        <f>DATE(2014,5,1) + TIME(0,0,10)</f>
        <v>41760.000115740739</v>
      </c>
      <c r="C2152">
        <v>90</v>
      </c>
      <c r="D2152">
        <v>74.13671875</v>
      </c>
      <c r="E2152">
        <v>60</v>
      </c>
      <c r="F2152">
        <v>59.967281342</v>
      </c>
      <c r="G2152">
        <v>1335.4603271000001</v>
      </c>
      <c r="H2152">
        <v>1319.3131103999999</v>
      </c>
      <c r="I2152">
        <v>1344.0789795000001</v>
      </c>
      <c r="J2152">
        <v>1328.0559082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1461.000364</v>
      </c>
      <c r="B2153" s="1">
        <f>DATE(2014,5,1) + TIME(0,0,31)</f>
        <v>41760.000358796293</v>
      </c>
      <c r="C2153">
        <v>90</v>
      </c>
      <c r="D2153">
        <v>74.143745421999995</v>
      </c>
      <c r="E2153">
        <v>60</v>
      </c>
      <c r="F2153">
        <v>59.966007232999999</v>
      </c>
      <c r="G2153">
        <v>1345.3181152</v>
      </c>
      <c r="H2153">
        <v>1328.9757079999999</v>
      </c>
      <c r="I2153">
        <v>1334.6469727000001</v>
      </c>
      <c r="J2153">
        <v>1318.6322021000001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1461.0010930000001</v>
      </c>
      <c r="B2154" s="1">
        <f>DATE(2014,5,1) + TIME(0,1,34)</f>
        <v>41760.001087962963</v>
      </c>
      <c r="C2154">
        <v>90</v>
      </c>
      <c r="D2154">
        <v>74.162376404</v>
      </c>
      <c r="E2154">
        <v>60</v>
      </c>
      <c r="F2154">
        <v>59.964668273999997</v>
      </c>
      <c r="G2154">
        <v>1355.4307861</v>
      </c>
      <c r="H2154">
        <v>1338.8677978999999</v>
      </c>
      <c r="I2154">
        <v>1325.2132568</v>
      </c>
      <c r="J2154">
        <v>1309.2010498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1461.0032799999999</v>
      </c>
      <c r="B2155" s="1">
        <f>DATE(2014,5,1) + TIME(0,4,43)</f>
        <v>41760.003275462965</v>
      </c>
      <c r="C2155">
        <v>90</v>
      </c>
      <c r="D2155">
        <v>74.216239928999997</v>
      </c>
      <c r="E2155">
        <v>60</v>
      </c>
      <c r="F2155">
        <v>59.963115692000002</v>
      </c>
      <c r="G2155">
        <v>1366.0048827999999</v>
      </c>
      <c r="H2155">
        <v>1349.1774902</v>
      </c>
      <c r="I2155">
        <v>1315.6400146000001</v>
      </c>
      <c r="J2155">
        <v>1299.5762939000001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1461.0098410000001</v>
      </c>
      <c r="B2156" s="1">
        <f>DATE(2014,5,1) + TIME(0,14,10)</f>
        <v>41760.009837962964</v>
      </c>
      <c r="C2156">
        <v>90</v>
      </c>
      <c r="D2156">
        <v>74.375762938999998</v>
      </c>
      <c r="E2156">
        <v>60</v>
      </c>
      <c r="F2156">
        <v>59.960987091</v>
      </c>
      <c r="G2156">
        <v>1376.3664550999999</v>
      </c>
      <c r="H2156">
        <v>1359.3150635</v>
      </c>
      <c r="I2156">
        <v>1306.1833495999999</v>
      </c>
      <c r="J2156">
        <v>1290.010376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1461.029524</v>
      </c>
      <c r="B2157" s="1">
        <f>DATE(2014,5,1) + TIME(0,42,30)</f>
        <v>41760.029513888891</v>
      </c>
      <c r="C2157">
        <v>90</v>
      </c>
      <c r="D2157">
        <v>74.840789795000006</v>
      </c>
      <c r="E2157">
        <v>60</v>
      </c>
      <c r="F2157">
        <v>59.957378386999999</v>
      </c>
      <c r="G2157">
        <v>1384.3730469</v>
      </c>
      <c r="H2157">
        <v>1367.2862548999999</v>
      </c>
      <c r="I2157">
        <v>1298.7189940999999</v>
      </c>
      <c r="J2157">
        <v>1282.463501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1461.0535299999999</v>
      </c>
      <c r="B2158" s="1">
        <f>DATE(2014,5,1) + TIME(1,17,5)</f>
        <v>41760.053530092591</v>
      </c>
      <c r="C2158">
        <v>90</v>
      </c>
      <c r="D2158">
        <v>75.387512207</v>
      </c>
      <c r="E2158">
        <v>60</v>
      </c>
      <c r="F2158">
        <v>59.953845977999997</v>
      </c>
      <c r="G2158">
        <v>1387.3914795000001</v>
      </c>
      <c r="H2158">
        <v>1370.3881836</v>
      </c>
      <c r="I2158">
        <v>1296.0462646000001</v>
      </c>
      <c r="J2158">
        <v>1279.765625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1461.0780520000001</v>
      </c>
      <c r="B2159" s="1">
        <f>DATE(2014,5,1) + TIME(1,52,23)</f>
        <v>41760.078043981484</v>
      </c>
      <c r="C2159">
        <v>90</v>
      </c>
      <c r="D2159">
        <v>75.925415039000001</v>
      </c>
      <c r="E2159">
        <v>60</v>
      </c>
      <c r="F2159">
        <v>59.950508118000002</v>
      </c>
      <c r="G2159">
        <v>1388.4594727000001</v>
      </c>
      <c r="H2159">
        <v>1371.5615233999999</v>
      </c>
      <c r="I2159">
        <v>1295.2142334</v>
      </c>
      <c r="J2159">
        <v>1278.9257812000001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1461.1030249999999</v>
      </c>
      <c r="B2160" s="1">
        <f>DATE(2014,5,1) + TIME(2,28,21)</f>
        <v>41760.103020833332</v>
      </c>
      <c r="C2160">
        <v>90</v>
      </c>
      <c r="D2160">
        <v>76.452720642000003</v>
      </c>
      <c r="E2160">
        <v>60</v>
      </c>
      <c r="F2160">
        <v>59.947216034</v>
      </c>
      <c r="G2160">
        <v>1388.8134766000001</v>
      </c>
      <c r="H2160">
        <v>1372.0251464999999</v>
      </c>
      <c r="I2160">
        <v>1294.9822998</v>
      </c>
      <c r="J2160">
        <v>1278.6911620999999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1461.128449</v>
      </c>
      <c r="B2161" s="1">
        <f>DATE(2014,5,1) + TIME(3,4,58)</f>
        <v>41760.128449074073</v>
      </c>
      <c r="C2161">
        <v>90</v>
      </c>
      <c r="D2161">
        <v>76.969078064000001</v>
      </c>
      <c r="E2161">
        <v>60</v>
      </c>
      <c r="F2161">
        <v>59.943920134999999</v>
      </c>
      <c r="G2161">
        <v>1388.8797606999999</v>
      </c>
      <c r="H2161">
        <v>1372.199707</v>
      </c>
      <c r="I2161">
        <v>1294.9418945</v>
      </c>
      <c r="J2161">
        <v>1278.6495361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1461.1543360000001</v>
      </c>
      <c r="B2162" s="1">
        <f>DATE(2014,5,1) + TIME(3,42,14)</f>
        <v>41760.154328703706</v>
      </c>
      <c r="C2162">
        <v>90</v>
      </c>
      <c r="D2162">
        <v>77.474441528</v>
      </c>
      <c r="E2162">
        <v>60</v>
      </c>
      <c r="F2162">
        <v>59.940601348999998</v>
      </c>
      <c r="G2162">
        <v>1388.8231201000001</v>
      </c>
      <c r="H2162">
        <v>1372.2484131000001</v>
      </c>
      <c r="I2162">
        <v>1294.9544678</v>
      </c>
      <c r="J2162">
        <v>1278.6617432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1461.1806939999999</v>
      </c>
      <c r="B2163" s="1">
        <f>DATE(2014,5,1) + TIME(4,20,11)</f>
        <v>41760.18068287037</v>
      </c>
      <c r="C2163">
        <v>90</v>
      </c>
      <c r="D2163">
        <v>77.968681334999999</v>
      </c>
      <c r="E2163">
        <v>60</v>
      </c>
      <c r="F2163">
        <v>59.937252045000001</v>
      </c>
      <c r="G2163">
        <v>1388.7120361</v>
      </c>
      <c r="H2163">
        <v>1372.2395019999999</v>
      </c>
      <c r="I2163">
        <v>1294.9758300999999</v>
      </c>
      <c r="J2163">
        <v>1278.6828613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1461.2075130000001</v>
      </c>
      <c r="B2164" s="1">
        <f>DATE(2014,5,1) + TIME(4,58,49)</f>
        <v>41760.207511574074</v>
      </c>
      <c r="C2164">
        <v>90</v>
      </c>
      <c r="D2164">
        <v>78.451385497999993</v>
      </c>
      <c r="E2164">
        <v>60</v>
      </c>
      <c r="F2164">
        <v>59.933876038000001</v>
      </c>
      <c r="G2164">
        <v>1388.5773925999999</v>
      </c>
      <c r="H2164">
        <v>1372.2032471</v>
      </c>
      <c r="I2164">
        <v>1294.9935303</v>
      </c>
      <c r="J2164">
        <v>1278.7003173999999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1461.234817</v>
      </c>
      <c r="B2165" s="1">
        <f>DATE(2014,5,1) + TIME(5,38,8)</f>
        <v>41760.234814814816</v>
      </c>
      <c r="C2165">
        <v>90</v>
      </c>
      <c r="D2165">
        <v>78.922744750999996</v>
      </c>
      <c r="E2165">
        <v>60</v>
      </c>
      <c r="F2165">
        <v>59.930469512999998</v>
      </c>
      <c r="G2165">
        <v>1388.4329834</v>
      </c>
      <c r="H2165">
        <v>1372.1539307</v>
      </c>
      <c r="I2165">
        <v>1295.0058594</v>
      </c>
      <c r="J2165">
        <v>1278.7125243999999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1461.2626290000001</v>
      </c>
      <c r="B2166" s="1">
        <f>DATE(2014,5,1) + TIME(6,18,11)</f>
        <v>41760.262627314813</v>
      </c>
      <c r="C2166">
        <v>90</v>
      </c>
      <c r="D2166">
        <v>79.382919311999999</v>
      </c>
      <c r="E2166">
        <v>60</v>
      </c>
      <c r="F2166">
        <v>59.927028655999997</v>
      </c>
      <c r="G2166">
        <v>1388.2858887</v>
      </c>
      <c r="H2166">
        <v>1372.0983887</v>
      </c>
      <c r="I2166">
        <v>1295.0137939000001</v>
      </c>
      <c r="J2166">
        <v>1278.7200928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1461.2909729999999</v>
      </c>
      <c r="B2167" s="1">
        <f>DATE(2014,5,1) + TIME(6,59,0)</f>
        <v>41760.290972222225</v>
      </c>
      <c r="C2167">
        <v>90</v>
      </c>
      <c r="D2167">
        <v>79.832061768000003</v>
      </c>
      <c r="E2167">
        <v>60</v>
      </c>
      <c r="F2167">
        <v>59.923553466999998</v>
      </c>
      <c r="G2167">
        <v>1388.1394043</v>
      </c>
      <c r="H2167">
        <v>1372.0404053</v>
      </c>
      <c r="I2167">
        <v>1295.0186768000001</v>
      </c>
      <c r="J2167">
        <v>1278.7247314000001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1461.3198769999999</v>
      </c>
      <c r="B2168" s="1">
        <f>DATE(2014,5,1) + TIME(7,40,37)</f>
        <v>41760.319872685184</v>
      </c>
      <c r="C2168">
        <v>90</v>
      </c>
      <c r="D2168">
        <v>80.270233153999996</v>
      </c>
      <c r="E2168">
        <v>60</v>
      </c>
      <c r="F2168">
        <v>59.920040131</v>
      </c>
      <c r="G2168">
        <v>1387.9954834</v>
      </c>
      <c r="H2168">
        <v>1371.9816894999999</v>
      </c>
      <c r="I2168">
        <v>1295.0214844</v>
      </c>
      <c r="J2168">
        <v>1278.7274170000001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1461.349367</v>
      </c>
      <c r="B2169" s="1">
        <f>DATE(2014,5,1) + TIME(8,23,5)</f>
        <v>41760.349363425928</v>
      </c>
      <c r="C2169">
        <v>90</v>
      </c>
      <c r="D2169">
        <v>80.697608947999996</v>
      </c>
      <c r="E2169">
        <v>60</v>
      </c>
      <c r="F2169">
        <v>59.916488647000001</v>
      </c>
      <c r="G2169">
        <v>1387.8547363</v>
      </c>
      <c r="H2169">
        <v>1371.9232178</v>
      </c>
      <c r="I2169">
        <v>1295.0231934000001</v>
      </c>
      <c r="J2169">
        <v>1278.7288818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1461.379475</v>
      </c>
      <c r="B2170" s="1">
        <f>DATE(2014,5,1) + TIME(9,6,26)</f>
        <v>41760.379467592589</v>
      </c>
      <c r="C2170">
        <v>90</v>
      </c>
      <c r="D2170">
        <v>81.114341736</v>
      </c>
      <c r="E2170">
        <v>60</v>
      </c>
      <c r="F2170">
        <v>59.912891387999998</v>
      </c>
      <c r="G2170">
        <v>1387.7178954999999</v>
      </c>
      <c r="H2170">
        <v>1371.8657227000001</v>
      </c>
      <c r="I2170">
        <v>1295.0241699000001</v>
      </c>
      <c r="J2170">
        <v>1278.7294922000001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1461.4102310000001</v>
      </c>
      <c r="B2171" s="1">
        <f>DATE(2014,5,1) + TIME(9,50,43)</f>
        <v>41760.410219907404</v>
      </c>
      <c r="C2171">
        <v>90</v>
      </c>
      <c r="D2171">
        <v>81.520553589000002</v>
      </c>
      <c r="E2171">
        <v>60</v>
      </c>
      <c r="F2171">
        <v>59.909252166999998</v>
      </c>
      <c r="G2171">
        <v>1387.5847168</v>
      </c>
      <c r="H2171">
        <v>1371.8092041</v>
      </c>
      <c r="I2171">
        <v>1295.0246582</v>
      </c>
      <c r="J2171">
        <v>1278.7297363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1461.4416699999999</v>
      </c>
      <c r="B2172" s="1">
        <f>DATE(2014,5,1) + TIME(10,36,0)</f>
        <v>41760.441666666666</v>
      </c>
      <c r="C2172">
        <v>90</v>
      </c>
      <c r="D2172">
        <v>81.916351317999997</v>
      </c>
      <c r="E2172">
        <v>60</v>
      </c>
      <c r="F2172">
        <v>59.905567169000001</v>
      </c>
      <c r="G2172">
        <v>1387.4555664</v>
      </c>
      <c r="H2172">
        <v>1371.7537841999999</v>
      </c>
      <c r="I2172">
        <v>1295.0249022999999</v>
      </c>
      <c r="J2172">
        <v>1278.7297363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1461.473835</v>
      </c>
      <c r="B2173" s="1">
        <f>DATE(2014,5,1) + TIME(11,22,19)</f>
        <v>41760.47383101852</v>
      </c>
      <c r="C2173">
        <v>90</v>
      </c>
      <c r="D2173">
        <v>82.301933289000004</v>
      </c>
      <c r="E2173">
        <v>60</v>
      </c>
      <c r="F2173">
        <v>59.901828766000001</v>
      </c>
      <c r="G2173">
        <v>1387.3299560999999</v>
      </c>
      <c r="H2173">
        <v>1371.6995850000001</v>
      </c>
      <c r="I2173">
        <v>1295.0249022999999</v>
      </c>
      <c r="J2173">
        <v>1278.7294922000001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1461.5067670000001</v>
      </c>
      <c r="B2174" s="1">
        <f>DATE(2014,5,1) + TIME(12,9,44)</f>
        <v>41760.50675925926</v>
      </c>
      <c r="C2174">
        <v>90</v>
      </c>
      <c r="D2174">
        <v>82.677383422999995</v>
      </c>
      <c r="E2174">
        <v>60</v>
      </c>
      <c r="F2174">
        <v>59.898036957000002</v>
      </c>
      <c r="G2174">
        <v>1387.2081298999999</v>
      </c>
      <c r="H2174">
        <v>1371.6466064000001</v>
      </c>
      <c r="I2174">
        <v>1295.0249022999999</v>
      </c>
      <c r="J2174">
        <v>1278.7292480000001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1461.5405000000001</v>
      </c>
      <c r="B2175" s="1">
        <f>DATE(2014,5,1) + TIME(12,58,19)</f>
        <v>41760.540497685186</v>
      </c>
      <c r="C2175">
        <v>90</v>
      </c>
      <c r="D2175">
        <v>83.042709350999999</v>
      </c>
      <c r="E2175">
        <v>60</v>
      </c>
      <c r="F2175">
        <v>59.894184113000001</v>
      </c>
      <c r="G2175">
        <v>1387.0897216999999</v>
      </c>
      <c r="H2175">
        <v>1371.5947266000001</v>
      </c>
      <c r="I2175">
        <v>1295.0247803</v>
      </c>
      <c r="J2175">
        <v>1278.7287598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1461.575079</v>
      </c>
      <c r="B2176" s="1">
        <f>DATE(2014,5,1) + TIME(13,48,6)</f>
        <v>41760.575069444443</v>
      </c>
      <c r="C2176">
        <v>90</v>
      </c>
      <c r="D2176">
        <v>83.397994995000005</v>
      </c>
      <c r="E2176">
        <v>60</v>
      </c>
      <c r="F2176">
        <v>59.890270233000003</v>
      </c>
      <c r="G2176">
        <v>1386.9747314000001</v>
      </c>
      <c r="H2176">
        <v>1371.5438231999999</v>
      </c>
      <c r="I2176">
        <v>1295.0245361</v>
      </c>
      <c r="J2176">
        <v>1278.7282714999999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1461.6105520000001</v>
      </c>
      <c r="B2177" s="1">
        <f>DATE(2014,5,1) + TIME(14,39,11)</f>
        <v>41760.610543981478</v>
      </c>
      <c r="C2177">
        <v>90</v>
      </c>
      <c r="D2177">
        <v>83.743316649999997</v>
      </c>
      <c r="E2177">
        <v>60</v>
      </c>
      <c r="F2177">
        <v>59.886295318999998</v>
      </c>
      <c r="G2177">
        <v>1386.862793</v>
      </c>
      <c r="H2177">
        <v>1371.4940185999999</v>
      </c>
      <c r="I2177">
        <v>1295.0242920000001</v>
      </c>
      <c r="J2177">
        <v>1278.7277832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1461.646972</v>
      </c>
      <c r="B2178" s="1">
        <f>DATE(2014,5,1) + TIME(15,31,38)</f>
        <v>41760.646967592591</v>
      </c>
      <c r="C2178">
        <v>90</v>
      </c>
      <c r="D2178">
        <v>84.078742981000005</v>
      </c>
      <c r="E2178">
        <v>60</v>
      </c>
      <c r="F2178">
        <v>59.882247925000001</v>
      </c>
      <c r="G2178">
        <v>1386.7540283000001</v>
      </c>
      <c r="H2178">
        <v>1371.4450684000001</v>
      </c>
      <c r="I2178">
        <v>1295.0239257999999</v>
      </c>
      <c r="J2178">
        <v>1278.7271728999999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1461.6843960000001</v>
      </c>
      <c r="B2179" s="1">
        <f>DATE(2014,5,1) + TIME(16,25,31)</f>
        <v>41760.684386574074</v>
      </c>
      <c r="C2179">
        <v>90</v>
      </c>
      <c r="D2179">
        <v>84.404350281000006</v>
      </c>
      <c r="E2179">
        <v>60</v>
      </c>
      <c r="F2179">
        <v>59.878124237000002</v>
      </c>
      <c r="G2179">
        <v>1386.6480713000001</v>
      </c>
      <c r="H2179">
        <v>1371.3969727000001</v>
      </c>
      <c r="I2179">
        <v>1295.0235596</v>
      </c>
      <c r="J2179">
        <v>1278.7265625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1461.7228849999999</v>
      </c>
      <c r="B2180" s="1">
        <f>DATE(2014,5,1) + TIME(17,20,57)</f>
        <v>41760.722881944443</v>
      </c>
      <c r="C2180">
        <v>90</v>
      </c>
      <c r="D2180">
        <v>84.720184325999995</v>
      </c>
      <c r="E2180">
        <v>60</v>
      </c>
      <c r="F2180">
        <v>59.873924254999999</v>
      </c>
      <c r="G2180">
        <v>1386.5449219</v>
      </c>
      <c r="H2180">
        <v>1371.3497314000001</v>
      </c>
      <c r="I2180">
        <v>1295.0231934000001</v>
      </c>
      <c r="J2180">
        <v>1278.7258300999999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1461.7625049999999</v>
      </c>
      <c r="B2181" s="1">
        <f>DATE(2014,5,1) + TIME(18,18,0)</f>
        <v>41760.762499999997</v>
      </c>
      <c r="C2181">
        <v>90</v>
      </c>
      <c r="D2181">
        <v>85.026290893999999</v>
      </c>
      <c r="E2181">
        <v>60</v>
      </c>
      <c r="F2181">
        <v>59.869640349999997</v>
      </c>
      <c r="G2181">
        <v>1386.4443358999999</v>
      </c>
      <c r="H2181">
        <v>1371.3031006000001</v>
      </c>
      <c r="I2181">
        <v>1295.0228271000001</v>
      </c>
      <c r="J2181">
        <v>1278.7250977000001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1461.80333</v>
      </c>
      <c r="B2182" s="1">
        <f>DATE(2014,5,1) + TIME(19,16,47)</f>
        <v>41760.80332175926</v>
      </c>
      <c r="C2182">
        <v>90</v>
      </c>
      <c r="D2182">
        <v>85.322540282999995</v>
      </c>
      <c r="E2182">
        <v>60</v>
      </c>
      <c r="F2182">
        <v>59.865264893000003</v>
      </c>
      <c r="G2182">
        <v>1386.3461914</v>
      </c>
      <c r="H2182">
        <v>1371.2570800999999</v>
      </c>
      <c r="I2182">
        <v>1295.0223389</v>
      </c>
      <c r="J2182">
        <v>1278.7242432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1461.845446</v>
      </c>
      <c r="B2183" s="1">
        <f>DATE(2014,5,1) + TIME(20,17,26)</f>
        <v>41760.845439814817</v>
      </c>
      <c r="C2183">
        <v>90</v>
      </c>
      <c r="D2183">
        <v>85.609222411999994</v>
      </c>
      <c r="E2183">
        <v>60</v>
      </c>
      <c r="F2183">
        <v>59.860790252999998</v>
      </c>
      <c r="G2183">
        <v>1386.2504882999999</v>
      </c>
      <c r="H2183">
        <v>1371.2116699000001</v>
      </c>
      <c r="I2183">
        <v>1295.0218506000001</v>
      </c>
      <c r="J2183">
        <v>1278.7233887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1461.888958</v>
      </c>
      <c r="B2184" s="1">
        <f>DATE(2014,5,1) + TIME(21,20,6)</f>
        <v>41760.888958333337</v>
      </c>
      <c r="C2184">
        <v>90</v>
      </c>
      <c r="D2184">
        <v>85.886482239000003</v>
      </c>
      <c r="E2184">
        <v>60</v>
      </c>
      <c r="F2184">
        <v>59.856208801000001</v>
      </c>
      <c r="G2184">
        <v>1386.1567382999999</v>
      </c>
      <c r="H2184">
        <v>1371.166626</v>
      </c>
      <c r="I2184">
        <v>1295.0212402</v>
      </c>
      <c r="J2184">
        <v>1278.7225341999999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1461.9339419999999</v>
      </c>
      <c r="B2185" s="1">
        <f>DATE(2014,5,1) + TIME(22,24,52)</f>
        <v>41760.933935185189</v>
      </c>
      <c r="C2185">
        <v>90</v>
      </c>
      <c r="D2185">
        <v>86.154220581000004</v>
      </c>
      <c r="E2185">
        <v>60</v>
      </c>
      <c r="F2185">
        <v>59.851516724</v>
      </c>
      <c r="G2185">
        <v>1386.0650635</v>
      </c>
      <c r="H2185">
        <v>1371.1220702999999</v>
      </c>
      <c r="I2185">
        <v>1295.0206298999999</v>
      </c>
      <c r="J2185">
        <v>1278.7216797000001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1461.9805019999999</v>
      </c>
      <c r="B2186" s="1">
        <f>DATE(2014,5,1) + TIME(23,31,55)</f>
        <v>41760.980497685188</v>
      </c>
      <c r="C2186">
        <v>90</v>
      </c>
      <c r="D2186">
        <v>86.412467957000004</v>
      </c>
      <c r="E2186">
        <v>60</v>
      </c>
      <c r="F2186">
        <v>59.846706390000001</v>
      </c>
      <c r="G2186">
        <v>1385.9754639</v>
      </c>
      <c r="H2186">
        <v>1371.0778809000001</v>
      </c>
      <c r="I2186">
        <v>1295.0200195</v>
      </c>
      <c r="J2186">
        <v>1278.7207031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1462.028757</v>
      </c>
      <c r="B2187" s="1">
        <f>DATE(2014,5,2) + TIME(0,41,24)</f>
        <v>41761.028749999998</v>
      </c>
      <c r="C2187">
        <v>90</v>
      </c>
      <c r="D2187">
        <v>86.661262511999993</v>
      </c>
      <c r="E2187">
        <v>60</v>
      </c>
      <c r="F2187">
        <v>59.841766356999997</v>
      </c>
      <c r="G2187">
        <v>1385.8874512</v>
      </c>
      <c r="H2187">
        <v>1371.0338135</v>
      </c>
      <c r="I2187">
        <v>1295.0194091999999</v>
      </c>
      <c r="J2187">
        <v>1278.7197266000001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1462.0788359999999</v>
      </c>
      <c r="B2188" s="1">
        <f>DATE(2014,5,2) + TIME(1,53,31)</f>
        <v>41761.078831018516</v>
      </c>
      <c r="C2188">
        <v>90</v>
      </c>
      <c r="D2188">
        <v>86.900642395000006</v>
      </c>
      <c r="E2188">
        <v>60</v>
      </c>
      <c r="F2188">
        <v>59.836685181</v>
      </c>
      <c r="G2188">
        <v>1385.8012695</v>
      </c>
      <c r="H2188">
        <v>1370.9901123</v>
      </c>
      <c r="I2188">
        <v>1295.0186768000001</v>
      </c>
      <c r="J2188">
        <v>1278.7186279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1462.1308739999999</v>
      </c>
      <c r="B2189" s="1">
        <f>DATE(2014,5,2) + TIME(3,8,27)</f>
        <v>41761.130868055552</v>
      </c>
      <c r="C2189">
        <v>90</v>
      </c>
      <c r="D2189">
        <v>87.130584717000005</v>
      </c>
      <c r="E2189">
        <v>60</v>
      </c>
      <c r="F2189">
        <v>59.831451416</v>
      </c>
      <c r="G2189">
        <v>1385.7165527</v>
      </c>
      <c r="H2189">
        <v>1370.9464111</v>
      </c>
      <c r="I2189">
        <v>1295.0179443</v>
      </c>
      <c r="J2189">
        <v>1278.7175293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1462.1850440000001</v>
      </c>
      <c r="B2190" s="1">
        <f>DATE(2014,5,2) + TIME(4,26,27)</f>
        <v>41761.185034722221</v>
      </c>
      <c r="C2190">
        <v>90</v>
      </c>
      <c r="D2190">
        <v>87.351181030000006</v>
      </c>
      <c r="E2190">
        <v>60</v>
      </c>
      <c r="F2190">
        <v>59.826057433999999</v>
      </c>
      <c r="G2190">
        <v>1385.6331786999999</v>
      </c>
      <c r="H2190">
        <v>1370.902832</v>
      </c>
      <c r="I2190">
        <v>1295.0172118999999</v>
      </c>
      <c r="J2190">
        <v>1278.7163086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1462.2415289999999</v>
      </c>
      <c r="B2191" s="1">
        <f>DATE(2014,5,2) + TIME(5,47,48)</f>
        <v>41761.241527777776</v>
      </c>
      <c r="C2191">
        <v>90</v>
      </c>
      <c r="D2191">
        <v>87.562454224000007</v>
      </c>
      <c r="E2191">
        <v>60</v>
      </c>
      <c r="F2191">
        <v>59.820487976000003</v>
      </c>
      <c r="G2191">
        <v>1385.5511475000001</v>
      </c>
      <c r="H2191">
        <v>1370.8591309000001</v>
      </c>
      <c r="I2191">
        <v>1295.0163574000001</v>
      </c>
      <c r="J2191">
        <v>1278.7150879000001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1462.3005370000001</v>
      </c>
      <c r="B2192" s="1">
        <f>DATE(2014,5,2) + TIME(7,12,46)</f>
        <v>41761.300532407404</v>
      </c>
      <c r="C2192">
        <v>90</v>
      </c>
      <c r="D2192">
        <v>87.764442443999997</v>
      </c>
      <c r="E2192">
        <v>60</v>
      </c>
      <c r="F2192">
        <v>59.814720154</v>
      </c>
      <c r="G2192">
        <v>1385.4702147999999</v>
      </c>
      <c r="H2192">
        <v>1370.8153076000001</v>
      </c>
      <c r="I2192">
        <v>1295.0155029</v>
      </c>
      <c r="J2192">
        <v>1278.7138672000001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1462.3623009999999</v>
      </c>
      <c r="B2193" s="1">
        <f>DATE(2014,5,2) + TIME(8,41,42)</f>
        <v>41761.362291666665</v>
      </c>
      <c r="C2193">
        <v>90</v>
      </c>
      <c r="D2193">
        <v>87.957176208000007</v>
      </c>
      <c r="E2193">
        <v>60</v>
      </c>
      <c r="F2193">
        <v>59.808742522999999</v>
      </c>
      <c r="G2193">
        <v>1385.3902588000001</v>
      </c>
      <c r="H2193">
        <v>1370.7713623</v>
      </c>
      <c r="I2193">
        <v>1295.0146483999999</v>
      </c>
      <c r="J2193">
        <v>1278.7125243999999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1462.4271309999999</v>
      </c>
      <c r="B2194" s="1">
        <f>DATE(2014,5,2) + TIME(10,15,4)</f>
        <v>41761.427129629628</v>
      </c>
      <c r="C2194">
        <v>90</v>
      </c>
      <c r="D2194">
        <v>88.140769958000007</v>
      </c>
      <c r="E2194">
        <v>60</v>
      </c>
      <c r="F2194">
        <v>59.802532196000001</v>
      </c>
      <c r="G2194">
        <v>1385.3111572</v>
      </c>
      <c r="H2194">
        <v>1370.7270507999999</v>
      </c>
      <c r="I2194">
        <v>1295.0136719</v>
      </c>
      <c r="J2194">
        <v>1278.7110596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1462.49531</v>
      </c>
      <c r="B2195" s="1">
        <f>DATE(2014,5,2) + TIME(11,53,14)</f>
        <v>41761.495300925926</v>
      </c>
      <c r="C2195">
        <v>90</v>
      </c>
      <c r="D2195">
        <v>88.315185546999999</v>
      </c>
      <c r="E2195">
        <v>60</v>
      </c>
      <c r="F2195">
        <v>59.796058655000003</v>
      </c>
      <c r="G2195">
        <v>1385.2326660000001</v>
      </c>
      <c r="H2195">
        <v>1370.682251</v>
      </c>
      <c r="I2195">
        <v>1295.0125731999999</v>
      </c>
      <c r="J2195">
        <v>1278.7095947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1462.56719</v>
      </c>
      <c r="B2196" s="1">
        <f>DATE(2014,5,2) + TIME(13,36,45)</f>
        <v>41761.567187499997</v>
      </c>
      <c r="C2196">
        <v>90</v>
      </c>
      <c r="D2196">
        <v>88.480422974000007</v>
      </c>
      <c r="E2196">
        <v>60</v>
      </c>
      <c r="F2196">
        <v>59.789306641000003</v>
      </c>
      <c r="G2196">
        <v>1385.1546631000001</v>
      </c>
      <c r="H2196">
        <v>1370.6370850000001</v>
      </c>
      <c r="I2196">
        <v>1295.0115966999999</v>
      </c>
      <c r="J2196">
        <v>1278.7081298999999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1462.6431889999999</v>
      </c>
      <c r="B2197" s="1">
        <f>DATE(2014,5,2) + TIME(15,26,11)</f>
        <v>41761.643182870372</v>
      </c>
      <c r="C2197">
        <v>90</v>
      </c>
      <c r="D2197">
        <v>88.636512756000002</v>
      </c>
      <c r="E2197">
        <v>60</v>
      </c>
      <c r="F2197">
        <v>59.782238006999997</v>
      </c>
      <c r="G2197">
        <v>1385.0771483999999</v>
      </c>
      <c r="H2197">
        <v>1370.5911865</v>
      </c>
      <c r="I2197">
        <v>1295.010376</v>
      </c>
      <c r="J2197">
        <v>1278.7064209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1462.7237970000001</v>
      </c>
      <c r="B2198" s="1">
        <f>DATE(2014,5,2) + TIME(17,22,16)</f>
        <v>41761.723796296297</v>
      </c>
      <c r="C2198">
        <v>90</v>
      </c>
      <c r="D2198">
        <v>88.783485412999994</v>
      </c>
      <c r="E2198">
        <v>60</v>
      </c>
      <c r="F2198">
        <v>59.774822235000002</v>
      </c>
      <c r="G2198">
        <v>1384.9997559000001</v>
      </c>
      <c r="H2198">
        <v>1370.5445557</v>
      </c>
      <c r="I2198">
        <v>1295.0092772999999</v>
      </c>
      <c r="J2198">
        <v>1278.7047118999999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1462.809632</v>
      </c>
      <c r="B2199" s="1">
        <f>DATE(2014,5,2) + TIME(19,25,52)</f>
        <v>41761.809629629628</v>
      </c>
      <c r="C2199">
        <v>90</v>
      </c>
      <c r="D2199">
        <v>88.921432495000005</v>
      </c>
      <c r="E2199">
        <v>60</v>
      </c>
      <c r="F2199">
        <v>59.767005920000003</v>
      </c>
      <c r="G2199">
        <v>1384.9222411999999</v>
      </c>
      <c r="H2199">
        <v>1370.4970702999999</v>
      </c>
      <c r="I2199">
        <v>1295.0079346</v>
      </c>
      <c r="J2199">
        <v>1278.7028809000001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1462.901394</v>
      </c>
      <c r="B2200" s="1">
        <f>DATE(2014,5,2) + TIME(21,38,0)</f>
        <v>41761.901388888888</v>
      </c>
      <c r="C2200">
        <v>90</v>
      </c>
      <c r="D2200">
        <v>89.050376892000003</v>
      </c>
      <c r="E2200">
        <v>60</v>
      </c>
      <c r="F2200">
        <v>59.758743285999998</v>
      </c>
      <c r="G2200">
        <v>1384.8444824000001</v>
      </c>
      <c r="H2200">
        <v>1370.4483643000001</v>
      </c>
      <c r="I2200">
        <v>1295.0065918</v>
      </c>
      <c r="J2200">
        <v>1278.7009277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1462.9999029999999</v>
      </c>
      <c r="B2201" s="1">
        <f>DATE(2014,5,2) + TIME(23,59,51)</f>
        <v>41761.999895833331</v>
      </c>
      <c r="C2201">
        <v>90</v>
      </c>
      <c r="D2201">
        <v>89.170310974000003</v>
      </c>
      <c r="E2201">
        <v>60</v>
      </c>
      <c r="F2201">
        <v>59.749973296999997</v>
      </c>
      <c r="G2201">
        <v>1384.7661132999999</v>
      </c>
      <c r="H2201">
        <v>1370.3985596</v>
      </c>
      <c r="I2201">
        <v>1295.0051269999999</v>
      </c>
      <c r="J2201">
        <v>1278.6988524999999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1463.1008589999999</v>
      </c>
      <c r="B2202" s="1">
        <f>DATE(2014,5,3) + TIME(2,25,14)</f>
        <v>41762.100856481484</v>
      </c>
      <c r="C2202">
        <v>90</v>
      </c>
      <c r="D2202">
        <v>89.276481627999999</v>
      </c>
      <c r="E2202">
        <v>60</v>
      </c>
      <c r="F2202">
        <v>59.741039276000002</v>
      </c>
      <c r="G2202">
        <v>1384.6901855000001</v>
      </c>
      <c r="H2202">
        <v>1370.3488769999999</v>
      </c>
      <c r="I2202">
        <v>1295.0035399999999</v>
      </c>
      <c r="J2202">
        <v>1278.6966553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1463.2022320000001</v>
      </c>
      <c r="B2203" s="1">
        <f>DATE(2014,5,3) + TIME(4,51,12)</f>
        <v>41762.202222222222</v>
      </c>
      <c r="C2203">
        <v>90</v>
      </c>
      <c r="D2203">
        <v>89.368515015</v>
      </c>
      <c r="E2203">
        <v>60</v>
      </c>
      <c r="F2203">
        <v>59.732105255</v>
      </c>
      <c r="G2203">
        <v>1384.6176757999999</v>
      </c>
      <c r="H2203">
        <v>1370.3006591999999</v>
      </c>
      <c r="I2203">
        <v>1295.0018310999999</v>
      </c>
      <c r="J2203">
        <v>1278.6944579999999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1463.3042949999999</v>
      </c>
      <c r="B2204" s="1">
        <f>DATE(2014,5,3) + TIME(7,18,11)</f>
        <v>41762.304293981484</v>
      </c>
      <c r="C2204">
        <v>90</v>
      </c>
      <c r="D2204">
        <v>89.448455811000002</v>
      </c>
      <c r="E2204">
        <v>60</v>
      </c>
      <c r="F2204">
        <v>59.723148346000002</v>
      </c>
      <c r="G2204">
        <v>1384.5483397999999</v>
      </c>
      <c r="H2204">
        <v>1370.2537841999999</v>
      </c>
      <c r="I2204">
        <v>1295.0001221</v>
      </c>
      <c r="J2204">
        <v>1278.6921387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1463.407246</v>
      </c>
      <c r="B2205" s="1">
        <f>DATE(2014,5,3) + TIME(9,46,26)</f>
        <v>41762.40724537037</v>
      </c>
      <c r="C2205">
        <v>90</v>
      </c>
      <c r="D2205">
        <v>89.517951964999995</v>
      </c>
      <c r="E2205">
        <v>60</v>
      </c>
      <c r="F2205">
        <v>59.714149474999999</v>
      </c>
      <c r="G2205">
        <v>1384.4818115</v>
      </c>
      <c r="H2205">
        <v>1370.2082519999999</v>
      </c>
      <c r="I2205">
        <v>1294.9984131000001</v>
      </c>
      <c r="J2205">
        <v>1278.6898193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1463.5112819999999</v>
      </c>
      <c r="B2206" s="1">
        <f>DATE(2014,5,3) + TIME(12,16,14)</f>
        <v>41762.511273148149</v>
      </c>
      <c r="C2206">
        <v>90</v>
      </c>
      <c r="D2206">
        <v>89.578407287999994</v>
      </c>
      <c r="E2206">
        <v>60</v>
      </c>
      <c r="F2206">
        <v>59.705093384000001</v>
      </c>
      <c r="G2206">
        <v>1384.4177245999999</v>
      </c>
      <c r="H2206">
        <v>1370.1638184000001</v>
      </c>
      <c r="I2206">
        <v>1294.9967041</v>
      </c>
      <c r="J2206">
        <v>1278.6875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1463.6165960000001</v>
      </c>
      <c r="B2207" s="1">
        <f>DATE(2014,5,3) + TIME(14,47,53)</f>
        <v>41762.616585648146</v>
      </c>
      <c r="C2207">
        <v>90</v>
      </c>
      <c r="D2207">
        <v>89.630996703999998</v>
      </c>
      <c r="E2207">
        <v>60</v>
      </c>
      <c r="F2207">
        <v>59.695968628000003</v>
      </c>
      <c r="G2207">
        <v>1384.3558350000001</v>
      </c>
      <c r="H2207">
        <v>1370.1203613</v>
      </c>
      <c r="I2207">
        <v>1294.9948730000001</v>
      </c>
      <c r="J2207">
        <v>1278.6851807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1463.7233839999999</v>
      </c>
      <c r="B2208" s="1">
        <f>DATE(2014,5,3) + TIME(17,21,40)</f>
        <v>41762.723379629628</v>
      </c>
      <c r="C2208">
        <v>90</v>
      </c>
      <c r="D2208">
        <v>89.676757812000005</v>
      </c>
      <c r="E2208">
        <v>60</v>
      </c>
      <c r="F2208">
        <v>59.686759948999999</v>
      </c>
      <c r="G2208">
        <v>1384.2957764</v>
      </c>
      <c r="H2208">
        <v>1370.0778809000001</v>
      </c>
      <c r="I2208">
        <v>1294.9931641000001</v>
      </c>
      <c r="J2208">
        <v>1278.6827393000001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1463.8318420000001</v>
      </c>
      <c r="B2209" s="1">
        <f>DATE(2014,5,3) + TIME(19,57,51)</f>
        <v>41762.83184027778</v>
      </c>
      <c r="C2209">
        <v>90</v>
      </c>
      <c r="D2209">
        <v>89.716552734000004</v>
      </c>
      <c r="E2209">
        <v>60</v>
      </c>
      <c r="F2209">
        <v>59.677448273000003</v>
      </c>
      <c r="G2209">
        <v>1384.2373047000001</v>
      </c>
      <c r="H2209">
        <v>1370.0361327999999</v>
      </c>
      <c r="I2209">
        <v>1294.9913329999999</v>
      </c>
      <c r="J2209">
        <v>1278.6802978999999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1463.9421749999999</v>
      </c>
      <c r="B2210" s="1">
        <f>DATE(2014,5,3) + TIME(22,36,43)</f>
        <v>41762.942164351851</v>
      </c>
      <c r="C2210">
        <v>90</v>
      </c>
      <c r="D2210">
        <v>89.751136779999996</v>
      </c>
      <c r="E2210">
        <v>60</v>
      </c>
      <c r="F2210">
        <v>59.668022155999999</v>
      </c>
      <c r="G2210">
        <v>1384.1804199000001</v>
      </c>
      <c r="H2210">
        <v>1369.9951172000001</v>
      </c>
      <c r="I2210">
        <v>1294.9895019999999</v>
      </c>
      <c r="J2210">
        <v>1278.6778564000001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1464.0545930000001</v>
      </c>
      <c r="B2211" s="1">
        <f>DATE(2014,5,4) + TIME(1,18,36)</f>
        <v>41763.054583333331</v>
      </c>
      <c r="C2211">
        <v>90</v>
      </c>
      <c r="D2211">
        <v>89.781181334999999</v>
      </c>
      <c r="E2211">
        <v>60</v>
      </c>
      <c r="F2211">
        <v>59.658462524000001</v>
      </c>
      <c r="G2211">
        <v>1384.1246338000001</v>
      </c>
      <c r="H2211">
        <v>1369.9545897999999</v>
      </c>
      <c r="I2211">
        <v>1294.9876709</v>
      </c>
      <c r="J2211">
        <v>1278.6754149999999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1464.168874</v>
      </c>
      <c r="B2212" s="1">
        <f>DATE(2014,5,4) + TIME(4,3,10)</f>
        <v>41763.168865740743</v>
      </c>
      <c r="C2212">
        <v>90</v>
      </c>
      <c r="D2212">
        <v>89.807159424000005</v>
      </c>
      <c r="E2212">
        <v>60</v>
      </c>
      <c r="F2212">
        <v>59.648788451999998</v>
      </c>
      <c r="G2212">
        <v>1384.0700684000001</v>
      </c>
      <c r="H2212">
        <v>1369.9147949000001</v>
      </c>
      <c r="I2212">
        <v>1294.9857178</v>
      </c>
      <c r="J2212">
        <v>1278.6728516000001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1464.285138</v>
      </c>
      <c r="B2213" s="1">
        <f>DATE(2014,5,4) + TIME(6,50,35)</f>
        <v>41763.285127314812</v>
      </c>
      <c r="C2213">
        <v>90</v>
      </c>
      <c r="D2213">
        <v>89.829589843999997</v>
      </c>
      <c r="E2213">
        <v>60</v>
      </c>
      <c r="F2213">
        <v>59.638992309999999</v>
      </c>
      <c r="G2213">
        <v>1384.0167236</v>
      </c>
      <c r="H2213">
        <v>1369.8754882999999</v>
      </c>
      <c r="I2213">
        <v>1294.9837646000001</v>
      </c>
      <c r="J2213">
        <v>1278.6701660000001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1464.4035879999999</v>
      </c>
      <c r="B2214" s="1">
        <f>DATE(2014,5,4) + TIME(9,41,10)</f>
        <v>41763.403587962966</v>
      </c>
      <c r="C2214">
        <v>90</v>
      </c>
      <c r="D2214">
        <v>89.848937988000003</v>
      </c>
      <c r="E2214">
        <v>60</v>
      </c>
      <c r="F2214">
        <v>59.629055022999999</v>
      </c>
      <c r="G2214">
        <v>1383.9642334</v>
      </c>
      <c r="H2214">
        <v>1369.8366699000001</v>
      </c>
      <c r="I2214">
        <v>1294.9818115</v>
      </c>
      <c r="J2214">
        <v>1278.6674805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1464.5244319999999</v>
      </c>
      <c r="B2215" s="1">
        <f>DATE(2014,5,4) + TIME(12,35,10)</f>
        <v>41763.524421296293</v>
      </c>
      <c r="C2215">
        <v>90</v>
      </c>
      <c r="D2215">
        <v>89.865608214999995</v>
      </c>
      <c r="E2215">
        <v>60</v>
      </c>
      <c r="F2215">
        <v>59.618961333999998</v>
      </c>
      <c r="G2215">
        <v>1383.9127197</v>
      </c>
      <c r="H2215">
        <v>1369.7983397999999</v>
      </c>
      <c r="I2215">
        <v>1294.9797363</v>
      </c>
      <c r="J2215">
        <v>1278.6647949000001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1464.6478970000001</v>
      </c>
      <c r="B2216" s="1">
        <f>DATE(2014,5,4) + TIME(15,32,58)</f>
        <v>41763.647893518515</v>
      </c>
      <c r="C2216">
        <v>90</v>
      </c>
      <c r="D2216">
        <v>89.879943847999996</v>
      </c>
      <c r="E2216">
        <v>60</v>
      </c>
      <c r="F2216">
        <v>59.608699799</v>
      </c>
      <c r="G2216">
        <v>1383.8618164</v>
      </c>
      <c r="H2216">
        <v>1369.760376</v>
      </c>
      <c r="I2216">
        <v>1294.9776611</v>
      </c>
      <c r="J2216">
        <v>1278.6619873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1464.7743</v>
      </c>
      <c r="B2217" s="1">
        <f>DATE(2014,5,4) + TIME(18,34,59)</f>
        <v>41763.774293981478</v>
      </c>
      <c r="C2217">
        <v>90</v>
      </c>
      <c r="D2217">
        <v>89.892272949000002</v>
      </c>
      <c r="E2217">
        <v>60</v>
      </c>
      <c r="F2217">
        <v>59.598247528000002</v>
      </c>
      <c r="G2217">
        <v>1383.8115233999999</v>
      </c>
      <c r="H2217">
        <v>1369.7227783000001</v>
      </c>
      <c r="I2217">
        <v>1294.9755858999999</v>
      </c>
      <c r="J2217">
        <v>1278.6591797000001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1464.90382</v>
      </c>
      <c r="B2218" s="1">
        <f>DATE(2014,5,4) + TIME(21,41,30)</f>
        <v>41763.903819444444</v>
      </c>
      <c r="C2218">
        <v>90</v>
      </c>
      <c r="D2218">
        <v>89.902839661000002</v>
      </c>
      <c r="E2218">
        <v>60</v>
      </c>
      <c r="F2218">
        <v>59.587585449000002</v>
      </c>
      <c r="G2218">
        <v>1383.7617187999999</v>
      </c>
      <c r="H2218">
        <v>1369.6854248</v>
      </c>
      <c r="I2218">
        <v>1294.9733887</v>
      </c>
      <c r="J2218">
        <v>1278.65625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1465.036738</v>
      </c>
      <c r="B2219" s="1">
        <f>DATE(2014,5,5) + TIME(0,52,54)</f>
        <v>41764.036736111113</v>
      </c>
      <c r="C2219">
        <v>90</v>
      </c>
      <c r="D2219">
        <v>89.911880492999998</v>
      </c>
      <c r="E2219">
        <v>60</v>
      </c>
      <c r="F2219">
        <v>59.576698303000001</v>
      </c>
      <c r="G2219">
        <v>1383.7124022999999</v>
      </c>
      <c r="H2219">
        <v>1369.6481934000001</v>
      </c>
      <c r="I2219">
        <v>1294.9710693</v>
      </c>
      <c r="J2219">
        <v>1278.6533202999999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1465.1733589999999</v>
      </c>
      <c r="B2220" s="1">
        <f>DATE(2014,5,5) + TIME(4,9,38)</f>
        <v>41764.173356481479</v>
      </c>
      <c r="C2220">
        <v>90</v>
      </c>
      <c r="D2220">
        <v>89.919593810999999</v>
      </c>
      <c r="E2220">
        <v>60</v>
      </c>
      <c r="F2220">
        <v>59.565567016999999</v>
      </c>
      <c r="G2220">
        <v>1383.6633300999999</v>
      </c>
      <c r="H2220">
        <v>1369.6112060999999</v>
      </c>
      <c r="I2220">
        <v>1294.96875</v>
      </c>
      <c r="J2220">
        <v>1278.6502685999999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1465.3140149999999</v>
      </c>
      <c r="B2221" s="1">
        <f>DATE(2014,5,5) + TIME(7,32,10)</f>
        <v>41764.314004629632</v>
      </c>
      <c r="C2221">
        <v>90</v>
      </c>
      <c r="D2221">
        <v>89.926170349000003</v>
      </c>
      <c r="E2221">
        <v>60</v>
      </c>
      <c r="F2221">
        <v>59.554164886000002</v>
      </c>
      <c r="G2221">
        <v>1383.6143798999999</v>
      </c>
      <c r="H2221">
        <v>1369.5742187999999</v>
      </c>
      <c r="I2221">
        <v>1294.9664307</v>
      </c>
      <c r="J2221">
        <v>1278.6470947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1465.4590439999999</v>
      </c>
      <c r="B2222" s="1">
        <f>DATE(2014,5,5) + TIME(11,1,1)</f>
        <v>41764.459039351852</v>
      </c>
      <c r="C2222">
        <v>90</v>
      </c>
      <c r="D2222">
        <v>89.931755065999994</v>
      </c>
      <c r="E2222">
        <v>60</v>
      </c>
      <c r="F2222">
        <v>59.542469025000003</v>
      </c>
      <c r="G2222">
        <v>1383.5655518000001</v>
      </c>
      <c r="H2222">
        <v>1369.5372314000001</v>
      </c>
      <c r="I2222">
        <v>1294.9638672000001</v>
      </c>
      <c r="J2222">
        <v>1278.6437988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1465.6088789999999</v>
      </c>
      <c r="B2223" s="1">
        <f>DATE(2014,5,5) + TIME(14,36,47)</f>
        <v>41764.608877314815</v>
      </c>
      <c r="C2223">
        <v>90</v>
      </c>
      <c r="D2223">
        <v>89.936485290999997</v>
      </c>
      <c r="E2223">
        <v>60</v>
      </c>
      <c r="F2223">
        <v>59.530448913999997</v>
      </c>
      <c r="G2223">
        <v>1383.5167236</v>
      </c>
      <c r="H2223">
        <v>1369.5001221</v>
      </c>
      <c r="I2223">
        <v>1294.9614257999999</v>
      </c>
      <c r="J2223">
        <v>1278.6403809000001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1465.7639750000001</v>
      </c>
      <c r="B2224" s="1">
        <f>DATE(2014,5,5) + TIME(18,20,7)</f>
        <v>41764.763969907406</v>
      </c>
      <c r="C2224">
        <v>90</v>
      </c>
      <c r="D2224">
        <v>89.940475464000002</v>
      </c>
      <c r="E2224">
        <v>60</v>
      </c>
      <c r="F2224">
        <v>59.518077849999997</v>
      </c>
      <c r="G2224">
        <v>1383.4677733999999</v>
      </c>
      <c r="H2224">
        <v>1369.4630127</v>
      </c>
      <c r="I2224">
        <v>1294.9587402</v>
      </c>
      <c r="J2224">
        <v>1278.6369629000001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1465.9248399999999</v>
      </c>
      <c r="B2225" s="1">
        <f>DATE(2014,5,5) + TIME(22,11,46)</f>
        <v>41764.924837962964</v>
      </c>
      <c r="C2225">
        <v>90</v>
      </c>
      <c r="D2225">
        <v>89.943847656000003</v>
      </c>
      <c r="E2225">
        <v>60</v>
      </c>
      <c r="F2225">
        <v>59.505321502999998</v>
      </c>
      <c r="G2225">
        <v>1383.4185791</v>
      </c>
      <c r="H2225">
        <v>1369.4256591999999</v>
      </c>
      <c r="I2225">
        <v>1294.9560547000001</v>
      </c>
      <c r="J2225">
        <v>1278.6333007999999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1466.0913370000001</v>
      </c>
      <c r="B2226" s="1">
        <f>DATE(2014,5,6) + TIME(2,11,31)</f>
        <v>41765.091331018521</v>
      </c>
      <c r="C2226">
        <v>90</v>
      </c>
      <c r="D2226">
        <v>89.946662903000004</v>
      </c>
      <c r="E2226">
        <v>60</v>
      </c>
      <c r="F2226">
        <v>59.492183685000001</v>
      </c>
      <c r="G2226">
        <v>1383.3690185999999</v>
      </c>
      <c r="H2226">
        <v>1369.3880615</v>
      </c>
      <c r="I2226">
        <v>1294.953125</v>
      </c>
      <c r="J2226">
        <v>1278.6295166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1466.262471</v>
      </c>
      <c r="B2227" s="1">
        <f>DATE(2014,5,6) + TIME(6,17,57)</f>
        <v>41765.262465277781</v>
      </c>
      <c r="C2227">
        <v>90</v>
      </c>
      <c r="D2227">
        <v>89.948989867999998</v>
      </c>
      <c r="E2227">
        <v>60</v>
      </c>
      <c r="F2227">
        <v>59.478729248</v>
      </c>
      <c r="G2227">
        <v>1383.3193358999999</v>
      </c>
      <c r="H2227">
        <v>1369.3503418</v>
      </c>
      <c r="I2227">
        <v>1294.9501952999999</v>
      </c>
      <c r="J2227">
        <v>1278.6256103999999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1466.4386770000001</v>
      </c>
      <c r="B2228" s="1">
        <f>DATE(2014,5,6) + TIME(10,31,41)</f>
        <v>41765.438668981478</v>
      </c>
      <c r="C2228">
        <v>90</v>
      </c>
      <c r="D2228">
        <v>89.950920104999994</v>
      </c>
      <c r="E2228">
        <v>60</v>
      </c>
      <c r="F2228">
        <v>59.464939117</v>
      </c>
      <c r="G2228">
        <v>1383.2696533000001</v>
      </c>
      <c r="H2228">
        <v>1369.3126221</v>
      </c>
      <c r="I2228">
        <v>1294.9471435999999</v>
      </c>
      <c r="J2228">
        <v>1278.6217041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1466.6203760000001</v>
      </c>
      <c r="B2229" s="1">
        <f>DATE(2014,5,6) + TIME(14,53,20)</f>
        <v>41765.620370370372</v>
      </c>
      <c r="C2229">
        <v>90</v>
      </c>
      <c r="D2229">
        <v>89.952514648000005</v>
      </c>
      <c r="E2229">
        <v>60</v>
      </c>
      <c r="F2229">
        <v>59.450778960999997</v>
      </c>
      <c r="G2229">
        <v>1383.2199707</v>
      </c>
      <c r="H2229">
        <v>1369.2749022999999</v>
      </c>
      <c r="I2229">
        <v>1294.9439697</v>
      </c>
      <c r="J2229">
        <v>1278.6175536999999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1466.8080050000001</v>
      </c>
      <c r="B2230" s="1">
        <f>DATE(2014,5,6) + TIME(19,23,31)</f>
        <v>41765.807997685188</v>
      </c>
      <c r="C2230">
        <v>90</v>
      </c>
      <c r="D2230">
        <v>89.953826903999996</v>
      </c>
      <c r="E2230">
        <v>60</v>
      </c>
      <c r="F2230">
        <v>59.436229705999999</v>
      </c>
      <c r="G2230">
        <v>1383.1700439000001</v>
      </c>
      <c r="H2230">
        <v>1369.2370605000001</v>
      </c>
      <c r="I2230">
        <v>1294.9407959</v>
      </c>
      <c r="J2230">
        <v>1278.6132812000001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1467.0021260000001</v>
      </c>
      <c r="B2231" s="1">
        <f>DATE(2014,5,7) + TIME(0,3,3)</f>
        <v>41766.002118055556</v>
      </c>
      <c r="C2231">
        <v>90</v>
      </c>
      <c r="D2231">
        <v>89.954902649000005</v>
      </c>
      <c r="E2231">
        <v>60</v>
      </c>
      <c r="F2231">
        <v>59.42124939</v>
      </c>
      <c r="G2231">
        <v>1383.1201172000001</v>
      </c>
      <c r="H2231">
        <v>1369.1990966999999</v>
      </c>
      <c r="I2231">
        <v>1294.9373779</v>
      </c>
      <c r="J2231">
        <v>1278.6088867000001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1467.2033249999999</v>
      </c>
      <c r="B2232" s="1">
        <f>DATE(2014,5,7) + TIME(4,52,47)</f>
        <v>41766.203321759262</v>
      </c>
      <c r="C2232">
        <v>90</v>
      </c>
      <c r="D2232">
        <v>89.955795288000004</v>
      </c>
      <c r="E2232">
        <v>60</v>
      </c>
      <c r="F2232">
        <v>59.405799866000002</v>
      </c>
      <c r="G2232">
        <v>1383.0697021000001</v>
      </c>
      <c r="H2232">
        <v>1369.1610106999999</v>
      </c>
      <c r="I2232">
        <v>1294.9339600000001</v>
      </c>
      <c r="J2232">
        <v>1278.6042480000001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1467.4112419999999</v>
      </c>
      <c r="B2233" s="1">
        <f>DATE(2014,5,7) + TIME(9,52,11)</f>
        <v>41766.411238425928</v>
      </c>
      <c r="C2233">
        <v>90</v>
      </c>
      <c r="D2233">
        <v>89.956520080999994</v>
      </c>
      <c r="E2233">
        <v>60</v>
      </c>
      <c r="F2233">
        <v>59.389911652000002</v>
      </c>
      <c r="G2233">
        <v>1383.0189209</v>
      </c>
      <c r="H2233">
        <v>1369.1225586</v>
      </c>
      <c r="I2233">
        <v>1294.9302978999999</v>
      </c>
      <c r="J2233">
        <v>1278.5996094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1467.6210020000001</v>
      </c>
      <c r="B2234" s="1">
        <f>DATE(2014,5,7) + TIME(14,54,14)</f>
        <v>41766.620995370373</v>
      </c>
      <c r="C2234">
        <v>90</v>
      </c>
      <c r="D2234">
        <v>89.957099915000001</v>
      </c>
      <c r="E2234">
        <v>60</v>
      </c>
      <c r="F2234">
        <v>59.373874663999999</v>
      </c>
      <c r="G2234">
        <v>1382.9680175999999</v>
      </c>
      <c r="H2234">
        <v>1369.0841064000001</v>
      </c>
      <c r="I2234">
        <v>1294.9265137</v>
      </c>
      <c r="J2234">
        <v>1278.5946045000001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1467.8331639999999</v>
      </c>
      <c r="B2235" s="1">
        <f>DATE(2014,5,7) + TIME(19,59,45)</f>
        <v>41766.83315972222</v>
      </c>
      <c r="C2235">
        <v>90</v>
      </c>
      <c r="D2235">
        <v>89.957572936999995</v>
      </c>
      <c r="E2235">
        <v>60</v>
      </c>
      <c r="F2235">
        <v>59.357669829999999</v>
      </c>
      <c r="G2235">
        <v>1382.9179687999999</v>
      </c>
      <c r="H2235">
        <v>1369.0462646000001</v>
      </c>
      <c r="I2235">
        <v>1294.9227295000001</v>
      </c>
      <c r="J2235">
        <v>1278.5897216999999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1468.048219</v>
      </c>
      <c r="B2236" s="1">
        <f>DATE(2014,5,8) + TIME(1,9,26)</f>
        <v>41767.048217592594</v>
      </c>
      <c r="C2236">
        <v>90</v>
      </c>
      <c r="D2236">
        <v>89.957946777000004</v>
      </c>
      <c r="E2236">
        <v>60</v>
      </c>
      <c r="F2236">
        <v>59.341281891000001</v>
      </c>
      <c r="G2236">
        <v>1382.8685303</v>
      </c>
      <c r="H2236">
        <v>1369.0090332</v>
      </c>
      <c r="I2236">
        <v>1294.9188231999999</v>
      </c>
      <c r="J2236">
        <v>1278.5847168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1468.265958</v>
      </c>
      <c r="B2237" s="1">
        <f>DATE(2014,5,8) + TIME(6,22,58)</f>
        <v>41767.265949074077</v>
      </c>
      <c r="C2237">
        <v>90</v>
      </c>
      <c r="D2237">
        <v>89.958259583</v>
      </c>
      <c r="E2237">
        <v>60</v>
      </c>
      <c r="F2237">
        <v>59.324722289999997</v>
      </c>
      <c r="G2237">
        <v>1382.8198242000001</v>
      </c>
      <c r="H2237">
        <v>1368.9722899999999</v>
      </c>
      <c r="I2237">
        <v>1294.9149170000001</v>
      </c>
      <c r="J2237">
        <v>1278.5795897999999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1468.4858830000001</v>
      </c>
      <c r="B2238" s="1">
        <f>DATE(2014,5,8) + TIME(11,39,40)</f>
        <v>41767.485879629632</v>
      </c>
      <c r="C2238">
        <v>90</v>
      </c>
      <c r="D2238">
        <v>89.958503723000007</v>
      </c>
      <c r="E2238">
        <v>60</v>
      </c>
      <c r="F2238">
        <v>59.308029175000001</v>
      </c>
      <c r="G2238">
        <v>1382.7717285000001</v>
      </c>
      <c r="H2238">
        <v>1368.9360352000001</v>
      </c>
      <c r="I2238">
        <v>1294.9108887</v>
      </c>
      <c r="J2238">
        <v>1278.5744629000001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1468.7084139999999</v>
      </c>
      <c r="B2239" s="1">
        <f>DATE(2014,5,8) + TIME(17,0,6)</f>
        <v>41767.708402777775</v>
      </c>
      <c r="C2239">
        <v>90</v>
      </c>
      <c r="D2239">
        <v>89.958709717000005</v>
      </c>
      <c r="E2239">
        <v>60</v>
      </c>
      <c r="F2239">
        <v>59.291187286000003</v>
      </c>
      <c r="G2239">
        <v>1382.7242432</v>
      </c>
      <c r="H2239">
        <v>1368.9003906</v>
      </c>
      <c r="I2239">
        <v>1294.9068603999999</v>
      </c>
      <c r="J2239">
        <v>1278.5692139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1468.9339910000001</v>
      </c>
      <c r="B2240" s="1">
        <f>DATE(2014,5,8) + TIME(22,24,56)</f>
        <v>41767.933981481481</v>
      </c>
      <c r="C2240">
        <v>90</v>
      </c>
      <c r="D2240">
        <v>89.958869934000006</v>
      </c>
      <c r="E2240">
        <v>60</v>
      </c>
      <c r="F2240">
        <v>59.274173736999998</v>
      </c>
      <c r="G2240">
        <v>1382.6774902</v>
      </c>
      <c r="H2240">
        <v>1368.8652344</v>
      </c>
      <c r="I2240">
        <v>1294.902832</v>
      </c>
      <c r="J2240">
        <v>1278.5638428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1469.1631669999999</v>
      </c>
      <c r="B2241" s="1">
        <f>DATE(2014,5,9) + TIME(3,54,57)</f>
        <v>41768.163159722222</v>
      </c>
      <c r="C2241">
        <v>90</v>
      </c>
      <c r="D2241">
        <v>89.959007263000004</v>
      </c>
      <c r="E2241">
        <v>60</v>
      </c>
      <c r="F2241">
        <v>59.256954192999999</v>
      </c>
      <c r="G2241">
        <v>1382.6311035000001</v>
      </c>
      <c r="H2241">
        <v>1368.8304443</v>
      </c>
      <c r="I2241">
        <v>1294.8986815999999</v>
      </c>
      <c r="J2241">
        <v>1278.5584716999999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1469.3962670000001</v>
      </c>
      <c r="B2242" s="1">
        <f>DATE(2014,5,9) + TIME(9,30,37)</f>
        <v>41768.396261574075</v>
      </c>
      <c r="C2242">
        <v>90</v>
      </c>
      <c r="D2242">
        <v>89.959121703999998</v>
      </c>
      <c r="E2242">
        <v>60</v>
      </c>
      <c r="F2242">
        <v>59.239517212000003</v>
      </c>
      <c r="G2242">
        <v>1382.5850829999999</v>
      </c>
      <c r="H2242">
        <v>1368.7958983999999</v>
      </c>
      <c r="I2242">
        <v>1294.8945312000001</v>
      </c>
      <c r="J2242">
        <v>1278.5529785000001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1469.633771</v>
      </c>
      <c r="B2243" s="1">
        <f>DATE(2014,5,9) + TIME(15,12,37)</f>
        <v>41768.633761574078</v>
      </c>
      <c r="C2243">
        <v>90</v>
      </c>
      <c r="D2243">
        <v>89.959213257000002</v>
      </c>
      <c r="E2243">
        <v>60</v>
      </c>
      <c r="F2243">
        <v>59.221828461000001</v>
      </c>
      <c r="G2243">
        <v>1382.5393065999999</v>
      </c>
      <c r="H2243">
        <v>1368.7615966999999</v>
      </c>
      <c r="I2243">
        <v>1294.8902588000001</v>
      </c>
      <c r="J2243">
        <v>1278.5474853999999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1469.8761919999999</v>
      </c>
      <c r="B2244" s="1">
        <f>DATE(2014,5,9) + TIME(21,1,43)</f>
        <v>41768.876192129632</v>
      </c>
      <c r="C2244">
        <v>90</v>
      </c>
      <c r="D2244">
        <v>89.959281920999999</v>
      </c>
      <c r="E2244">
        <v>60</v>
      </c>
      <c r="F2244">
        <v>59.203861236999998</v>
      </c>
      <c r="G2244">
        <v>1382.4936522999999</v>
      </c>
      <c r="H2244">
        <v>1368.7275391000001</v>
      </c>
      <c r="I2244">
        <v>1294.8858643000001</v>
      </c>
      <c r="J2244">
        <v>1278.5417480000001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1470.1240769999999</v>
      </c>
      <c r="B2245" s="1">
        <f>DATE(2014,5,10) + TIME(2,58,40)</f>
        <v>41769.124074074076</v>
      </c>
      <c r="C2245">
        <v>90</v>
      </c>
      <c r="D2245">
        <v>89.959342957000004</v>
      </c>
      <c r="E2245">
        <v>60</v>
      </c>
      <c r="F2245">
        <v>59.185585021999998</v>
      </c>
      <c r="G2245">
        <v>1382.4481201000001</v>
      </c>
      <c r="H2245">
        <v>1368.6934814000001</v>
      </c>
      <c r="I2245">
        <v>1294.8813477000001</v>
      </c>
      <c r="J2245">
        <v>1278.5358887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1470.37797</v>
      </c>
      <c r="B2246" s="1">
        <f>DATE(2014,5,10) + TIME(9,4,16)</f>
        <v>41769.377962962964</v>
      </c>
      <c r="C2246">
        <v>90</v>
      </c>
      <c r="D2246">
        <v>89.959396362000007</v>
      </c>
      <c r="E2246">
        <v>60</v>
      </c>
      <c r="F2246">
        <v>59.166961669999999</v>
      </c>
      <c r="G2246">
        <v>1382.4025879000001</v>
      </c>
      <c r="H2246">
        <v>1368.6595459</v>
      </c>
      <c r="I2246">
        <v>1294.8768310999999</v>
      </c>
      <c r="J2246">
        <v>1278.5300293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1470.6385749999999</v>
      </c>
      <c r="B2247" s="1">
        <f>DATE(2014,5,10) + TIME(15,19,32)</f>
        <v>41769.638564814813</v>
      </c>
      <c r="C2247">
        <v>90</v>
      </c>
      <c r="D2247">
        <v>89.959434509000005</v>
      </c>
      <c r="E2247">
        <v>60</v>
      </c>
      <c r="F2247">
        <v>59.147949218999997</v>
      </c>
      <c r="G2247">
        <v>1382.3570557</v>
      </c>
      <c r="H2247">
        <v>1368.6256103999999</v>
      </c>
      <c r="I2247">
        <v>1294.8720702999999</v>
      </c>
      <c r="J2247">
        <v>1278.5239257999999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1470.9066150000001</v>
      </c>
      <c r="B2248" s="1">
        <f>DATE(2014,5,10) + TIME(21,45,31)</f>
        <v>41769.906608796293</v>
      </c>
      <c r="C2248">
        <v>90</v>
      </c>
      <c r="D2248">
        <v>89.959465026999993</v>
      </c>
      <c r="E2248">
        <v>60</v>
      </c>
      <c r="F2248">
        <v>59.128505707000002</v>
      </c>
      <c r="G2248">
        <v>1382.3112793</v>
      </c>
      <c r="H2248">
        <v>1368.5914307</v>
      </c>
      <c r="I2248">
        <v>1294.8673096</v>
      </c>
      <c r="J2248">
        <v>1278.5175781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1471.18182</v>
      </c>
      <c r="B2249" s="1">
        <f>DATE(2014,5,11) + TIME(4,21,49)</f>
        <v>41770.181817129633</v>
      </c>
      <c r="C2249">
        <v>90</v>
      </c>
      <c r="D2249">
        <v>89.959487914999997</v>
      </c>
      <c r="E2249">
        <v>60</v>
      </c>
      <c r="F2249">
        <v>59.108642578000001</v>
      </c>
      <c r="G2249">
        <v>1382.2651367000001</v>
      </c>
      <c r="H2249">
        <v>1368.5571289</v>
      </c>
      <c r="I2249">
        <v>1294.8623047000001</v>
      </c>
      <c r="J2249">
        <v>1278.5111084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1471.463387</v>
      </c>
      <c r="B2250" s="1">
        <f>DATE(2014,5,11) + TIME(11,7,16)</f>
        <v>41770.463379629633</v>
      </c>
      <c r="C2250">
        <v>90</v>
      </c>
      <c r="D2250">
        <v>89.959503174000005</v>
      </c>
      <c r="E2250">
        <v>60</v>
      </c>
      <c r="F2250">
        <v>59.088397980000003</v>
      </c>
      <c r="G2250">
        <v>1382.2188721</v>
      </c>
      <c r="H2250">
        <v>1368.5227050999999</v>
      </c>
      <c r="I2250">
        <v>1294.8571777</v>
      </c>
      <c r="J2250">
        <v>1278.5045166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1471.7495839999999</v>
      </c>
      <c r="B2251" s="1">
        <f>DATE(2014,5,11) + TIME(17,59,24)</f>
        <v>41770.749583333331</v>
      </c>
      <c r="C2251">
        <v>90</v>
      </c>
      <c r="D2251">
        <v>89.959510803000001</v>
      </c>
      <c r="E2251">
        <v>60</v>
      </c>
      <c r="F2251">
        <v>59.067871093999997</v>
      </c>
      <c r="G2251">
        <v>1382.1724853999999</v>
      </c>
      <c r="H2251">
        <v>1368.4882812000001</v>
      </c>
      <c r="I2251">
        <v>1294.8519286999999</v>
      </c>
      <c r="J2251">
        <v>1278.4976807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1472.0410220000001</v>
      </c>
      <c r="B2252" s="1">
        <f>DATE(2014,5,12) + TIME(0,59,4)</f>
        <v>41771.041018518517</v>
      </c>
      <c r="C2252">
        <v>90</v>
      </c>
      <c r="D2252">
        <v>89.959518433</v>
      </c>
      <c r="E2252">
        <v>60</v>
      </c>
      <c r="F2252">
        <v>59.047035217000001</v>
      </c>
      <c r="G2252">
        <v>1382.1263428</v>
      </c>
      <c r="H2252">
        <v>1368.4541016000001</v>
      </c>
      <c r="I2252">
        <v>1294.8465576000001</v>
      </c>
      <c r="J2252">
        <v>1278.4907227000001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1472.338221</v>
      </c>
      <c r="B2253" s="1">
        <f>DATE(2014,5,12) + TIME(8,7,2)</f>
        <v>41771.338217592594</v>
      </c>
      <c r="C2253">
        <v>90</v>
      </c>
      <c r="D2253">
        <v>89.959518433</v>
      </c>
      <c r="E2253">
        <v>60</v>
      </c>
      <c r="F2253">
        <v>59.025867462000001</v>
      </c>
      <c r="G2253">
        <v>1382.0804443</v>
      </c>
      <c r="H2253">
        <v>1368.4199219</v>
      </c>
      <c r="I2253">
        <v>1294.8410644999999</v>
      </c>
      <c r="J2253">
        <v>1278.4836425999999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1472.6416429999999</v>
      </c>
      <c r="B2254" s="1">
        <f>DATE(2014,5,12) + TIME(15,23,57)</f>
        <v>41771.641631944447</v>
      </c>
      <c r="C2254">
        <v>90</v>
      </c>
      <c r="D2254">
        <v>89.959518433</v>
      </c>
      <c r="E2254">
        <v>60</v>
      </c>
      <c r="F2254">
        <v>59.004348755000002</v>
      </c>
      <c r="G2254">
        <v>1382.0345459</v>
      </c>
      <c r="H2254">
        <v>1368.3859863</v>
      </c>
      <c r="I2254">
        <v>1294.8355713000001</v>
      </c>
      <c r="J2254">
        <v>1278.4764404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1472.9518889999999</v>
      </c>
      <c r="B2255" s="1">
        <f>DATE(2014,5,12) + TIME(22,50,43)</f>
        <v>41771.951886574076</v>
      </c>
      <c r="C2255">
        <v>90</v>
      </c>
      <c r="D2255">
        <v>89.959510803000001</v>
      </c>
      <c r="E2255">
        <v>60</v>
      </c>
      <c r="F2255">
        <v>58.982448578000003</v>
      </c>
      <c r="G2255">
        <v>1381.9886475000001</v>
      </c>
      <c r="H2255">
        <v>1368.3520507999999</v>
      </c>
      <c r="I2255">
        <v>1294.8298339999999</v>
      </c>
      <c r="J2255">
        <v>1278.4689940999999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1473.269614</v>
      </c>
      <c r="B2256" s="1">
        <f>DATE(2014,5,13) + TIME(6,28,14)</f>
        <v>41772.269606481481</v>
      </c>
      <c r="C2256">
        <v>90</v>
      </c>
      <c r="D2256">
        <v>89.959503174000005</v>
      </c>
      <c r="E2256">
        <v>60</v>
      </c>
      <c r="F2256">
        <v>58.960132598999998</v>
      </c>
      <c r="G2256">
        <v>1381.9426269999999</v>
      </c>
      <c r="H2256">
        <v>1368.3179932</v>
      </c>
      <c r="I2256">
        <v>1294.8239745999999</v>
      </c>
      <c r="J2256">
        <v>1278.4614257999999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1473.595505</v>
      </c>
      <c r="B2257" s="1">
        <f>DATE(2014,5,13) + TIME(14,17,31)</f>
        <v>41772.595497685186</v>
      </c>
      <c r="C2257">
        <v>90</v>
      </c>
      <c r="D2257">
        <v>89.959495544000006</v>
      </c>
      <c r="E2257">
        <v>60</v>
      </c>
      <c r="F2257">
        <v>58.937366486000002</v>
      </c>
      <c r="G2257">
        <v>1381.8966064000001</v>
      </c>
      <c r="H2257">
        <v>1368.2839355000001</v>
      </c>
      <c r="I2257">
        <v>1294.8179932</v>
      </c>
      <c r="J2257">
        <v>1278.4536132999999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1473.9254189999999</v>
      </c>
      <c r="B2258" s="1">
        <f>DATE(2014,5,13) + TIME(22,12,36)</f>
        <v>41772.925416666665</v>
      </c>
      <c r="C2258">
        <v>90</v>
      </c>
      <c r="D2258">
        <v>89.959480286000002</v>
      </c>
      <c r="E2258">
        <v>60</v>
      </c>
      <c r="F2258">
        <v>58.914348601999997</v>
      </c>
      <c r="G2258">
        <v>1381.8502197</v>
      </c>
      <c r="H2258">
        <v>1368.2496338000001</v>
      </c>
      <c r="I2258">
        <v>1294.8117675999999</v>
      </c>
      <c r="J2258">
        <v>1278.4456786999999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1474.259554</v>
      </c>
      <c r="B2259" s="1">
        <f>DATE(2014,5,14) + TIME(6,13,45)</f>
        <v>41773.259548611109</v>
      </c>
      <c r="C2259">
        <v>90</v>
      </c>
      <c r="D2259">
        <v>89.959465026999993</v>
      </c>
      <c r="E2259">
        <v>60</v>
      </c>
      <c r="F2259">
        <v>58.891090392999999</v>
      </c>
      <c r="G2259">
        <v>1381.8043213000001</v>
      </c>
      <c r="H2259">
        <v>1368.2158202999999</v>
      </c>
      <c r="I2259">
        <v>1294.8055420000001</v>
      </c>
      <c r="J2259">
        <v>1278.4375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1474.5984100000001</v>
      </c>
      <c r="B2260" s="1">
        <f>DATE(2014,5,14) + TIME(14,21,42)</f>
        <v>41773.598402777781</v>
      </c>
      <c r="C2260">
        <v>90</v>
      </c>
      <c r="D2260">
        <v>89.959449767999999</v>
      </c>
      <c r="E2260">
        <v>60</v>
      </c>
      <c r="F2260">
        <v>58.867580414000003</v>
      </c>
      <c r="G2260">
        <v>1381.7586670000001</v>
      </c>
      <c r="H2260">
        <v>1368.1821289</v>
      </c>
      <c r="I2260">
        <v>1294.7991943</v>
      </c>
      <c r="J2260">
        <v>1278.4291992000001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1474.9427069999999</v>
      </c>
      <c r="B2261" s="1">
        <f>DATE(2014,5,14) + TIME(22,37,29)</f>
        <v>41773.942696759259</v>
      </c>
      <c r="C2261">
        <v>90</v>
      </c>
      <c r="D2261">
        <v>89.959426879999995</v>
      </c>
      <c r="E2261">
        <v>60</v>
      </c>
      <c r="F2261">
        <v>58.843791961999997</v>
      </c>
      <c r="G2261">
        <v>1381.7133789</v>
      </c>
      <c r="H2261">
        <v>1368.1486815999999</v>
      </c>
      <c r="I2261">
        <v>1294.7926024999999</v>
      </c>
      <c r="J2261">
        <v>1278.4207764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1475.29279</v>
      </c>
      <c r="B2262" s="1">
        <f>DATE(2014,5,15) + TIME(7,1,37)</f>
        <v>41774.29278935185</v>
      </c>
      <c r="C2262">
        <v>90</v>
      </c>
      <c r="D2262">
        <v>89.959411621000001</v>
      </c>
      <c r="E2262">
        <v>60</v>
      </c>
      <c r="F2262">
        <v>58.819705962999997</v>
      </c>
      <c r="G2262">
        <v>1381.6682129000001</v>
      </c>
      <c r="H2262">
        <v>1368.1153564000001</v>
      </c>
      <c r="I2262">
        <v>1294.7860106999999</v>
      </c>
      <c r="J2262">
        <v>1278.4122314000001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1475.6467540000001</v>
      </c>
      <c r="B2263" s="1">
        <f>DATE(2014,5,15) + TIME(15,31,19)</f>
        <v>41774.646747685183</v>
      </c>
      <c r="C2263">
        <v>90</v>
      </c>
      <c r="D2263">
        <v>89.959388732999997</v>
      </c>
      <c r="E2263">
        <v>60</v>
      </c>
      <c r="F2263">
        <v>58.795421599999997</v>
      </c>
      <c r="G2263">
        <v>1381.6231689000001</v>
      </c>
      <c r="H2263">
        <v>1368.0821533000001</v>
      </c>
      <c r="I2263">
        <v>1294.7792969</v>
      </c>
      <c r="J2263">
        <v>1278.4035644999999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1476.005296</v>
      </c>
      <c r="B2264" s="1">
        <f>DATE(2014,5,16) + TIME(0,7,37)</f>
        <v>41775.005289351851</v>
      </c>
      <c r="C2264">
        <v>90</v>
      </c>
      <c r="D2264">
        <v>89.959365844999994</v>
      </c>
      <c r="E2264">
        <v>60</v>
      </c>
      <c r="F2264">
        <v>58.770915985000002</v>
      </c>
      <c r="G2264">
        <v>1381.5784911999999</v>
      </c>
      <c r="H2264">
        <v>1368.0493164</v>
      </c>
      <c r="I2264">
        <v>1294.7724608999999</v>
      </c>
      <c r="J2264">
        <v>1278.3946533000001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1476.369322</v>
      </c>
      <c r="B2265" s="1">
        <f>DATE(2014,5,16) + TIME(8,51,49)</f>
        <v>41775.369317129633</v>
      </c>
      <c r="C2265">
        <v>90</v>
      </c>
      <c r="D2265">
        <v>89.959350585999999</v>
      </c>
      <c r="E2265">
        <v>60</v>
      </c>
      <c r="F2265">
        <v>58.746150970000002</v>
      </c>
      <c r="G2265">
        <v>1381.5340576000001</v>
      </c>
      <c r="H2265">
        <v>1368.0166016000001</v>
      </c>
      <c r="I2265">
        <v>1294.7655029</v>
      </c>
      <c r="J2265">
        <v>1278.3857422000001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1476.7394119999999</v>
      </c>
      <c r="B2266" s="1">
        <f>DATE(2014,5,16) + TIME(17,44,45)</f>
        <v>41775.73940972222</v>
      </c>
      <c r="C2266">
        <v>90</v>
      </c>
      <c r="D2266">
        <v>89.959327697999996</v>
      </c>
      <c r="E2266">
        <v>60</v>
      </c>
      <c r="F2266">
        <v>58.721096039000003</v>
      </c>
      <c r="G2266">
        <v>1381.4898682</v>
      </c>
      <c r="H2266">
        <v>1367.9840088000001</v>
      </c>
      <c r="I2266">
        <v>1294.7585449000001</v>
      </c>
      <c r="J2266">
        <v>1278.3765868999999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1477.116309</v>
      </c>
      <c r="B2267" s="1">
        <f>DATE(2014,5,17) + TIME(2,47,29)</f>
        <v>41776.116307870368</v>
      </c>
      <c r="C2267">
        <v>90</v>
      </c>
      <c r="D2267">
        <v>89.959304810000006</v>
      </c>
      <c r="E2267">
        <v>60</v>
      </c>
      <c r="F2267">
        <v>58.695720672999997</v>
      </c>
      <c r="G2267">
        <v>1381.4456786999999</v>
      </c>
      <c r="H2267">
        <v>1367.9515381000001</v>
      </c>
      <c r="I2267">
        <v>1294.7513428</v>
      </c>
      <c r="J2267">
        <v>1278.3671875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1477.500841</v>
      </c>
      <c r="B2268" s="1">
        <f>DATE(2014,5,17) + TIME(12,1,12)</f>
        <v>41776.500833333332</v>
      </c>
      <c r="C2268">
        <v>90</v>
      </c>
      <c r="D2268">
        <v>89.959281920999999</v>
      </c>
      <c r="E2268">
        <v>60</v>
      </c>
      <c r="F2268">
        <v>58.669975280999999</v>
      </c>
      <c r="G2268">
        <v>1381.4016113</v>
      </c>
      <c r="H2268">
        <v>1367.9190673999999</v>
      </c>
      <c r="I2268">
        <v>1294.7440185999999</v>
      </c>
      <c r="J2268">
        <v>1278.3576660000001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1477.8939069999999</v>
      </c>
      <c r="B2269" s="1">
        <f>DATE(2014,5,17) + TIME(21,27,13)</f>
        <v>41776.893900462965</v>
      </c>
      <c r="C2269">
        <v>90</v>
      </c>
      <c r="D2269">
        <v>89.959259032999995</v>
      </c>
      <c r="E2269">
        <v>60</v>
      </c>
      <c r="F2269">
        <v>58.643810272000003</v>
      </c>
      <c r="G2269">
        <v>1381.3574219</v>
      </c>
      <c r="H2269">
        <v>1367.8865966999999</v>
      </c>
      <c r="I2269">
        <v>1294.7364502</v>
      </c>
      <c r="J2269">
        <v>1278.3479004000001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1478.296413</v>
      </c>
      <c r="B2270" s="1">
        <f>DATE(2014,5,18) + TIME(7,6,50)</f>
        <v>41777.296412037038</v>
      </c>
      <c r="C2270">
        <v>90</v>
      </c>
      <c r="D2270">
        <v>89.959236145000006</v>
      </c>
      <c r="E2270">
        <v>60</v>
      </c>
      <c r="F2270">
        <v>58.617183685000001</v>
      </c>
      <c r="G2270">
        <v>1381.3131103999999</v>
      </c>
      <c r="H2270">
        <v>1367.8540039</v>
      </c>
      <c r="I2270">
        <v>1294.7287598</v>
      </c>
      <c r="J2270">
        <v>1278.3378906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1478.7056090000001</v>
      </c>
      <c r="B2271" s="1">
        <f>DATE(2014,5,18) + TIME(16,56,4)</f>
        <v>41777.705601851849</v>
      </c>
      <c r="C2271">
        <v>90</v>
      </c>
      <c r="D2271">
        <v>89.959213257000002</v>
      </c>
      <c r="E2271">
        <v>60</v>
      </c>
      <c r="F2271">
        <v>58.590202331999997</v>
      </c>
      <c r="G2271">
        <v>1381.2685547000001</v>
      </c>
      <c r="H2271">
        <v>1367.8212891000001</v>
      </c>
      <c r="I2271">
        <v>1294.7208252</v>
      </c>
      <c r="J2271">
        <v>1278.3276367000001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1479.1208979999999</v>
      </c>
      <c r="B2272" s="1">
        <f>DATE(2014,5,19) + TIME(2,54,5)</f>
        <v>41778.120891203704</v>
      </c>
      <c r="C2272">
        <v>90</v>
      </c>
      <c r="D2272">
        <v>89.959190368999998</v>
      </c>
      <c r="E2272">
        <v>60</v>
      </c>
      <c r="F2272">
        <v>58.562908172999997</v>
      </c>
      <c r="G2272">
        <v>1381.223999</v>
      </c>
      <c r="H2272">
        <v>1367.7885742000001</v>
      </c>
      <c r="I2272">
        <v>1294.7127685999999</v>
      </c>
      <c r="J2272">
        <v>1278.3171387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1479.543128</v>
      </c>
      <c r="B2273" s="1">
        <f>DATE(2014,5,19) + TIME(13,2,6)</f>
        <v>41778.543124999997</v>
      </c>
      <c r="C2273">
        <v>90</v>
      </c>
      <c r="D2273">
        <v>89.959159850999995</v>
      </c>
      <c r="E2273">
        <v>60</v>
      </c>
      <c r="F2273">
        <v>58.535270691000001</v>
      </c>
      <c r="G2273">
        <v>1381.1796875</v>
      </c>
      <c r="H2273">
        <v>1367.7559814000001</v>
      </c>
      <c r="I2273">
        <v>1294.7044678</v>
      </c>
      <c r="J2273">
        <v>1278.3063964999999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1479.972951</v>
      </c>
      <c r="B2274" s="1">
        <f>DATE(2014,5,19) + TIME(23,21,2)</f>
        <v>41778.972939814812</v>
      </c>
      <c r="C2274">
        <v>90</v>
      </c>
      <c r="D2274">
        <v>89.959136963000006</v>
      </c>
      <c r="E2274">
        <v>60</v>
      </c>
      <c r="F2274">
        <v>58.507274627999998</v>
      </c>
      <c r="G2274">
        <v>1381.135376</v>
      </c>
      <c r="H2274">
        <v>1367.7233887</v>
      </c>
      <c r="I2274">
        <v>1294.6960449000001</v>
      </c>
      <c r="J2274">
        <v>1278.2955322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1480.4111559999999</v>
      </c>
      <c r="B2275" s="1">
        <f>DATE(2014,5,20) + TIME(9,52,3)</f>
        <v>41779.411145833335</v>
      </c>
      <c r="C2275">
        <v>90</v>
      </c>
      <c r="D2275">
        <v>89.959114075000002</v>
      </c>
      <c r="E2275">
        <v>60</v>
      </c>
      <c r="F2275">
        <v>58.478881835999999</v>
      </c>
      <c r="G2275">
        <v>1381.0910644999999</v>
      </c>
      <c r="H2275">
        <v>1367.6907959</v>
      </c>
      <c r="I2275">
        <v>1294.6875</v>
      </c>
      <c r="J2275">
        <v>1278.2843018000001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1480.8539350000001</v>
      </c>
      <c r="B2276" s="1">
        <f>DATE(2014,5,20) + TIME(20,29,40)</f>
        <v>41779.853935185187</v>
      </c>
      <c r="C2276">
        <v>90</v>
      </c>
      <c r="D2276">
        <v>89.959091186999999</v>
      </c>
      <c r="E2276">
        <v>60</v>
      </c>
      <c r="F2276">
        <v>58.450248717999997</v>
      </c>
      <c r="G2276">
        <v>1381.0466309000001</v>
      </c>
      <c r="H2276">
        <v>1367.6582031</v>
      </c>
      <c r="I2276">
        <v>1294.6787108999999</v>
      </c>
      <c r="J2276">
        <v>1278.2729492000001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1481.302275</v>
      </c>
      <c r="B2277" s="1">
        <f>DATE(2014,5,21) + TIME(7,15,16)</f>
        <v>41780.302268518521</v>
      </c>
      <c r="C2277">
        <v>90</v>
      </c>
      <c r="D2277">
        <v>89.959068298000005</v>
      </c>
      <c r="E2277">
        <v>60</v>
      </c>
      <c r="F2277">
        <v>58.421363831000001</v>
      </c>
      <c r="G2277">
        <v>1381.0025635</v>
      </c>
      <c r="H2277">
        <v>1367.6258545000001</v>
      </c>
      <c r="I2277">
        <v>1294.6697998</v>
      </c>
      <c r="J2277">
        <v>1278.2613524999999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1481.7571740000001</v>
      </c>
      <c r="B2278" s="1">
        <f>DATE(2014,5,21) + TIME(18,10,19)</f>
        <v>41780.757164351853</v>
      </c>
      <c r="C2278">
        <v>90</v>
      </c>
      <c r="D2278">
        <v>89.959045410000002</v>
      </c>
      <c r="E2278">
        <v>60</v>
      </c>
      <c r="F2278">
        <v>58.392196654999999</v>
      </c>
      <c r="G2278">
        <v>1380.9587402</v>
      </c>
      <c r="H2278">
        <v>1367.5936279</v>
      </c>
      <c r="I2278">
        <v>1294.6607666</v>
      </c>
      <c r="J2278">
        <v>1278.2495117000001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1482.2196839999999</v>
      </c>
      <c r="B2279" s="1">
        <f>DATE(2014,5,22) + TIME(5,16,20)</f>
        <v>41781.219675925924</v>
      </c>
      <c r="C2279">
        <v>90</v>
      </c>
      <c r="D2279">
        <v>89.959022521999998</v>
      </c>
      <c r="E2279">
        <v>60</v>
      </c>
      <c r="F2279">
        <v>58.362701416</v>
      </c>
      <c r="G2279">
        <v>1380.9150391000001</v>
      </c>
      <c r="H2279">
        <v>1367.5615233999999</v>
      </c>
      <c r="I2279">
        <v>1294.6514893000001</v>
      </c>
      <c r="J2279">
        <v>1278.2374268000001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1482.6908289999999</v>
      </c>
      <c r="B2280" s="1">
        <f>DATE(2014,5,22) + TIME(16,34,47)</f>
        <v>41781.690821759257</v>
      </c>
      <c r="C2280">
        <v>90</v>
      </c>
      <c r="D2280">
        <v>89.958999633999994</v>
      </c>
      <c r="E2280">
        <v>60</v>
      </c>
      <c r="F2280">
        <v>58.332832336000003</v>
      </c>
      <c r="G2280">
        <v>1380.8713379000001</v>
      </c>
      <c r="H2280">
        <v>1367.5294189000001</v>
      </c>
      <c r="I2280">
        <v>1294.6420897999999</v>
      </c>
      <c r="J2280">
        <v>1278.2250977000001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1483.1676130000001</v>
      </c>
      <c r="B2281" s="1">
        <f>DATE(2014,5,23) + TIME(4,1,21)</f>
        <v>41782.167604166665</v>
      </c>
      <c r="C2281">
        <v>90</v>
      </c>
      <c r="D2281">
        <v>89.958976746000005</v>
      </c>
      <c r="E2281">
        <v>60</v>
      </c>
      <c r="F2281">
        <v>58.302703856999997</v>
      </c>
      <c r="G2281">
        <v>1380.8275146000001</v>
      </c>
      <c r="H2281">
        <v>1367.4971923999999</v>
      </c>
      <c r="I2281">
        <v>1294.6324463000001</v>
      </c>
      <c r="J2281">
        <v>1278.2125243999999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1483.6500699999999</v>
      </c>
      <c r="B2282" s="1">
        <f>DATE(2014,5,23) + TIME(15,36,6)</f>
        <v>41782.650069444448</v>
      </c>
      <c r="C2282">
        <v>90</v>
      </c>
      <c r="D2282">
        <v>89.958953856999997</v>
      </c>
      <c r="E2282">
        <v>60</v>
      </c>
      <c r="F2282">
        <v>58.272327423</v>
      </c>
      <c r="G2282">
        <v>1380.7839355000001</v>
      </c>
      <c r="H2282">
        <v>1367.4652100000001</v>
      </c>
      <c r="I2282">
        <v>1294.6226807</v>
      </c>
      <c r="J2282">
        <v>1278.199707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1484.1390160000001</v>
      </c>
      <c r="B2283" s="1">
        <f>DATE(2014,5,24) + TIME(3,20,10)</f>
        <v>41783.139004629629</v>
      </c>
      <c r="C2283">
        <v>90</v>
      </c>
      <c r="D2283">
        <v>89.958930968999994</v>
      </c>
      <c r="E2283">
        <v>60</v>
      </c>
      <c r="F2283">
        <v>58.241687775000003</v>
      </c>
      <c r="G2283">
        <v>1380.7406006000001</v>
      </c>
      <c r="H2283">
        <v>1367.4332274999999</v>
      </c>
      <c r="I2283">
        <v>1294.6126709</v>
      </c>
      <c r="J2283">
        <v>1278.1867675999999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1484.635385</v>
      </c>
      <c r="B2284" s="1">
        <f>DATE(2014,5,24) + TIME(15,14,57)</f>
        <v>41783.635381944441</v>
      </c>
      <c r="C2284">
        <v>90</v>
      </c>
      <c r="D2284">
        <v>89.958908081000004</v>
      </c>
      <c r="E2284">
        <v>60</v>
      </c>
      <c r="F2284">
        <v>58.210746765000003</v>
      </c>
      <c r="G2284">
        <v>1380.6973877</v>
      </c>
      <c r="H2284">
        <v>1367.4014893000001</v>
      </c>
      <c r="I2284">
        <v>1294.6025391000001</v>
      </c>
      <c r="J2284">
        <v>1278.1734618999999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1485.1402479999999</v>
      </c>
      <c r="B2285" s="1">
        <f>DATE(2014,5,25) + TIME(3,21,57)</f>
        <v>41784.140243055554</v>
      </c>
      <c r="C2285">
        <v>90</v>
      </c>
      <c r="D2285">
        <v>89.958885193</v>
      </c>
      <c r="E2285">
        <v>60</v>
      </c>
      <c r="F2285">
        <v>58.179462432999998</v>
      </c>
      <c r="G2285">
        <v>1380.6541748</v>
      </c>
      <c r="H2285">
        <v>1367.369751</v>
      </c>
      <c r="I2285">
        <v>1294.5921631000001</v>
      </c>
      <c r="J2285">
        <v>1278.1599120999999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1485.654749</v>
      </c>
      <c r="B2286" s="1">
        <f>DATE(2014,5,25) + TIME(15,42,50)</f>
        <v>41784.654745370368</v>
      </c>
      <c r="C2286">
        <v>90</v>
      </c>
      <c r="D2286">
        <v>89.958862304999997</v>
      </c>
      <c r="E2286">
        <v>60</v>
      </c>
      <c r="F2286">
        <v>58.147777556999998</v>
      </c>
      <c r="G2286">
        <v>1380.6109618999999</v>
      </c>
      <c r="H2286">
        <v>1367.3378906</v>
      </c>
      <c r="I2286">
        <v>1294.581543</v>
      </c>
      <c r="J2286">
        <v>1278.1459961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1486.1800459999999</v>
      </c>
      <c r="B2287" s="1">
        <f>DATE(2014,5,26) + TIME(4,19,15)</f>
        <v>41785.180034722223</v>
      </c>
      <c r="C2287">
        <v>90</v>
      </c>
      <c r="D2287">
        <v>89.958839416999993</v>
      </c>
      <c r="E2287">
        <v>60</v>
      </c>
      <c r="F2287">
        <v>58.115638732999997</v>
      </c>
      <c r="G2287">
        <v>1380.567749</v>
      </c>
      <c r="H2287">
        <v>1367.3060303</v>
      </c>
      <c r="I2287">
        <v>1294.5706786999999</v>
      </c>
      <c r="J2287">
        <v>1278.1317139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1486.717525</v>
      </c>
      <c r="B2288" s="1">
        <f>DATE(2014,5,26) + TIME(17,13,14)</f>
        <v>41785.717523148145</v>
      </c>
      <c r="C2288">
        <v>90</v>
      </c>
      <c r="D2288">
        <v>89.958824157999999</v>
      </c>
      <c r="E2288">
        <v>60</v>
      </c>
      <c r="F2288">
        <v>58.08297348</v>
      </c>
      <c r="G2288">
        <v>1380.5241699000001</v>
      </c>
      <c r="H2288">
        <v>1367.2740478999999</v>
      </c>
      <c r="I2288">
        <v>1294.5595702999999</v>
      </c>
      <c r="J2288">
        <v>1278.1170654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1487.2687109999999</v>
      </c>
      <c r="B2289" s="1">
        <f>DATE(2014,5,27) + TIME(6,26,56)</f>
        <v>41786.268703703703</v>
      </c>
      <c r="C2289">
        <v>90</v>
      </c>
      <c r="D2289">
        <v>89.958801269999995</v>
      </c>
      <c r="E2289">
        <v>60</v>
      </c>
      <c r="F2289">
        <v>58.049709319999998</v>
      </c>
      <c r="G2289">
        <v>1380.4803466999999</v>
      </c>
      <c r="H2289">
        <v>1367.2416992000001</v>
      </c>
      <c r="I2289">
        <v>1294.5480957</v>
      </c>
      <c r="J2289">
        <v>1278.1019286999999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1487.8287700000001</v>
      </c>
      <c r="B2290" s="1">
        <f>DATE(2014,5,27) + TIME(19,53,25)</f>
        <v>41786.828761574077</v>
      </c>
      <c r="C2290">
        <v>90</v>
      </c>
      <c r="D2290">
        <v>89.958778381000002</v>
      </c>
      <c r="E2290">
        <v>60</v>
      </c>
      <c r="F2290">
        <v>58.015998840000002</v>
      </c>
      <c r="G2290">
        <v>1380.4361572</v>
      </c>
      <c r="H2290">
        <v>1367.2091064000001</v>
      </c>
      <c r="I2290">
        <v>1294.5362548999999</v>
      </c>
      <c r="J2290">
        <v>1278.0864257999999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1488.393446</v>
      </c>
      <c r="B2291" s="1">
        <f>DATE(2014,5,28) + TIME(9,26,33)</f>
        <v>41787.393437500003</v>
      </c>
      <c r="C2291">
        <v>90</v>
      </c>
      <c r="D2291">
        <v>89.958755492999998</v>
      </c>
      <c r="E2291">
        <v>60</v>
      </c>
      <c r="F2291">
        <v>57.982028960999997</v>
      </c>
      <c r="G2291">
        <v>1380.3919678</v>
      </c>
      <c r="H2291">
        <v>1367.1765137</v>
      </c>
      <c r="I2291">
        <v>1294.5241699000001</v>
      </c>
      <c r="J2291">
        <v>1278.0704346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1488.9639179999999</v>
      </c>
      <c r="B2292" s="1">
        <f>DATE(2014,5,28) + TIME(23,8,2)</f>
        <v>41787.963912037034</v>
      </c>
      <c r="C2292">
        <v>90</v>
      </c>
      <c r="D2292">
        <v>89.958740234000004</v>
      </c>
      <c r="E2292">
        <v>60</v>
      </c>
      <c r="F2292">
        <v>57.947814940999997</v>
      </c>
      <c r="G2292">
        <v>1380.3480225000001</v>
      </c>
      <c r="H2292">
        <v>1367.1441649999999</v>
      </c>
      <c r="I2292">
        <v>1294.5118408000001</v>
      </c>
      <c r="J2292">
        <v>1278.0543213000001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1489.541498</v>
      </c>
      <c r="B2293" s="1">
        <f>DATE(2014,5,29) + TIME(12,59,45)</f>
        <v>41788.541493055556</v>
      </c>
      <c r="C2293">
        <v>90</v>
      </c>
      <c r="D2293">
        <v>89.958717346</v>
      </c>
      <c r="E2293">
        <v>60</v>
      </c>
      <c r="F2293">
        <v>57.913337708</v>
      </c>
      <c r="G2293">
        <v>1380.3043213000001</v>
      </c>
      <c r="H2293">
        <v>1367.1119385</v>
      </c>
      <c r="I2293">
        <v>1294.4993896000001</v>
      </c>
      <c r="J2293">
        <v>1278.0377197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1490.1275519999999</v>
      </c>
      <c r="B2294" s="1">
        <f>DATE(2014,5,30) + TIME(3,3,40)</f>
        <v>41789.127546296295</v>
      </c>
      <c r="C2294">
        <v>90</v>
      </c>
      <c r="D2294">
        <v>89.958694457999997</v>
      </c>
      <c r="E2294">
        <v>60</v>
      </c>
      <c r="F2294">
        <v>57.878551483000003</v>
      </c>
      <c r="G2294">
        <v>1380.2608643000001</v>
      </c>
      <c r="H2294">
        <v>1367.0798339999999</v>
      </c>
      <c r="I2294">
        <v>1294.4865723</v>
      </c>
      <c r="J2294">
        <v>1278.020874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1490.7215570000001</v>
      </c>
      <c r="B2295" s="1">
        <f>DATE(2014,5,30) + TIME(17,19,2)</f>
        <v>41789.721550925926</v>
      </c>
      <c r="C2295">
        <v>90</v>
      </c>
      <c r="D2295">
        <v>89.958679199000002</v>
      </c>
      <c r="E2295">
        <v>60</v>
      </c>
      <c r="F2295">
        <v>57.843471526999998</v>
      </c>
      <c r="G2295">
        <v>1380.2174072</v>
      </c>
      <c r="H2295">
        <v>1367.0477295000001</v>
      </c>
      <c r="I2295">
        <v>1294.4736327999999</v>
      </c>
      <c r="J2295">
        <v>1278.0036620999999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1491.3230490000001</v>
      </c>
      <c r="B2296" s="1">
        <f>DATE(2014,5,31) + TIME(7,45,11)</f>
        <v>41790.32304398148</v>
      </c>
      <c r="C2296">
        <v>90</v>
      </c>
      <c r="D2296">
        <v>89.958656310999999</v>
      </c>
      <c r="E2296">
        <v>60</v>
      </c>
      <c r="F2296">
        <v>57.808113098</v>
      </c>
      <c r="G2296">
        <v>1380.1740723</v>
      </c>
      <c r="H2296">
        <v>1367.015625</v>
      </c>
      <c r="I2296">
        <v>1294.4603271000001</v>
      </c>
      <c r="J2296">
        <v>1277.9859618999999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1491.9333019999999</v>
      </c>
      <c r="B2297" s="1">
        <f>DATE(2014,5,31) + TIME(22,23,57)</f>
        <v>41790.933298611111</v>
      </c>
      <c r="C2297">
        <v>90</v>
      </c>
      <c r="D2297">
        <v>89.958641052000004</v>
      </c>
      <c r="E2297">
        <v>60</v>
      </c>
      <c r="F2297">
        <v>57.772441864000001</v>
      </c>
      <c r="G2297">
        <v>1380.1307373</v>
      </c>
      <c r="H2297">
        <v>1366.9835204999999</v>
      </c>
      <c r="I2297">
        <v>1294.4467772999999</v>
      </c>
      <c r="J2297">
        <v>1277.9678954999999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1492</v>
      </c>
      <c r="B2298" s="1">
        <f>DATE(2014,6,1) + TIME(0,0,0)</f>
        <v>41791</v>
      </c>
      <c r="C2298">
        <v>90</v>
      </c>
      <c r="D2298">
        <v>89.958625792999996</v>
      </c>
      <c r="E2298">
        <v>60</v>
      </c>
      <c r="F2298">
        <v>57.766235352000002</v>
      </c>
      <c r="G2298">
        <v>1380.0893555</v>
      </c>
      <c r="H2298">
        <v>1366.9533690999999</v>
      </c>
      <c r="I2298">
        <v>1294.4315185999999</v>
      </c>
      <c r="J2298">
        <v>1277.9530029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1492.6203840000001</v>
      </c>
      <c r="B2299" s="1">
        <f>DATE(2014,6,1) + TIME(14,53,21)</f>
        <v>41791.620381944442</v>
      </c>
      <c r="C2299">
        <v>90</v>
      </c>
      <c r="D2299">
        <v>89.958618164000001</v>
      </c>
      <c r="E2299">
        <v>60</v>
      </c>
      <c r="F2299">
        <v>57.73116684</v>
      </c>
      <c r="G2299">
        <v>1380.0825195</v>
      </c>
      <c r="H2299">
        <v>1366.947876</v>
      </c>
      <c r="I2299">
        <v>1294.4312743999999</v>
      </c>
      <c r="J2299">
        <v>1277.9471435999999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1493.253725</v>
      </c>
      <c r="B2300" s="1">
        <f>DATE(2014,6,2) + TIME(6,5,21)</f>
        <v>41792.25371527778</v>
      </c>
      <c r="C2300">
        <v>90</v>
      </c>
      <c r="D2300">
        <v>89.958595275999997</v>
      </c>
      <c r="E2300">
        <v>60</v>
      </c>
      <c r="F2300">
        <v>57.695228577000002</v>
      </c>
      <c r="G2300">
        <v>1380.0395507999999</v>
      </c>
      <c r="H2300">
        <v>1366.9160156</v>
      </c>
      <c r="I2300">
        <v>1294.4171143000001</v>
      </c>
      <c r="J2300">
        <v>1277.9283447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1493.8958239999999</v>
      </c>
      <c r="B2301" s="1">
        <f>DATE(2014,6,2) + TIME(21,29,59)</f>
        <v>41792.895821759259</v>
      </c>
      <c r="C2301">
        <v>90</v>
      </c>
      <c r="D2301">
        <v>89.958580017000003</v>
      </c>
      <c r="E2301">
        <v>60</v>
      </c>
      <c r="F2301">
        <v>57.658676147000001</v>
      </c>
      <c r="G2301">
        <v>1379.9960937999999</v>
      </c>
      <c r="H2301">
        <v>1366.8837891000001</v>
      </c>
      <c r="I2301">
        <v>1294.4024658000001</v>
      </c>
      <c r="J2301">
        <v>1277.9088135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1494.5477470000001</v>
      </c>
      <c r="B2302" s="1">
        <f>DATE(2014,6,3) + TIME(13,8,45)</f>
        <v>41793.547743055555</v>
      </c>
      <c r="C2302">
        <v>90</v>
      </c>
      <c r="D2302">
        <v>89.958564757999994</v>
      </c>
      <c r="E2302">
        <v>60</v>
      </c>
      <c r="F2302">
        <v>57.621601105000003</v>
      </c>
      <c r="G2302">
        <v>1379.9526367000001</v>
      </c>
      <c r="H2302">
        <v>1366.8515625</v>
      </c>
      <c r="I2302">
        <v>1294.3874512</v>
      </c>
      <c r="J2302">
        <v>1277.8889160000001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1495.211002</v>
      </c>
      <c r="B2303" s="1">
        <f>DATE(2014,6,4) + TIME(5,3,50)</f>
        <v>41794.210995370369</v>
      </c>
      <c r="C2303">
        <v>90</v>
      </c>
      <c r="D2303">
        <v>89.958541870000005</v>
      </c>
      <c r="E2303">
        <v>60</v>
      </c>
      <c r="F2303">
        <v>57.584022521999998</v>
      </c>
      <c r="G2303">
        <v>1379.9091797000001</v>
      </c>
      <c r="H2303">
        <v>1366.8193358999999</v>
      </c>
      <c r="I2303">
        <v>1294.3721923999999</v>
      </c>
      <c r="J2303">
        <v>1277.8682861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1495.8871360000001</v>
      </c>
      <c r="B2304" s="1">
        <f>DATE(2014,6,4) + TIME(21,17,28)</f>
        <v>41794.887129629627</v>
      </c>
      <c r="C2304">
        <v>90</v>
      </c>
      <c r="D2304">
        <v>89.958526610999996</v>
      </c>
      <c r="E2304">
        <v>60</v>
      </c>
      <c r="F2304">
        <v>57.545906066999997</v>
      </c>
      <c r="G2304">
        <v>1379.8656006000001</v>
      </c>
      <c r="H2304">
        <v>1366.7868652</v>
      </c>
      <c r="I2304">
        <v>1294.3564452999999</v>
      </c>
      <c r="J2304">
        <v>1277.847168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1496.577892</v>
      </c>
      <c r="B2305" s="1">
        <f>DATE(2014,6,5) + TIME(13,52,9)</f>
        <v>41795.577881944446</v>
      </c>
      <c r="C2305">
        <v>90</v>
      </c>
      <c r="D2305">
        <v>89.958511353000006</v>
      </c>
      <c r="E2305">
        <v>60</v>
      </c>
      <c r="F2305">
        <v>57.507202147999998</v>
      </c>
      <c r="G2305">
        <v>1379.8217772999999</v>
      </c>
      <c r="H2305">
        <v>1366.7543945</v>
      </c>
      <c r="I2305">
        <v>1294.3402100000001</v>
      </c>
      <c r="J2305">
        <v>1277.8254394999999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1497.2725150000001</v>
      </c>
      <c r="B2306" s="1">
        <f>DATE(2014,6,6) + TIME(6,32,25)</f>
        <v>41796.272511574076</v>
      </c>
      <c r="C2306">
        <v>90</v>
      </c>
      <c r="D2306">
        <v>89.958488463999998</v>
      </c>
      <c r="E2306">
        <v>60</v>
      </c>
      <c r="F2306">
        <v>57.468223571999999</v>
      </c>
      <c r="G2306">
        <v>1379.7777100000001</v>
      </c>
      <c r="H2306">
        <v>1366.7215576000001</v>
      </c>
      <c r="I2306">
        <v>1294.3234863</v>
      </c>
      <c r="J2306">
        <v>1277.8029785000001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1497.970008</v>
      </c>
      <c r="B2307" s="1">
        <f>DATE(2014,6,6) + TIME(23,16,48)</f>
        <v>41796.97</v>
      </c>
      <c r="C2307">
        <v>90</v>
      </c>
      <c r="D2307">
        <v>89.958473205999994</v>
      </c>
      <c r="E2307">
        <v>60</v>
      </c>
      <c r="F2307">
        <v>57.429115295000003</v>
      </c>
      <c r="G2307">
        <v>1379.7340088000001</v>
      </c>
      <c r="H2307">
        <v>1366.6889647999999</v>
      </c>
      <c r="I2307">
        <v>1294.3065185999999</v>
      </c>
      <c r="J2307">
        <v>1277.7800293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1498.6718370000001</v>
      </c>
      <c r="B2308" s="1">
        <f>DATE(2014,6,7) + TIME(16,7,26)</f>
        <v>41797.6718287037</v>
      </c>
      <c r="C2308">
        <v>90</v>
      </c>
      <c r="D2308">
        <v>89.958457946999999</v>
      </c>
      <c r="E2308">
        <v>60</v>
      </c>
      <c r="F2308">
        <v>57.389904022000003</v>
      </c>
      <c r="G2308">
        <v>1379.6907959</v>
      </c>
      <c r="H2308">
        <v>1366.6567382999999</v>
      </c>
      <c r="I2308">
        <v>1294.2893065999999</v>
      </c>
      <c r="J2308">
        <v>1277.7567139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1499.37977</v>
      </c>
      <c r="B2309" s="1">
        <f>DATE(2014,6,8) + TIME(9,6,52)</f>
        <v>41798.37976851852</v>
      </c>
      <c r="C2309">
        <v>90</v>
      </c>
      <c r="D2309">
        <v>89.958442688000005</v>
      </c>
      <c r="E2309">
        <v>60</v>
      </c>
      <c r="F2309">
        <v>57.350555419999999</v>
      </c>
      <c r="G2309">
        <v>1379.6478271000001</v>
      </c>
      <c r="H2309">
        <v>1366.6246338000001</v>
      </c>
      <c r="I2309">
        <v>1294.2718506000001</v>
      </c>
      <c r="J2309">
        <v>1277.7330322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1500.0952649999999</v>
      </c>
      <c r="B2310" s="1">
        <f>DATE(2014,6,9) + TIME(2,17,10)</f>
        <v>41799.095254629632</v>
      </c>
      <c r="C2310">
        <v>90</v>
      </c>
      <c r="D2310">
        <v>89.958427428999997</v>
      </c>
      <c r="E2310">
        <v>60</v>
      </c>
      <c r="F2310">
        <v>57.311023712000001</v>
      </c>
      <c r="G2310">
        <v>1379.6052245999999</v>
      </c>
      <c r="H2310">
        <v>1366.5927733999999</v>
      </c>
      <c r="I2310">
        <v>1294.2540283000001</v>
      </c>
      <c r="J2310">
        <v>1277.7088623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1500.8196829999999</v>
      </c>
      <c r="B2311" s="1">
        <f>DATE(2014,6,9) + TIME(19,40,20)</f>
        <v>41799.819675925923</v>
      </c>
      <c r="C2311">
        <v>90</v>
      </c>
      <c r="D2311">
        <v>89.958412170000003</v>
      </c>
      <c r="E2311">
        <v>60</v>
      </c>
      <c r="F2311">
        <v>57.271251677999999</v>
      </c>
      <c r="G2311">
        <v>1379.5626221</v>
      </c>
      <c r="H2311">
        <v>1366.5609131000001</v>
      </c>
      <c r="I2311">
        <v>1294.2358397999999</v>
      </c>
      <c r="J2311">
        <v>1277.6839600000001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1501.5546489999999</v>
      </c>
      <c r="B2312" s="1">
        <f>DATE(2014,6,10) + TIME(13,18,41)</f>
        <v>41800.5546412037</v>
      </c>
      <c r="C2312">
        <v>90</v>
      </c>
      <c r="D2312">
        <v>89.958396911999998</v>
      </c>
      <c r="E2312">
        <v>60</v>
      </c>
      <c r="F2312">
        <v>57.231159210000001</v>
      </c>
      <c r="G2312">
        <v>1379.5201416</v>
      </c>
      <c r="H2312">
        <v>1366.5291748</v>
      </c>
      <c r="I2312">
        <v>1294.2171631000001</v>
      </c>
      <c r="J2312">
        <v>1277.6585693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1502.301858</v>
      </c>
      <c r="B2313" s="1">
        <f>DATE(2014,6,11) + TIME(7,14,40)</f>
        <v>41801.301851851851</v>
      </c>
      <c r="C2313">
        <v>90</v>
      </c>
      <c r="D2313">
        <v>89.958381653000004</v>
      </c>
      <c r="E2313">
        <v>60</v>
      </c>
      <c r="F2313">
        <v>57.190670013000002</v>
      </c>
      <c r="G2313">
        <v>1379.4775391000001</v>
      </c>
      <c r="H2313">
        <v>1366.4973144999999</v>
      </c>
      <c r="I2313">
        <v>1294.1981201000001</v>
      </c>
      <c r="J2313">
        <v>1277.6324463000001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1503.0630430000001</v>
      </c>
      <c r="B2314" s="1">
        <f>DATE(2014,6,12) + TIME(1,30,46)</f>
        <v>41802.063032407408</v>
      </c>
      <c r="C2314">
        <v>90</v>
      </c>
      <c r="D2314">
        <v>89.958366393999995</v>
      </c>
      <c r="E2314">
        <v>60</v>
      </c>
      <c r="F2314">
        <v>57.149700164999999</v>
      </c>
      <c r="G2314">
        <v>1379.4349365</v>
      </c>
      <c r="H2314">
        <v>1366.4652100000001</v>
      </c>
      <c r="I2314">
        <v>1294.1784668</v>
      </c>
      <c r="J2314">
        <v>1277.6055908000001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1503.8401650000001</v>
      </c>
      <c r="B2315" s="1">
        <f>DATE(2014,6,12) + TIME(20,9,50)</f>
        <v>41802.840162037035</v>
      </c>
      <c r="C2315">
        <v>90</v>
      </c>
      <c r="D2315">
        <v>89.958351135000001</v>
      </c>
      <c r="E2315">
        <v>60</v>
      </c>
      <c r="F2315">
        <v>57.108161926000001</v>
      </c>
      <c r="G2315">
        <v>1379.3919678</v>
      </c>
      <c r="H2315">
        <v>1366.4329834</v>
      </c>
      <c r="I2315">
        <v>1294.1583252</v>
      </c>
      <c r="J2315">
        <v>1277.5777588000001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1504.6354389999999</v>
      </c>
      <c r="B2316" s="1">
        <f>DATE(2014,6,13) + TIME(15,15,1)</f>
        <v>41803.635428240741</v>
      </c>
      <c r="C2316">
        <v>90</v>
      </c>
      <c r="D2316">
        <v>89.958343506000006</v>
      </c>
      <c r="E2316">
        <v>60</v>
      </c>
      <c r="F2316">
        <v>57.065944672000001</v>
      </c>
      <c r="G2316">
        <v>1379.3487548999999</v>
      </c>
      <c r="H2316">
        <v>1366.4005127</v>
      </c>
      <c r="I2316">
        <v>1294.1374512</v>
      </c>
      <c r="J2316">
        <v>1277.5490723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1505.446175</v>
      </c>
      <c r="B2317" s="1">
        <f>DATE(2014,6,14) + TIME(10,42,29)</f>
        <v>41804.446168981478</v>
      </c>
      <c r="C2317">
        <v>90</v>
      </c>
      <c r="D2317">
        <v>89.958328246999997</v>
      </c>
      <c r="E2317">
        <v>60</v>
      </c>
      <c r="F2317">
        <v>57.023086548000002</v>
      </c>
      <c r="G2317">
        <v>1379.3051757999999</v>
      </c>
      <c r="H2317">
        <v>1366.3676757999999</v>
      </c>
      <c r="I2317">
        <v>1294.1158447</v>
      </c>
      <c r="J2317">
        <v>1277.5192870999999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1506.2702690000001</v>
      </c>
      <c r="B2318" s="1">
        <f>DATE(2014,6,15) + TIME(6,29,11)</f>
        <v>41805.270266203705</v>
      </c>
      <c r="C2318">
        <v>90</v>
      </c>
      <c r="D2318">
        <v>89.958312988000003</v>
      </c>
      <c r="E2318">
        <v>60</v>
      </c>
      <c r="F2318">
        <v>56.979648589999996</v>
      </c>
      <c r="G2318">
        <v>1379.2613524999999</v>
      </c>
      <c r="H2318">
        <v>1366.3347168</v>
      </c>
      <c r="I2318">
        <v>1294.0935059000001</v>
      </c>
      <c r="J2318">
        <v>1277.4884033000001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1507.1004720000001</v>
      </c>
      <c r="B2319" s="1">
        <f>DATE(2014,6,16) + TIME(2,24,40)</f>
        <v>41806.100462962961</v>
      </c>
      <c r="C2319">
        <v>90</v>
      </c>
      <c r="D2319">
        <v>89.958305358999993</v>
      </c>
      <c r="E2319">
        <v>60</v>
      </c>
      <c r="F2319">
        <v>56.93585968</v>
      </c>
      <c r="G2319">
        <v>1379.2172852000001</v>
      </c>
      <c r="H2319">
        <v>1366.3015137</v>
      </c>
      <c r="I2319">
        <v>1294.0705565999999</v>
      </c>
      <c r="J2319">
        <v>1277.4566649999999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1507.933049</v>
      </c>
      <c r="B2320" s="1">
        <f>DATE(2014,6,16) + TIME(22,23,35)</f>
        <v>41806.93304398148</v>
      </c>
      <c r="C2320">
        <v>90</v>
      </c>
      <c r="D2320">
        <v>89.958290099999999</v>
      </c>
      <c r="E2320">
        <v>60</v>
      </c>
      <c r="F2320">
        <v>56.891937255999999</v>
      </c>
      <c r="G2320">
        <v>1379.1735839999999</v>
      </c>
      <c r="H2320">
        <v>1366.2684326000001</v>
      </c>
      <c r="I2320">
        <v>1294.0471190999999</v>
      </c>
      <c r="J2320">
        <v>1277.4241943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1508.769806</v>
      </c>
      <c r="B2321" s="1">
        <f>DATE(2014,6,17) + TIME(18,28,31)</f>
        <v>41807.769803240742</v>
      </c>
      <c r="C2321">
        <v>90</v>
      </c>
      <c r="D2321">
        <v>89.958274841000005</v>
      </c>
      <c r="E2321">
        <v>60</v>
      </c>
      <c r="F2321">
        <v>56.847927093999999</v>
      </c>
      <c r="G2321">
        <v>1379.130249</v>
      </c>
      <c r="H2321">
        <v>1366.2357178</v>
      </c>
      <c r="I2321">
        <v>1294.0234375</v>
      </c>
      <c r="J2321">
        <v>1277.3909911999999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1509.6127710000001</v>
      </c>
      <c r="B2322" s="1">
        <f>DATE(2014,6,18) + TIME(14,42,23)</f>
        <v>41808.612766203703</v>
      </c>
      <c r="C2322">
        <v>90</v>
      </c>
      <c r="D2322">
        <v>89.958267211999996</v>
      </c>
      <c r="E2322">
        <v>60</v>
      </c>
      <c r="F2322">
        <v>56.803810120000001</v>
      </c>
      <c r="G2322">
        <v>1379.0872803</v>
      </c>
      <c r="H2322">
        <v>1366.203125</v>
      </c>
      <c r="I2322">
        <v>1293.9992675999999</v>
      </c>
      <c r="J2322">
        <v>1277.3572998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1510.4639749999999</v>
      </c>
      <c r="B2323" s="1">
        <f>DATE(2014,6,19) + TIME(11,8,7)</f>
        <v>41809.463969907411</v>
      </c>
      <c r="C2323">
        <v>90</v>
      </c>
      <c r="D2323">
        <v>89.958251953000001</v>
      </c>
      <c r="E2323">
        <v>60</v>
      </c>
      <c r="F2323">
        <v>56.759521483999997</v>
      </c>
      <c r="G2323">
        <v>1379.0445557</v>
      </c>
      <c r="H2323">
        <v>1366.1707764</v>
      </c>
      <c r="I2323">
        <v>1293.9746094</v>
      </c>
      <c r="J2323">
        <v>1277.3227539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1511.324967</v>
      </c>
      <c r="B2324" s="1">
        <f>DATE(2014,6,20) + TIME(7,47,57)</f>
        <v>41810.324965277781</v>
      </c>
      <c r="C2324">
        <v>90</v>
      </c>
      <c r="D2324">
        <v>89.958244324000006</v>
      </c>
      <c r="E2324">
        <v>60</v>
      </c>
      <c r="F2324">
        <v>56.714984893999997</v>
      </c>
      <c r="G2324">
        <v>1379.0019531</v>
      </c>
      <c r="H2324">
        <v>1366.1384277</v>
      </c>
      <c r="I2324">
        <v>1293.9493408000001</v>
      </c>
      <c r="J2324">
        <v>1277.2872314000001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1512.197715</v>
      </c>
      <c r="B2325" s="1">
        <f>DATE(2014,6,21) + TIME(4,44,42)</f>
        <v>41811.197708333333</v>
      </c>
      <c r="C2325">
        <v>90</v>
      </c>
      <c r="D2325">
        <v>89.958236693999993</v>
      </c>
      <c r="E2325">
        <v>60</v>
      </c>
      <c r="F2325">
        <v>56.670116425000003</v>
      </c>
      <c r="G2325">
        <v>1378.9593506000001</v>
      </c>
      <c r="H2325">
        <v>1366.1060791</v>
      </c>
      <c r="I2325">
        <v>1293.9235839999999</v>
      </c>
      <c r="J2325">
        <v>1277.2508545000001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1513.0842560000001</v>
      </c>
      <c r="B2326" s="1">
        <f>DATE(2014,6,22) + TIME(2,1,19)</f>
        <v>41812.084247685183</v>
      </c>
      <c r="C2326">
        <v>90</v>
      </c>
      <c r="D2326">
        <v>89.958221436000002</v>
      </c>
      <c r="E2326">
        <v>60</v>
      </c>
      <c r="F2326">
        <v>56.624820708999998</v>
      </c>
      <c r="G2326">
        <v>1378.9167480000001</v>
      </c>
      <c r="H2326">
        <v>1366.0736084</v>
      </c>
      <c r="I2326">
        <v>1293.8969727000001</v>
      </c>
      <c r="J2326">
        <v>1277.213501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1513.9867159999999</v>
      </c>
      <c r="B2327" s="1">
        <f>DATE(2014,6,22) + TIME(23,40,52)</f>
        <v>41812.986712962964</v>
      </c>
      <c r="C2327">
        <v>90</v>
      </c>
      <c r="D2327">
        <v>89.958213806000003</v>
      </c>
      <c r="E2327">
        <v>60</v>
      </c>
      <c r="F2327">
        <v>56.579002379999999</v>
      </c>
      <c r="G2327">
        <v>1378.8740233999999</v>
      </c>
      <c r="H2327">
        <v>1366.0410156</v>
      </c>
      <c r="I2327">
        <v>1293.869751</v>
      </c>
      <c r="J2327">
        <v>1277.1749268000001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1514.9073639999999</v>
      </c>
      <c r="B2328" s="1">
        <f>DATE(2014,6,23) + TIME(21,46,36)</f>
        <v>41813.907361111109</v>
      </c>
      <c r="C2328">
        <v>90</v>
      </c>
      <c r="D2328">
        <v>89.958206176999994</v>
      </c>
      <c r="E2328">
        <v>60</v>
      </c>
      <c r="F2328">
        <v>56.532554626</v>
      </c>
      <c r="G2328">
        <v>1378.8310547000001</v>
      </c>
      <c r="H2328">
        <v>1366.0083007999999</v>
      </c>
      <c r="I2328">
        <v>1293.8416748</v>
      </c>
      <c r="J2328">
        <v>1277.1350098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1515.8433460000001</v>
      </c>
      <c r="B2329" s="1">
        <f>DATE(2014,6,24) + TIME(20,14,25)</f>
        <v>41814.843344907407</v>
      </c>
      <c r="C2329">
        <v>90</v>
      </c>
      <c r="D2329">
        <v>89.958198546999995</v>
      </c>
      <c r="E2329">
        <v>60</v>
      </c>
      <c r="F2329">
        <v>56.485496521000002</v>
      </c>
      <c r="G2329">
        <v>1378.7877197</v>
      </c>
      <c r="H2329">
        <v>1365.9752197</v>
      </c>
      <c r="I2329">
        <v>1293.8126221</v>
      </c>
      <c r="J2329">
        <v>1277.09375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1516.7941109999999</v>
      </c>
      <c r="B2330" s="1">
        <f>DATE(2014,6,25) + TIME(19,3,31)</f>
        <v>41815.794108796297</v>
      </c>
      <c r="C2330">
        <v>90</v>
      </c>
      <c r="D2330">
        <v>89.958190918</v>
      </c>
      <c r="E2330">
        <v>60</v>
      </c>
      <c r="F2330">
        <v>56.437850951999998</v>
      </c>
      <c r="G2330">
        <v>1378.7442627</v>
      </c>
      <c r="H2330">
        <v>1365.9418945</v>
      </c>
      <c r="I2330">
        <v>1293.7827147999999</v>
      </c>
      <c r="J2330">
        <v>1277.0510254000001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1517.7619179999999</v>
      </c>
      <c r="B2331" s="1">
        <f>DATE(2014,6,26) + TIME(18,17,9)</f>
        <v>41816.76190972222</v>
      </c>
      <c r="C2331">
        <v>90</v>
      </c>
      <c r="D2331">
        <v>89.958183289000004</v>
      </c>
      <c r="E2331">
        <v>60</v>
      </c>
      <c r="F2331">
        <v>56.389587401999997</v>
      </c>
      <c r="G2331">
        <v>1378.7006836</v>
      </c>
      <c r="H2331">
        <v>1365.9085693</v>
      </c>
      <c r="I2331">
        <v>1293.7519531</v>
      </c>
      <c r="J2331">
        <v>1277.0069579999999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1518.74712</v>
      </c>
      <c r="B2332" s="1">
        <f>DATE(2014,6,27) + TIME(17,55,51)</f>
        <v>41817.747118055559</v>
      </c>
      <c r="C2332">
        <v>90</v>
      </c>
      <c r="D2332">
        <v>89.958175659000005</v>
      </c>
      <c r="E2332">
        <v>60</v>
      </c>
      <c r="F2332">
        <v>56.340671538999999</v>
      </c>
      <c r="G2332">
        <v>1378.6568603999999</v>
      </c>
      <c r="H2332">
        <v>1365.8748779</v>
      </c>
      <c r="I2332">
        <v>1293.7202147999999</v>
      </c>
      <c r="J2332">
        <v>1276.9614257999999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1519.7352530000001</v>
      </c>
      <c r="B2333" s="1">
        <f>DATE(2014,6,28) + TIME(17,38,45)</f>
        <v>41818.735243055555</v>
      </c>
      <c r="C2333">
        <v>90</v>
      </c>
      <c r="D2333">
        <v>89.958168029999996</v>
      </c>
      <c r="E2333">
        <v>60</v>
      </c>
      <c r="F2333">
        <v>56.291427612</v>
      </c>
      <c r="G2333">
        <v>1378.612793</v>
      </c>
      <c r="H2333">
        <v>1365.8410644999999</v>
      </c>
      <c r="I2333">
        <v>1293.6875</v>
      </c>
      <c r="J2333">
        <v>1276.9144286999999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1520.7285119999999</v>
      </c>
      <c r="B2334" s="1">
        <f>DATE(2014,6,29) + TIME(17,29,3)</f>
        <v>41819.728506944448</v>
      </c>
      <c r="C2334">
        <v>90</v>
      </c>
      <c r="D2334">
        <v>89.958160399999997</v>
      </c>
      <c r="E2334">
        <v>60</v>
      </c>
      <c r="F2334">
        <v>56.242004395000002</v>
      </c>
      <c r="G2334">
        <v>1378.5690918</v>
      </c>
      <c r="H2334">
        <v>1365.8073730000001</v>
      </c>
      <c r="I2334">
        <v>1293.6541748</v>
      </c>
      <c r="J2334">
        <v>1276.8664550999999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1521.7294449999999</v>
      </c>
      <c r="B2335" s="1">
        <f>DATE(2014,6,30) + TIME(17,30,24)</f>
        <v>41820.729444444441</v>
      </c>
      <c r="C2335">
        <v>90</v>
      </c>
      <c r="D2335">
        <v>89.958152771000002</v>
      </c>
      <c r="E2335">
        <v>60</v>
      </c>
      <c r="F2335">
        <v>56.192405700999998</v>
      </c>
      <c r="G2335">
        <v>1378.5256348</v>
      </c>
      <c r="H2335">
        <v>1365.7739257999999</v>
      </c>
      <c r="I2335">
        <v>1293.6202393000001</v>
      </c>
      <c r="J2335">
        <v>1276.8173827999999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1522</v>
      </c>
      <c r="B2336" s="1">
        <f>DATE(2014,7,1) + TIME(0,0,0)</f>
        <v>41821</v>
      </c>
      <c r="C2336">
        <v>90</v>
      </c>
      <c r="D2336">
        <v>89.958137511999993</v>
      </c>
      <c r="E2336">
        <v>60</v>
      </c>
      <c r="F2336">
        <v>56.170333862</v>
      </c>
      <c r="G2336">
        <v>1378.4829102000001</v>
      </c>
      <c r="H2336">
        <v>1365.7409668</v>
      </c>
      <c r="I2336">
        <v>1293.5864257999999</v>
      </c>
      <c r="J2336">
        <v>1276.7745361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1523.0109689999999</v>
      </c>
      <c r="B2337" s="1">
        <f>DATE(2014,7,2) + TIME(0,15,47)</f>
        <v>41822.010960648149</v>
      </c>
      <c r="C2337">
        <v>90</v>
      </c>
      <c r="D2337">
        <v>89.958137511999993</v>
      </c>
      <c r="E2337">
        <v>60</v>
      </c>
      <c r="F2337">
        <v>56.125198363999999</v>
      </c>
      <c r="G2337">
        <v>1378.4707031</v>
      </c>
      <c r="H2337">
        <v>1365.7314452999999</v>
      </c>
      <c r="I2337">
        <v>1293.5755615</v>
      </c>
      <c r="J2337">
        <v>1276.7515868999999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1524.0377679999999</v>
      </c>
      <c r="B2338" s="1">
        <f>DATE(2014,7,3) + TIME(0,54,23)</f>
        <v>41823.037766203706</v>
      </c>
      <c r="C2338">
        <v>90</v>
      </c>
      <c r="D2338">
        <v>89.958137511999993</v>
      </c>
      <c r="E2338">
        <v>60</v>
      </c>
      <c r="F2338">
        <v>56.077156066999997</v>
      </c>
      <c r="G2338">
        <v>1378.4278564000001</v>
      </c>
      <c r="H2338">
        <v>1365.6983643000001</v>
      </c>
      <c r="I2338">
        <v>1293.5404053</v>
      </c>
      <c r="J2338">
        <v>1276.7009277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1525.0759310000001</v>
      </c>
      <c r="B2339" s="1">
        <f>DATE(2014,7,4) + TIME(1,49,20)</f>
        <v>41824.075925925928</v>
      </c>
      <c r="C2339">
        <v>90</v>
      </c>
      <c r="D2339">
        <v>89.958129882999998</v>
      </c>
      <c r="E2339">
        <v>60</v>
      </c>
      <c r="F2339">
        <v>56.027545928999999</v>
      </c>
      <c r="G2339">
        <v>1378.3847656</v>
      </c>
      <c r="H2339">
        <v>1365.6650391000001</v>
      </c>
      <c r="I2339">
        <v>1293.5040283000001</v>
      </c>
      <c r="J2339">
        <v>1276.6480713000001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1526.123873</v>
      </c>
      <c r="B2340" s="1">
        <f>DATE(2014,7,5) + TIME(2,58,22)</f>
        <v>41825.123865740738</v>
      </c>
      <c r="C2340">
        <v>90</v>
      </c>
      <c r="D2340">
        <v>89.958129882999998</v>
      </c>
      <c r="E2340">
        <v>60</v>
      </c>
      <c r="F2340">
        <v>55.977054596000002</v>
      </c>
      <c r="G2340">
        <v>1378.3416748</v>
      </c>
      <c r="H2340">
        <v>1365.6315918</v>
      </c>
      <c r="I2340">
        <v>1293.4666748</v>
      </c>
      <c r="J2340">
        <v>1276.5935059000001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1527.1844840000001</v>
      </c>
      <c r="B2341" s="1">
        <f>DATE(2014,7,6) + TIME(4,25,39)</f>
        <v>41826.184479166666</v>
      </c>
      <c r="C2341">
        <v>90</v>
      </c>
      <c r="D2341">
        <v>89.958122252999999</v>
      </c>
      <c r="E2341">
        <v>60</v>
      </c>
      <c r="F2341">
        <v>55.925949097</v>
      </c>
      <c r="G2341">
        <v>1378.2985839999999</v>
      </c>
      <c r="H2341">
        <v>1365.5981445</v>
      </c>
      <c r="I2341">
        <v>1293.4283447</v>
      </c>
      <c r="J2341">
        <v>1276.5373535000001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1528.259605</v>
      </c>
      <c r="B2342" s="1">
        <f>DATE(2014,7,7) + TIME(6,13,49)</f>
        <v>41827.259594907409</v>
      </c>
      <c r="C2342">
        <v>90</v>
      </c>
      <c r="D2342">
        <v>89.958122252999999</v>
      </c>
      <c r="E2342">
        <v>60</v>
      </c>
      <c r="F2342">
        <v>55.874294280999997</v>
      </c>
      <c r="G2342">
        <v>1378.2554932</v>
      </c>
      <c r="H2342">
        <v>1365.5645752</v>
      </c>
      <c r="I2342">
        <v>1293.3891602000001</v>
      </c>
      <c r="J2342">
        <v>1276.4797363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1529.3516300000001</v>
      </c>
      <c r="B2343" s="1">
        <f>DATE(2014,7,8) + TIME(8,26,20)</f>
        <v>41828.351620370369</v>
      </c>
      <c r="C2343">
        <v>90</v>
      </c>
      <c r="D2343">
        <v>89.958114624000004</v>
      </c>
      <c r="E2343">
        <v>60</v>
      </c>
      <c r="F2343">
        <v>55.822067261000001</v>
      </c>
      <c r="G2343">
        <v>1378.2124022999999</v>
      </c>
      <c r="H2343">
        <v>1365.5310059000001</v>
      </c>
      <c r="I2343">
        <v>1293.348999</v>
      </c>
      <c r="J2343">
        <v>1276.4204102000001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1530.4631890000001</v>
      </c>
      <c r="B2344" s="1">
        <f>DATE(2014,7,9) + TIME(11,6,59)</f>
        <v>41829.463182870371</v>
      </c>
      <c r="C2344">
        <v>90</v>
      </c>
      <c r="D2344">
        <v>89.958114624000004</v>
      </c>
      <c r="E2344">
        <v>60</v>
      </c>
      <c r="F2344">
        <v>55.769195557000003</v>
      </c>
      <c r="G2344">
        <v>1378.1690673999999</v>
      </c>
      <c r="H2344">
        <v>1365.4971923999999</v>
      </c>
      <c r="I2344">
        <v>1293.3076172000001</v>
      </c>
      <c r="J2344">
        <v>1276.3592529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1531.5971099999999</v>
      </c>
      <c r="B2345" s="1">
        <f>DATE(2014,7,10) + TIME(14,19,50)</f>
        <v>41830.59710648148</v>
      </c>
      <c r="C2345">
        <v>90</v>
      </c>
      <c r="D2345">
        <v>89.958106994999994</v>
      </c>
      <c r="E2345">
        <v>60</v>
      </c>
      <c r="F2345">
        <v>55.715576171999999</v>
      </c>
      <c r="G2345">
        <v>1378.1253661999999</v>
      </c>
      <c r="H2345">
        <v>1365.4631348</v>
      </c>
      <c r="I2345">
        <v>1293.2650146000001</v>
      </c>
      <c r="J2345">
        <v>1276.2960204999999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1532.756251</v>
      </c>
      <c r="B2346" s="1">
        <f>DATE(2014,7,11) + TIME(18,9,0)</f>
        <v>41831.756249999999</v>
      </c>
      <c r="C2346">
        <v>90</v>
      </c>
      <c r="D2346">
        <v>89.958106994999994</v>
      </c>
      <c r="E2346">
        <v>60</v>
      </c>
      <c r="F2346">
        <v>55.66109848</v>
      </c>
      <c r="G2346">
        <v>1378.0814209</v>
      </c>
      <c r="H2346">
        <v>1365.4285889</v>
      </c>
      <c r="I2346">
        <v>1293.2210693</v>
      </c>
      <c r="J2346">
        <v>1276.2305908000001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1533.924352</v>
      </c>
      <c r="B2347" s="1">
        <f>DATE(2014,7,12) + TIME(22,11,4)</f>
        <v>41832.924351851849</v>
      </c>
      <c r="C2347">
        <v>90</v>
      </c>
      <c r="D2347">
        <v>89.958106994999994</v>
      </c>
      <c r="E2347">
        <v>60</v>
      </c>
      <c r="F2347">
        <v>55.606029509999999</v>
      </c>
      <c r="G2347">
        <v>1378.0369873</v>
      </c>
      <c r="H2347">
        <v>1365.3937988</v>
      </c>
      <c r="I2347">
        <v>1293.1755370999999</v>
      </c>
      <c r="J2347">
        <v>1276.1628418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1535.1009939999999</v>
      </c>
      <c r="B2348" s="1">
        <f>DATE(2014,7,14) + TIME(2,25,25)</f>
        <v>41834.100983796299</v>
      </c>
      <c r="C2348">
        <v>90</v>
      </c>
      <c r="D2348">
        <v>89.958106994999994</v>
      </c>
      <c r="E2348">
        <v>60</v>
      </c>
      <c r="F2348">
        <v>55.550609588999997</v>
      </c>
      <c r="G2348">
        <v>1377.9926757999999</v>
      </c>
      <c r="H2348">
        <v>1365.3590088000001</v>
      </c>
      <c r="I2348">
        <v>1293.1291504000001</v>
      </c>
      <c r="J2348">
        <v>1276.0935059000001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1536.2812570000001</v>
      </c>
      <c r="B2349" s="1">
        <f>DATE(2014,7,15) + TIME(6,45,0)</f>
        <v>41835.28125</v>
      </c>
      <c r="C2349">
        <v>90</v>
      </c>
      <c r="D2349">
        <v>89.958099364999995</v>
      </c>
      <c r="E2349">
        <v>60</v>
      </c>
      <c r="F2349">
        <v>55.495048523000001</v>
      </c>
      <c r="G2349">
        <v>1377.9484863</v>
      </c>
      <c r="H2349">
        <v>1365.3242187999999</v>
      </c>
      <c r="I2349">
        <v>1293.0819091999999</v>
      </c>
      <c r="J2349">
        <v>1276.0225829999999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1537.467631</v>
      </c>
      <c r="B2350" s="1">
        <f>DATE(2014,7,16) + TIME(11,13,23)</f>
        <v>41836.467627314814</v>
      </c>
      <c r="C2350">
        <v>90</v>
      </c>
      <c r="D2350">
        <v>89.958099364999995</v>
      </c>
      <c r="E2350">
        <v>60</v>
      </c>
      <c r="F2350">
        <v>55.439430237000003</v>
      </c>
      <c r="G2350">
        <v>1377.9046631000001</v>
      </c>
      <c r="H2350">
        <v>1365.2897949000001</v>
      </c>
      <c r="I2350">
        <v>1293.0339355000001</v>
      </c>
      <c r="J2350">
        <v>1275.9504394999999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1538.6626200000001</v>
      </c>
      <c r="B2351" s="1">
        <f>DATE(2014,7,17) + TIME(15,54,10)</f>
        <v>41837.662615740737</v>
      </c>
      <c r="C2351">
        <v>90</v>
      </c>
      <c r="D2351">
        <v>89.958099364999995</v>
      </c>
      <c r="E2351">
        <v>60</v>
      </c>
      <c r="F2351">
        <v>55.383724213000001</v>
      </c>
      <c r="G2351">
        <v>1377.8612060999999</v>
      </c>
      <c r="H2351">
        <v>1365.2553711</v>
      </c>
      <c r="I2351">
        <v>1292.9851074000001</v>
      </c>
      <c r="J2351">
        <v>1275.8768310999999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1539.8687560000001</v>
      </c>
      <c r="B2352" s="1">
        <f>DATE(2014,7,18) + TIME(20,51,0)</f>
        <v>41838.868750000001</v>
      </c>
      <c r="C2352">
        <v>90</v>
      </c>
      <c r="D2352">
        <v>89.958099364999995</v>
      </c>
      <c r="E2352">
        <v>60</v>
      </c>
      <c r="F2352">
        <v>55.327865600999999</v>
      </c>
      <c r="G2352">
        <v>1377.817749</v>
      </c>
      <c r="H2352">
        <v>1365.2210693</v>
      </c>
      <c r="I2352">
        <v>1292.9354248</v>
      </c>
      <c r="J2352">
        <v>1275.8017577999999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1541.0892879999999</v>
      </c>
      <c r="B2353" s="1">
        <f>DATE(2014,7,20) + TIME(2,8,34)</f>
        <v>41840.089282407411</v>
      </c>
      <c r="C2353">
        <v>90</v>
      </c>
      <c r="D2353">
        <v>89.958099364999995</v>
      </c>
      <c r="E2353">
        <v>60</v>
      </c>
      <c r="F2353">
        <v>55.271743774000001</v>
      </c>
      <c r="G2353">
        <v>1377.7744141000001</v>
      </c>
      <c r="H2353">
        <v>1365.1867675999999</v>
      </c>
      <c r="I2353">
        <v>1292.8847656</v>
      </c>
      <c r="J2353">
        <v>1275.7249756000001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1542.326683</v>
      </c>
      <c r="B2354" s="1">
        <f>DATE(2014,7,21) + TIME(7,50,25)</f>
        <v>41841.326678240737</v>
      </c>
      <c r="C2354">
        <v>90</v>
      </c>
      <c r="D2354">
        <v>89.958106994999994</v>
      </c>
      <c r="E2354">
        <v>60</v>
      </c>
      <c r="F2354">
        <v>55.215263366999999</v>
      </c>
      <c r="G2354">
        <v>1377.7310791</v>
      </c>
      <c r="H2354">
        <v>1365.1523437999999</v>
      </c>
      <c r="I2354">
        <v>1292.8330077999999</v>
      </c>
      <c r="J2354">
        <v>1275.6462402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1543.5837019999999</v>
      </c>
      <c r="B2355" s="1">
        <f>DATE(2014,7,22) + TIME(14,0,31)</f>
        <v>41842.583692129629</v>
      </c>
      <c r="C2355">
        <v>90</v>
      </c>
      <c r="D2355">
        <v>89.958106994999994</v>
      </c>
      <c r="E2355">
        <v>60</v>
      </c>
      <c r="F2355">
        <v>55.158321381</v>
      </c>
      <c r="G2355">
        <v>1377.6875</v>
      </c>
      <c r="H2355">
        <v>1365.1177978999999</v>
      </c>
      <c r="I2355">
        <v>1292.7801514</v>
      </c>
      <c r="J2355">
        <v>1275.5654297000001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1544.863482</v>
      </c>
      <c r="B2356" s="1">
        <f>DATE(2014,7,23) + TIME(20,43,24)</f>
        <v>41843.86347222222</v>
      </c>
      <c r="C2356">
        <v>90</v>
      </c>
      <c r="D2356">
        <v>89.958106994999994</v>
      </c>
      <c r="E2356">
        <v>60</v>
      </c>
      <c r="F2356">
        <v>55.100811004999997</v>
      </c>
      <c r="G2356">
        <v>1377.6437988</v>
      </c>
      <c r="H2356">
        <v>1365.0828856999999</v>
      </c>
      <c r="I2356">
        <v>1292.7258300999999</v>
      </c>
      <c r="J2356">
        <v>1275.4824219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1546.1694050000001</v>
      </c>
      <c r="B2357" s="1">
        <f>DATE(2014,7,25) + TIME(4,3,56)</f>
        <v>41845.169398148151</v>
      </c>
      <c r="C2357">
        <v>90</v>
      </c>
      <c r="D2357">
        <v>89.958106994999994</v>
      </c>
      <c r="E2357">
        <v>60</v>
      </c>
      <c r="F2357">
        <v>55.042633057000003</v>
      </c>
      <c r="G2357">
        <v>1377.5997314000001</v>
      </c>
      <c r="H2357">
        <v>1365.0477295000001</v>
      </c>
      <c r="I2357">
        <v>1292.6700439000001</v>
      </c>
      <c r="J2357">
        <v>1275.3969727000001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1547.5049309999999</v>
      </c>
      <c r="B2358" s="1">
        <f>DATE(2014,7,26) + TIME(12,7,6)</f>
        <v>41846.504930555559</v>
      </c>
      <c r="C2358">
        <v>90</v>
      </c>
      <c r="D2358">
        <v>89.958114624000004</v>
      </c>
      <c r="E2358">
        <v>60</v>
      </c>
      <c r="F2358">
        <v>54.983669280999997</v>
      </c>
      <c r="G2358">
        <v>1377.5551757999999</v>
      </c>
      <c r="H2358">
        <v>1365.012207</v>
      </c>
      <c r="I2358">
        <v>1292.6126709</v>
      </c>
      <c r="J2358">
        <v>1275.3087158000001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1548.8591120000001</v>
      </c>
      <c r="B2359" s="1">
        <f>DATE(2014,7,27) + TIME(20,37,7)</f>
        <v>41847.8591087963</v>
      </c>
      <c r="C2359">
        <v>90</v>
      </c>
      <c r="D2359">
        <v>89.958114624000004</v>
      </c>
      <c r="E2359">
        <v>60</v>
      </c>
      <c r="F2359">
        <v>54.924057007000002</v>
      </c>
      <c r="G2359">
        <v>1377.5101318</v>
      </c>
      <c r="H2359">
        <v>1364.9761963000001</v>
      </c>
      <c r="I2359">
        <v>1292.5534668</v>
      </c>
      <c r="J2359">
        <v>1275.2175293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1550.2144479999999</v>
      </c>
      <c r="B2360" s="1">
        <f>DATE(2014,7,29) + TIME(5,8,48)</f>
        <v>41849.214444444442</v>
      </c>
      <c r="C2360">
        <v>90</v>
      </c>
      <c r="D2360">
        <v>89.958122252999999</v>
      </c>
      <c r="E2360">
        <v>60</v>
      </c>
      <c r="F2360">
        <v>54.864280700999998</v>
      </c>
      <c r="G2360">
        <v>1377.4648437999999</v>
      </c>
      <c r="H2360">
        <v>1364.9399414</v>
      </c>
      <c r="I2360">
        <v>1292.4930420000001</v>
      </c>
      <c r="J2360">
        <v>1275.1241454999999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1551.57465</v>
      </c>
      <c r="B2361" s="1">
        <f>DATE(2014,7,30) + TIME(13,47,29)</f>
        <v>41850.574641203704</v>
      </c>
      <c r="C2361">
        <v>90</v>
      </c>
      <c r="D2361">
        <v>89.958122252999999</v>
      </c>
      <c r="E2361">
        <v>60</v>
      </c>
      <c r="F2361">
        <v>54.804668427000003</v>
      </c>
      <c r="G2361">
        <v>1377.4200439000001</v>
      </c>
      <c r="H2361">
        <v>1364.9039307</v>
      </c>
      <c r="I2361">
        <v>1292.4318848</v>
      </c>
      <c r="J2361">
        <v>1275.0294189000001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1552.287325</v>
      </c>
      <c r="B2362" s="1">
        <f>DATE(2014,7,31) + TIME(6,53,44)</f>
        <v>41851.287314814814</v>
      </c>
      <c r="C2362">
        <v>90</v>
      </c>
      <c r="D2362">
        <v>89.958114624000004</v>
      </c>
      <c r="E2362">
        <v>60</v>
      </c>
      <c r="F2362">
        <v>54.760749816999997</v>
      </c>
      <c r="G2362">
        <v>1377.3754882999999</v>
      </c>
      <c r="H2362">
        <v>1364.8680420000001</v>
      </c>
      <c r="I2362">
        <v>1292.3724365</v>
      </c>
      <c r="J2362">
        <v>1274.9411620999999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1553</v>
      </c>
      <c r="B2363" s="1">
        <f>DATE(2014,8,1) + TIME(0,0,0)</f>
        <v>41852</v>
      </c>
      <c r="C2363">
        <v>90</v>
      </c>
      <c r="D2363">
        <v>89.958114624000004</v>
      </c>
      <c r="E2363">
        <v>60</v>
      </c>
      <c r="F2363">
        <v>54.722881317000002</v>
      </c>
      <c r="G2363">
        <v>1377.3521728999999</v>
      </c>
      <c r="H2363">
        <v>1364.8491211</v>
      </c>
      <c r="I2363">
        <v>1292.3375243999999</v>
      </c>
      <c r="J2363">
        <v>1274.8848877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1553.712675</v>
      </c>
      <c r="B2364" s="1">
        <f>DATE(2014,8,1) + TIME(17,6,15)</f>
        <v>41852.712673611109</v>
      </c>
      <c r="C2364">
        <v>90</v>
      </c>
      <c r="D2364">
        <v>89.958122252999999</v>
      </c>
      <c r="E2364">
        <v>60</v>
      </c>
      <c r="F2364">
        <v>54.688369751000003</v>
      </c>
      <c r="G2364">
        <v>1377.3291016000001</v>
      </c>
      <c r="H2364">
        <v>1364.8305664</v>
      </c>
      <c r="I2364">
        <v>1292.3037108999999</v>
      </c>
      <c r="J2364">
        <v>1274.8309326000001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1554.42535</v>
      </c>
      <c r="B2365" s="1">
        <f>DATE(2014,8,2) + TIME(10,12,30)</f>
        <v>41853.425347222219</v>
      </c>
      <c r="C2365">
        <v>90</v>
      </c>
      <c r="D2365">
        <v>89.958122252999999</v>
      </c>
      <c r="E2365">
        <v>60</v>
      </c>
      <c r="F2365">
        <v>54.655761718999997</v>
      </c>
      <c r="G2365">
        <v>1377.3062743999999</v>
      </c>
      <c r="H2365">
        <v>1364.8121338000001</v>
      </c>
      <c r="I2365">
        <v>1292.2702637</v>
      </c>
      <c r="J2365">
        <v>1274.7780762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1555.138025</v>
      </c>
      <c r="B2366" s="1">
        <f>DATE(2014,8,3) + TIME(3,18,45)</f>
        <v>41854.138020833336</v>
      </c>
      <c r="C2366">
        <v>90</v>
      </c>
      <c r="D2366">
        <v>89.958122252999999</v>
      </c>
      <c r="E2366">
        <v>60</v>
      </c>
      <c r="F2366">
        <v>54.624267578000001</v>
      </c>
      <c r="G2366">
        <v>1377.2834473</v>
      </c>
      <c r="H2366">
        <v>1364.7937012</v>
      </c>
      <c r="I2366">
        <v>1292.2370605000001</v>
      </c>
      <c r="J2366">
        <v>1274.7257079999999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1555.8507</v>
      </c>
      <c r="B2367" s="1">
        <f>DATE(2014,8,3) + TIME(20,25,0)</f>
        <v>41854.850694444445</v>
      </c>
      <c r="C2367">
        <v>90</v>
      </c>
      <c r="D2367">
        <v>89.958122252999999</v>
      </c>
      <c r="E2367">
        <v>60</v>
      </c>
      <c r="F2367">
        <v>54.593463898000003</v>
      </c>
      <c r="G2367">
        <v>1377.2608643000001</v>
      </c>
      <c r="H2367">
        <v>1364.7753906</v>
      </c>
      <c r="I2367">
        <v>1292.2038574000001</v>
      </c>
      <c r="J2367">
        <v>1274.6734618999999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1556.563375</v>
      </c>
      <c r="B2368" s="1">
        <f>DATE(2014,8,4) + TIME(13,31,15)</f>
        <v>41855.563368055555</v>
      </c>
      <c r="C2368">
        <v>90</v>
      </c>
      <c r="D2368">
        <v>89.958129882999998</v>
      </c>
      <c r="E2368">
        <v>60</v>
      </c>
      <c r="F2368">
        <v>54.56312561</v>
      </c>
      <c r="G2368">
        <v>1377.2382812000001</v>
      </c>
      <c r="H2368">
        <v>1364.7572021000001</v>
      </c>
      <c r="I2368">
        <v>1292.1706543</v>
      </c>
      <c r="J2368">
        <v>1274.6213379000001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1557.9887249999999</v>
      </c>
      <c r="B2369" s="1">
        <f>DATE(2014,8,5) + TIME(23,43,45)</f>
        <v>41856.988715277781</v>
      </c>
      <c r="C2369">
        <v>90</v>
      </c>
      <c r="D2369">
        <v>89.958145142000006</v>
      </c>
      <c r="E2369">
        <v>60</v>
      </c>
      <c r="F2369">
        <v>54.521938323999997</v>
      </c>
      <c r="G2369">
        <v>1377.2160644999999</v>
      </c>
      <c r="H2369">
        <v>1364.7391356999999</v>
      </c>
      <c r="I2369">
        <v>1292.1356201000001</v>
      </c>
      <c r="J2369">
        <v>1274.5628661999999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1559.420042</v>
      </c>
      <c r="B2370" s="1">
        <f>DATE(2014,8,7) + TIME(10,4,51)</f>
        <v>41858.420034722221</v>
      </c>
      <c r="C2370">
        <v>90</v>
      </c>
      <c r="D2370">
        <v>89.958152771000002</v>
      </c>
      <c r="E2370">
        <v>60</v>
      </c>
      <c r="F2370">
        <v>54.469696044999999</v>
      </c>
      <c r="G2370">
        <v>1377.1716309000001</v>
      </c>
      <c r="H2370">
        <v>1364.703125</v>
      </c>
      <c r="I2370">
        <v>1292.0721435999999</v>
      </c>
      <c r="J2370">
        <v>1274.4650879000001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1560.8786</v>
      </c>
      <c r="B2371" s="1">
        <f>DATE(2014,8,8) + TIME(21,5,11)</f>
        <v>41859.878599537034</v>
      </c>
      <c r="C2371">
        <v>90</v>
      </c>
      <c r="D2371">
        <v>89.958160399999997</v>
      </c>
      <c r="E2371">
        <v>60</v>
      </c>
      <c r="F2371">
        <v>54.413410186999997</v>
      </c>
      <c r="G2371">
        <v>1377.1273193</v>
      </c>
      <c r="H2371">
        <v>1364.6671143000001</v>
      </c>
      <c r="I2371">
        <v>1292.0062256000001</v>
      </c>
      <c r="J2371">
        <v>1274.3615723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1562.368193</v>
      </c>
      <c r="B2372" s="1">
        <f>DATE(2014,8,10) + TIME(8,50,11)</f>
        <v>41861.36818287037</v>
      </c>
      <c r="C2372">
        <v>90</v>
      </c>
      <c r="D2372">
        <v>89.958168029999996</v>
      </c>
      <c r="E2372">
        <v>60</v>
      </c>
      <c r="F2372">
        <v>54.355442046999997</v>
      </c>
      <c r="G2372">
        <v>1377.0825195</v>
      </c>
      <c r="H2372">
        <v>1364.6306152</v>
      </c>
      <c r="I2372">
        <v>1291.9382324000001</v>
      </c>
      <c r="J2372">
        <v>1274.2540283000001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1563.884409</v>
      </c>
      <c r="B2373" s="1">
        <f>DATE(2014,8,11) + TIME(21,13,32)</f>
        <v>41862.884398148148</v>
      </c>
      <c r="C2373">
        <v>90</v>
      </c>
      <c r="D2373">
        <v>89.958175659000005</v>
      </c>
      <c r="E2373">
        <v>60</v>
      </c>
      <c r="F2373">
        <v>54.296783447000003</v>
      </c>
      <c r="G2373">
        <v>1377.0372314000001</v>
      </c>
      <c r="H2373">
        <v>1364.59375</v>
      </c>
      <c r="I2373">
        <v>1291.8682861</v>
      </c>
      <c r="J2373">
        <v>1274.1431885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1565.422898</v>
      </c>
      <c r="B2374" s="1">
        <f>DATE(2014,8,13) + TIME(10,8,58)</f>
        <v>41864.422893518517</v>
      </c>
      <c r="C2374">
        <v>90</v>
      </c>
      <c r="D2374">
        <v>89.958190918</v>
      </c>
      <c r="E2374">
        <v>60</v>
      </c>
      <c r="F2374">
        <v>54.237987517999997</v>
      </c>
      <c r="G2374">
        <v>1376.9915771000001</v>
      </c>
      <c r="H2374">
        <v>1364.5563964999999</v>
      </c>
      <c r="I2374">
        <v>1291.796875</v>
      </c>
      <c r="J2374">
        <v>1274.0294189000001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1566.9877770000001</v>
      </c>
      <c r="B2375" s="1">
        <f>DATE(2014,8,14) + TIME(23,42,23)</f>
        <v>41865.987766203703</v>
      </c>
      <c r="C2375">
        <v>90</v>
      </c>
      <c r="D2375">
        <v>89.958198546999995</v>
      </c>
      <c r="E2375">
        <v>60</v>
      </c>
      <c r="F2375">
        <v>54.179347991999997</v>
      </c>
      <c r="G2375">
        <v>1376.9456786999999</v>
      </c>
      <c r="H2375">
        <v>1364.5187988</v>
      </c>
      <c r="I2375">
        <v>1291.7241211</v>
      </c>
      <c r="J2375">
        <v>1273.9133300999999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1568.567037</v>
      </c>
      <c r="B2376" s="1">
        <f>DATE(2014,8,16) + TIME(13,36,31)</f>
        <v>41867.567025462966</v>
      </c>
      <c r="C2376">
        <v>90</v>
      </c>
      <c r="D2376">
        <v>89.958206176999994</v>
      </c>
      <c r="E2376">
        <v>60</v>
      </c>
      <c r="F2376">
        <v>54.121177672999998</v>
      </c>
      <c r="G2376">
        <v>1376.8994141000001</v>
      </c>
      <c r="H2376">
        <v>1364.480957</v>
      </c>
      <c r="I2376">
        <v>1291.6502685999999</v>
      </c>
      <c r="J2376">
        <v>1273.7949219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1570.154536</v>
      </c>
      <c r="B2377" s="1">
        <f>DATE(2014,8,18) + TIME(3,42,31)</f>
        <v>41869.15452546296</v>
      </c>
      <c r="C2377">
        <v>90</v>
      </c>
      <c r="D2377">
        <v>89.958213806000003</v>
      </c>
      <c r="E2377">
        <v>60</v>
      </c>
      <c r="F2377">
        <v>54.063873291</v>
      </c>
      <c r="G2377">
        <v>1376.8531493999999</v>
      </c>
      <c r="H2377">
        <v>1364.4428711</v>
      </c>
      <c r="I2377">
        <v>1291.5755615</v>
      </c>
      <c r="J2377">
        <v>1273.6750488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1571.7541160000001</v>
      </c>
      <c r="B2378" s="1">
        <f>DATE(2014,8,19) + TIME(18,5,55)</f>
        <v>41870.754108796296</v>
      </c>
      <c r="C2378">
        <v>90</v>
      </c>
      <c r="D2378">
        <v>89.958229064999998</v>
      </c>
      <c r="E2378">
        <v>60</v>
      </c>
      <c r="F2378">
        <v>54.007686614999997</v>
      </c>
      <c r="G2378">
        <v>1376.8070068</v>
      </c>
      <c r="H2378">
        <v>1364.4050293</v>
      </c>
      <c r="I2378">
        <v>1291.5004882999999</v>
      </c>
      <c r="J2378">
        <v>1273.5539550999999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1573.3697320000001</v>
      </c>
      <c r="B2379" s="1">
        <f>DATE(2014,8,21) + TIME(8,52,24)</f>
        <v>41872.369722222225</v>
      </c>
      <c r="C2379">
        <v>90</v>
      </c>
      <c r="D2379">
        <v>89.958236693999993</v>
      </c>
      <c r="E2379">
        <v>60</v>
      </c>
      <c r="F2379">
        <v>53.952716827000003</v>
      </c>
      <c r="G2379">
        <v>1376.7609863</v>
      </c>
      <c r="H2379">
        <v>1364.3670654</v>
      </c>
      <c r="I2379">
        <v>1291.4248047000001</v>
      </c>
      <c r="J2379">
        <v>1273.4318848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1575.0060309999999</v>
      </c>
      <c r="B2380" s="1">
        <f>DATE(2014,8,23) + TIME(0,8,41)</f>
        <v>41874.006030092591</v>
      </c>
      <c r="C2380">
        <v>90</v>
      </c>
      <c r="D2380">
        <v>89.958251953000001</v>
      </c>
      <c r="E2380">
        <v>60</v>
      </c>
      <c r="F2380">
        <v>53.899009704999997</v>
      </c>
      <c r="G2380">
        <v>1376.7149658000001</v>
      </c>
      <c r="H2380">
        <v>1364.3289795000001</v>
      </c>
      <c r="I2380">
        <v>1291.3487548999999</v>
      </c>
      <c r="J2380">
        <v>1273.3083495999999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1576.6674680000001</v>
      </c>
      <c r="B2381" s="1">
        <f>DATE(2014,8,24) + TIME(16,1,9)</f>
        <v>41875.66746527778</v>
      </c>
      <c r="C2381">
        <v>90</v>
      </c>
      <c r="D2381">
        <v>89.958259583</v>
      </c>
      <c r="E2381">
        <v>60</v>
      </c>
      <c r="F2381">
        <v>53.846611023000001</v>
      </c>
      <c r="G2381">
        <v>1376.6687012</v>
      </c>
      <c r="H2381">
        <v>1364.2906493999999</v>
      </c>
      <c r="I2381">
        <v>1291.2718506000001</v>
      </c>
      <c r="J2381">
        <v>1273.1834716999999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1578.341347</v>
      </c>
      <c r="B2382" s="1">
        <f>DATE(2014,8,26) + TIME(8,11,32)</f>
        <v>41877.34134259259</v>
      </c>
      <c r="C2382">
        <v>90</v>
      </c>
      <c r="D2382">
        <v>89.958274841000005</v>
      </c>
      <c r="E2382">
        <v>60</v>
      </c>
      <c r="F2382">
        <v>53.795761108000001</v>
      </c>
      <c r="G2382">
        <v>1376.6220702999999</v>
      </c>
      <c r="H2382">
        <v>1364.2520752</v>
      </c>
      <c r="I2382">
        <v>1291.1942139</v>
      </c>
      <c r="J2382">
        <v>1273.0570068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1580.0320549999999</v>
      </c>
      <c r="B2383" s="1">
        <f>DATE(2014,8,28) + TIME(0,46,9)</f>
        <v>41879.032048611109</v>
      </c>
      <c r="C2383">
        <v>90</v>
      </c>
      <c r="D2383">
        <v>89.958290099999999</v>
      </c>
      <c r="E2383">
        <v>60</v>
      </c>
      <c r="F2383">
        <v>53.746772765999999</v>
      </c>
      <c r="G2383">
        <v>1376.5755615</v>
      </c>
      <c r="H2383">
        <v>1364.2133789</v>
      </c>
      <c r="I2383">
        <v>1291.1163329999999</v>
      </c>
      <c r="J2383">
        <v>1272.9296875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1581.7434049999999</v>
      </c>
      <c r="B2384" s="1">
        <f>DATE(2014,8,29) + TIME(17,50,30)</f>
        <v>41880.743402777778</v>
      </c>
      <c r="C2384">
        <v>90</v>
      </c>
      <c r="D2384">
        <v>89.958297728999995</v>
      </c>
      <c r="E2384">
        <v>60</v>
      </c>
      <c r="F2384">
        <v>53.699821471999996</v>
      </c>
      <c r="G2384">
        <v>1376.5290527</v>
      </c>
      <c r="H2384">
        <v>1364.1745605000001</v>
      </c>
      <c r="I2384">
        <v>1291.0382079999999</v>
      </c>
      <c r="J2384">
        <v>1272.8015137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1583.4796080000001</v>
      </c>
      <c r="B2385" s="1">
        <f>DATE(2014,8,31) + TIME(11,30,38)</f>
        <v>41882.47960648148</v>
      </c>
      <c r="C2385">
        <v>90</v>
      </c>
      <c r="D2385">
        <v>89.958312988000003</v>
      </c>
      <c r="E2385">
        <v>60</v>
      </c>
      <c r="F2385">
        <v>53.655071259000003</v>
      </c>
      <c r="G2385">
        <v>1376.4822998</v>
      </c>
      <c r="H2385">
        <v>1364.1356201000001</v>
      </c>
      <c r="I2385">
        <v>1290.9597168</v>
      </c>
      <c r="J2385">
        <v>1272.6724853999999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1584</v>
      </c>
      <c r="B2386" s="1">
        <f>DATE(2014,9,1) + TIME(0,0,0)</f>
        <v>41883</v>
      </c>
      <c r="C2386">
        <v>90</v>
      </c>
      <c r="D2386">
        <v>89.958305358999993</v>
      </c>
      <c r="E2386">
        <v>60</v>
      </c>
      <c r="F2386">
        <v>53.631011962999999</v>
      </c>
      <c r="G2386">
        <v>1376.4355469</v>
      </c>
      <c r="H2386">
        <v>1364.0965576000001</v>
      </c>
      <c r="I2386">
        <v>1290.8898925999999</v>
      </c>
      <c r="J2386">
        <v>1272.5626221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1584.8784310000001</v>
      </c>
      <c r="B2387" s="1">
        <f>DATE(2014,9,1) + TIME(21,4,56)</f>
        <v>41883.878425925926</v>
      </c>
      <c r="C2387">
        <v>90</v>
      </c>
      <c r="D2387">
        <v>89.958312988000003</v>
      </c>
      <c r="E2387">
        <v>60</v>
      </c>
      <c r="F2387">
        <v>53.605545044000003</v>
      </c>
      <c r="G2387">
        <v>1376.4207764</v>
      </c>
      <c r="H2387">
        <v>1364.0841064000001</v>
      </c>
      <c r="I2387">
        <v>1290.8577881000001</v>
      </c>
      <c r="J2387">
        <v>1272.5057373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1586.635293</v>
      </c>
      <c r="B2388" s="1">
        <f>DATE(2014,9,3) + TIME(15,14,49)</f>
        <v>41885.635289351849</v>
      </c>
      <c r="C2388">
        <v>90</v>
      </c>
      <c r="D2388">
        <v>89.958335876000007</v>
      </c>
      <c r="E2388">
        <v>60</v>
      </c>
      <c r="F2388">
        <v>53.576679230000003</v>
      </c>
      <c r="G2388">
        <v>1376.3975829999999</v>
      </c>
      <c r="H2388">
        <v>1364.0645752</v>
      </c>
      <c r="I2388">
        <v>1290.8126221</v>
      </c>
      <c r="J2388">
        <v>1272.4281006000001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1588.3928880000001</v>
      </c>
      <c r="B2389" s="1">
        <f>DATE(2014,9,5) + TIME(9,25,45)</f>
        <v>41887.392881944441</v>
      </c>
      <c r="C2389">
        <v>90</v>
      </c>
      <c r="D2389">
        <v>89.958351135000001</v>
      </c>
      <c r="E2389">
        <v>60</v>
      </c>
      <c r="F2389">
        <v>53.543586730999998</v>
      </c>
      <c r="G2389">
        <v>1376.3508300999999</v>
      </c>
      <c r="H2389">
        <v>1364.0253906</v>
      </c>
      <c r="I2389">
        <v>1290.7380370999999</v>
      </c>
      <c r="J2389">
        <v>1272.3055420000001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1590.1631950000001</v>
      </c>
      <c r="B2390" s="1">
        <f>DATE(2014,9,7) + TIME(3,55,0)</f>
        <v>41889.163194444445</v>
      </c>
      <c r="C2390">
        <v>90</v>
      </c>
      <c r="D2390">
        <v>89.958366393999995</v>
      </c>
      <c r="E2390">
        <v>60</v>
      </c>
      <c r="F2390">
        <v>53.511695862000003</v>
      </c>
      <c r="G2390">
        <v>1376.3041992000001</v>
      </c>
      <c r="H2390">
        <v>1363.9863281</v>
      </c>
      <c r="I2390">
        <v>1290.6617432</v>
      </c>
      <c r="J2390">
        <v>1272.1791992000001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1591.9522059999999</v>
      </c>
      <c r="B2391" s="1">
        <f>DATE(2014,9,8) + TIME(22,51,10)</f>
        <v>41890.952199074076</v>
      </c>
      <c r="C2391">
        <v>90</v>
      </c>
      <c r="D2391">
        <v>89.958389281999999</v>
      </c>
      <c r="E2391">
        <v>60</v>
      </c>
      <c r="F2391">
        <v>53.482810974000003</v>
      </c>
      <c r="G2391">
        <v>1376.2576904</v>
      </c>
      <c r="H2391">
        <v>1363.9471435999999</v>
      </c>
      <c r="I2391">
        <v>1290.5852050999999</v>
      </c>
      <c r="J2391">
        <v>1272.0518798999999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1593.7743559999999</v>
      </c>
      <c r="B2392" s="1">
        <f>DATE(2014,9,10) + TIME(18,35,4)</f>
        <v>41892.774351851855</v>
      </c>
      <c r="C2392">
        <v>90</v>
      </c>
      <c r="D2392">
        <v>89.958404540999993</v>
      </c>
      <c r="E2392">
        <v>60</v>
      </c>
      <c r="F2392">
        <v>53.457664489999999</v>
      </c>
      <c r="G2392">
        <v>1376.2110596</v>
      </c>
      <c r="H2392">
        <v>1363.9077147999999</v>
      </c>
      <c r="I2392">
        <v>1290.5087891000001</v>
      </c>
      <c r="J2392">
        <v>1271.9244385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1595.635329</v>
      </c>
      <c r="B2393" s="1">
        <f>DATE(2014,9,12) + TIME(15,14,52)</f>
        <v>41894.635324074072</v>
      </c>
      <c r="C2393">
        <v>90</v>
      </c>
      <c r="D2393">
        <v>89.958419800000001</v>
      </c>
      <c r="E2393">
        <v>60</v>
      </c>
      <c r="F2393">
        <v>53.436733246000003</v>
      </c>
      <c r="G2393">
        <v>1376.1638184000001</v>
      </c>
      <c r="H2393">
        <v>1363.8679199000001</v>
      </c>
      <c r="I2393">
        <v>1290.4321289</v>
      </c>
      <c r="J2393">
        <v>1271.7965088000001</v>
      </c>
      <c r="K2393">
        <v>2400</v>
      </c>
      <c r="L2393">
        <v>0</v>
      </c>
      <c r="M2393">
        <v>0</v>
      </c>
      <c r="N2393">
        <v>2400</v>
      </c>
    </row>
    <row r="2394" spans="1:14" x14ac:dyDescent="0.25">
      <c r="A2394">
        <v>1597.5400910000001</v>
      </c>
      <c r="B2394" s="1">
        <f>DATE(2014,9,14) + TIME(12,57,43)</f>
        <v>41896.540081018517</v>
      </c>
      <c r="C2394">
        <v>90</v>
      </c>
      <c r="D2394">
        <v>89.958435058999996</v>
      </c>
      <c r="E2394">
        <v>60</v>
      </c>
      <c r="F2394">
        <v>53.420524596999996</v>
      </c>
      <c r="G2394">
        <v>1376.1160889</v>
      </c>
      <c r="H2394">
        <v>1363.8273925999999</v>
      </c>
      <c r="I2394">
        <v>1290.3554687999999</v>
      </c>
      <c r="J2394">
        <v>1271.6680908000001</v>
      </c>
      <c r="K2394">
        <v>2400</v>
      </c>
      <c r="L2394">
        <v>0</v>
      </c>
      <c r="M2394">
        <v>0</v>
      </c>
      <c r="N2394">
        <v>2400</v>
      </c>
    </row>
    <row r="2395" spans="1:14" x14ac:dyDescent="0.25">
      <c r="A2395">
        <v>1599.4584199999999</v>
      </c>
      <c r="B2395" s="1">
        <f>DATE(2014,9,16) + TIME(11,0,7)</f>
        <v>41898.458414351851</v>
      </c>
      <c r="C2395">
        <v>90</v>
      </c>
      <c r="D2395">
        <v>89.958457946999999</v>
      </c>
      <c r="E2395">
        <v>60</v>
      </c>
      <c r="F2395">
        <v>53.409702301000003</v>
      </c>
      <c r="G2395">
        <v>1376.0675048999999</v>
      </c>
      <c r="H2395">
        <v>1363.7862548999999</v>
      </c>
      <c r="I2395">
        <v>1290.2786865</v>
      </c>
      <c r="J2395">
        <v>1271.5394286999999</v>
      </c>
      <c r="K2395">
        <v>2400</v>
      </c>
      <c r="L2395">
        <v>0</v>
      </c>
      <c r="M2395">
        <v>0</v>
      </c>
      <c r="N2395">
        <v>2400</v>
      </c>
    </row>
    <row r="2396" spans="1:14" x14ac:dyDescent="0.25">
      <c r="A2396">
        <v>1601.3990369999999</v>
      </c>
      <c r="B2396" s="1">
        <f>DATE(2014,9,18) + TIME(9,34,36)</f>
        <v>41900.399027777778</v>
      </c>
      <c r="C2396">
        <v>90</v>
      </c>
      <c r="D2396">
        <v>89.958473205999994</v>
      </c>
      <c r="E2396">
        <v>60</v>
      </c>
      <c r="F2396">
        <v>53.404888153000002</v>
      </c>
      <c r="G2396">
        <v>1376.019043</v>
      </c>
      <c r="H2396">
        <v>1363.7449951000001</v>
      </c>
      <c r="I2396">
        <v>1290.2030029</v>
      </c>
      <c r="J2396">
        <v>1271.4124756000001</v>
      </c>
      <c r="K2396">
        <v>2400</v>
      </c>
      <c r="L2396">
        <v>0</v>
      </c>
      <c r="M2396">
        <v>0</v>
      </c>
      <c r="N2396">
        <v>2400</v>
      </c>
    </row>
    <row r="2397" spans="1:14" x14ac:dyDescent="0.25">
      <c r="A2397">
        <v>1603.366585</v>
      </c>
      <c r="B2397" s="1">
        <f>DATE(2014,9,20) + TIME(8,47,52)</f>
        <v>41902.366574074076</v>
      </c>
      <c r="C2397">
        <v>90</v>
      </c>
      <c r="D2397">
        <v>89.958496093999997</v>
      </c>
      <c r="E2397">
        <v>60</v>
      </c>
      <c r="F2397">
        <v>53.406639099000003</v>
      </c>
      <c r="G2397">
        <v>1375.9703368999999</v>
      </c>
      <c r="H2397">
        <v>1363.7034911999999</v>
      </c>
      <c r="I2397">
        <v>1290.1282959</v>
      </c>
      <c r="J2397">
        <v>1271.2869873</v>
      </c>
      <c r="K2397">
        <v>2400</v>
      </c>
      <c r="L2397">
        <v>0</v>
      </c>
      <c r="M2397">
        <v>0</v>
      </c>
      <c r="N2397">
        <v>2400</v>
      </c>
    </row>
    <row r="2398" spans="1:14" x14ac:dyDescent="0.25">
      <c r="A2398">
        <v>1605.3659399999999</v>
      </c>
      <c r="B2398" s="1">
        <f>DATE(2014,9,22) + TIME(8,46,57)</f>
        <v>41904.365937499999</v>
      </c>
      <c r="C2398">
        <v>90</v>
      </c>
      <c r="D2398">
        <v>89.958511353000006</v>
      </c>
      <c r="E2398">
        <v>60</v>
      </c>
      <c r="F2398">
        <v>53.415561676000003</v>
      </c>
      <c r="G2398">
        <v>1375.9212646000001</v>
      </c>
      <c r="H2398">
        <v>1363.6616211</v>
      </c>
      <c r="I2398">
        <v>1290.0546875</v>
      </c>
      <c r="J2398">
        <v>1271.1633300999999</v>
      </c>
      <c r="K2398">
        <v>2400</v>
      </c>
      <c r="L2398">
        <v>0</v>
      </c>
      <c r="M2398">
        <v>0</v>
      </c>
      <c r="N2398">
        <v>2400</v>
      </c>
    </row>
    <row r="2399" spans="1:14" x14ac:dyDescent="0.25">
      <c r="A2399">
        <v>1607.3930740000001</v>
      </c>
      <c r="B2399" s="1">
        <f>DATE(2014,9,24) + TIME(9,26,1)</f>
        <v>41906.393067129633</v>
      </c>
      <c r="C2399">
        <v>90</v>
      </c>
      <c r="D2399">
        <v>89.958534240999995</v>
      </c>
      <c r="E2399">
        <v>60</v>
      </c>
      <c r="F2399">
        <v>53.432304381999998</v>
      </c>
      <c r="G2399">
        <v>1375.8718262</v>
      </c>
      <c r="H2399">
        <v>1363.6193848</v>
      </c>
      <c r="I2399">
        <v>1289.9820557</v>
      </c>
      <c r="J2399">
        <v>1271.0415039</v>
      </c>
      <c r="K2399">
        <v>2400</v>
      </c>
      <c r="L2399">
        <v>0</v>
      </c>
      <c r="M2399">
        <v>0</v>
      </c>
      <c r="N2399">
        <v>2400</v>
      </c>
    </row>
    <row r="2400" spans="1:14" x14ac:dyDescent="0.25">
      <c r="A2400">
        <v>1609.4468119999999</v>
      </c>
      <c r="B2400" s="1">
        <f>DATE(2014,9,26) + TIME(10,43,24)</f>
        <v>41908.446805555555</v>
      </c>
      <c r="C2400">
        <v>90</v>
      </c>
      <c r="D2400">
        <v>89.958557128999999</v>
      </c>
      <c r="E2400">
        <v>60</v>
      </c>
      <c r="F2400">
        <v>53.457523346000002</v>
      </c>
      <c r="G2400">
        <v>1375.8221435999999</v>
      </c>
      <c r="H2400">
        <v>1363.5767822</v>
      </c>
      <c r="I2400">
        <v>1289.9108887</v>
      </c>
      <c r="J2400">
        <v>1270.9222411999999</v>
      </c>
      <c r="K2400">
        <v>2400</v>
      </c>
      <c r="L2400">
        <v>0</v>
      </c>
      <c r="M2400">
        <v>0</v>
      </c>
      <c r="N2400">
        <v>2400</v>
      </c>
    </row>
    <row r="2401" spans="1:14" x14ac:dyDescent="0.25">
      <c r="A2401">
        <v>1611.504138</v>
      </c>
      <c r="B2401" s="1">
        <f>DATE(2014,9,28) + TIME(12,5,57)</f>
        <v>41910.504131944443</v>
      </c>
      <c r="C2401">
        <v>90</v>
      </c>
      <c r="D2401">
        <v>89.958572387999993</v>
      </c>
      <c r="E2401">
        <v>60</v>
      </c>
      <c r="F2401">
        <v>53.491756439</v>
      </c>
      <c r="G2401">
        <v>1375.7720947</v>
      </c>
      <c r="H2401">
        <v>1363.5338135</v>
      </c>
      <c r="I2401">
        <v>1289.8413086</v>
      </c>
      <c r="J2401">
        <v>1270.8059082</v>
      </c>
      <c r="K2401">
        <v>2400</v>
      </c>
      <c r="L2401">
        <v>0</v>
      </c>
      <c r="M2401">
        <v>0</v>
      </c>
      <c r="N2401">
        <v>2400</v>
      </c>
    </row>
    <row r="2402" spans="1:14" x14ac:dyDescent="0.25">
      <c r="A2402">
        <v>1613.5723310000001</v>
      </c>
      <c r="B2402" s="1">
        <f>DATE(2014,9,30) + TIME(13,44,9)</f>
        <v>41912.572326388887</v>
      </c>
      <c r="C2402">
        <v>90</v>
      </c>
      <c r="D2402">
        <v>89.958595275999997</v>
      </c>
      <c r="E2402">
        <v>60</v>
      </c>
      <c r="F2402">
        <v>53.535327911000003</v>
      </c>
      <c r="G2402">
        <v>1375.7224120999999</v>
      </c>
      <c r="H2402">
        <v>1363.4910889</v>
      </c>
      <c r="I2402">
        <v>1289.7741699000001</v>
      </c>
      <c r="J2402">
        <v>1270.6939697</v>
      </c>
      <c r="K2402">
        <v>2400</v>
      </c>
      <c r="L2402">
        <v>0</v>
      </c>
      <c r="M2402">
        <v>0</v>
      </c>
      <c r="N2402">
        <v>2400</v>
      </c>
    </row>
    <row r="2403" spans="1:14" x14ac:dyDescent="0.25">
      <c r="A2403">
        <v>1614</v>
      </c>
      <c r="B2403" s="1">
        <f>DATE(2014,10,1) + TIME(0,0,0)</f>
        <v>41913</v>
      </c>
      <c r="C2403">
        <v>90</v>
      </c>
      <c r="D2403">
        <v>89.958587645999998</v>
      </c>
      <c r="E2403">
        <v>60</v>
      </c>
      <c r="F2403">
        <v>53.561244965</v>
      </c>
      <c r="G2403">
        <v>1375.6737060999999</v>
      </c>
      <c r="H2403">
        <v>1363.4492187999999</v>
      </c>
      <c r="I2403">
        <v>1289.7280272999999</v>
      </c>
      <c r="J2403">
        <v>1270.6092529</v>
      </c>
      <c r="K2403">
        <v>2400</v>
      </c>
      <c r="L2403">
        <v>0</v>
      </c>
      <c r="M2403">
        <v>0</v>
      </c>
      <c r="N2403">
        <v>2400</v>
      </c>
    </row>
    <row r="2404" spans="1:14" x14ac:dyDescent="0.25">
      <c r="A2404">
        <v>1616.085133</v>
      </c>
      <c r="B2404" s="1">
        <f>DATE(2014,10,3) + TIME(2,2,35)</f>
        <v>41915.085127314815</v>
      </c>
      <c r="C2404">
        <v>90</v>
      </c>
      <c r="D2404">
        <v>89.958618164000001</v>
      </c>
      <c r="E2404">
        <v>60</v>
      </c>
      <c r="F2404">
        <v>53.605792999000002</v>
      </c>
      <c r="G2404">
        <v>1375.6624756000001</v>
      </c>
      <c r="H2404">
        <v>1363.4393310999999</v>
      </c>
      <c r="I2404">
        <v>1289.6926269999999</v>
      </c>
      <c r="J2404">
        <v>1270.5601807</v>
      </c>
      <c r="K2404">
        <v>2400</v>
      </c>
      <c r="L2404">
        <v>0</v>
      </c>
      <c r="M2404">
        <v>0</v>
      </c>
      <c r="N2404">
        <v>2400</v>
      </c>
    </row>
    <row r="2405" spans="1:14" x14ac:dyDescent="0.25">
      <c r="A2405">
        <v>1618.1967770000001</v>
      </c>
      <c r="B2405" s="1">
        <f>DATE(2014,10,5) + TIME(4,43,21)</f>
        <v>41917.196770833332</v>
      </c>
      <c r="C2405">
        <v>90</v>
      </c>
      <c r="D2405">
        <v>89.958648682000003</v>
      </c>
      <c r="E2405">
        <v>60</v>
      </c>
      <c r="F2405">
        <v>53.668636321999998</v>
      </c>
      <c r="G2405">
        <v>1375.6131591999999</v>
      </c>
      <c r="H2405">
        <v>1363.3968506000001</v>
      </c>
      <c r="I2405">
        <v>1289.6335449000001</v>
      </c>
      <c r="J2405">
        <v>1270.4616699000001</v>
      </c>
      <c r="K2405">
        <v>2400</v>
      </c>
      <c r="L2405">
        <v>0</v>
      </c>
      <c r="M2405">
        <v>0</v>
      </c>
      <c r="N2405">
        <v>2400</v>
      </c>
    </row>
    <row r="2406" spans="1:14" x14ac:dyDescent="0.25">
      <c r="A2406">
        <v>1620.3280219999999</v>
      </c>
      <c r="B2406" s="1">
        <f>DATE(2014,10,7) + TIME(7,52,21)</f>
        <v>41919.328020833331</v>
      </c>
      <c r="C2406">
        <v>90</v>
      </c>
      <c r="D2406">
        <v>89.958671570000007</v>
      </c>
      <c r="E2406">
        <v>60</v>
      </c>
      <c r="F2406">
        <v>53.744655608999999</v>
      </c>
      <c r="G2406">
        <v>1375.5634766000001</v>
      </c>
      <c r="H2406">
        <v>1363.3538818</v>
      </c>
      <c r="I2406">
        <v>1289.574707</v>
      </c>
      <c r="J2406">
        <v>1270.3652344</v>
      </c>
      <c r="K2406">
        <v>2400</v>
      </c>
      <c r="L2406">
        <v>0</v>
      </c>
      <c r="M2406">
        <v>0</v>
      </c>
      <c r="N2406">
        <v>2400</v>
      </c>
    </row>
    <row r="2407" spans="1:14" x14ac:dyDescent="0.25">
      <c r="A2407">
        <v>1622.484455</v>
      </c>
      <c r="B2407" s="1">
        <f>DATE(2014,10,9) + TIME(11,37,36)</f>
        <v>41921.484444444446</v>
      </c>
      <c r="C2407">
        <v>90</v>
      </c>
      <c r="D2407">
        <v>89.958694457999997</v>
      </c>
      <c r="E2407">
        <v>60</v>
      </c>
      <c r="F2407">
        <v>53.832664489999999</v>
      </c>
      <c r="G2407">
        <v>1375.5136719</v>
      </c>
      <c r="H2407">
        <v>1363.3106689000001</v>
      </c>
      <c r="I2407">
        <v>1289.5177002</v>
      </c>
      <c r="J2407">
        <v>1270.2728271000001</v>
      </c>
      <c r="K2407">
        <v>2400</v>
      </c>
      <c r="L2407">
        <v>0</v>
      </c>
      <c r="M2407">
        <v>0</v>
      </c>
      <c r="N2407">
        <v>2400</v>
      </c>
    </row>
    <row r="2408" spans="1:14" x14ac:dyDescent="0.25">
      <c r="A2408">
        <v>1624.680599</v>
      </c>
      <c r="B2408" s="1">
        <f>DATE(2014,10,11) + TIME(16,20,3)</f>
        <v>41923.680590277778</v>
      </c>
      <c r="C2408">
        <v>90</v>
      </c>
      <c r="D2408">
        <v>89.958717346</v>
      </c>
      <c r="E2408">
        <v>60</v>
      </c>
      <c r="F2408">
        <v>53.932868958</v>
      </c>
      <c r="G2408">
        <v>1375.4637451000001</v>
      </c>
      <c r="H2408">
        <v>1363.2673339999999</v>
      </c>
      <c r="I2408">
        <v>1289.4630127</v>
      </c>
      <c r="J2408">
        <v>1270.1851807</v>
      </c>
      <c r="K2408">
        <v>2400</v>
      </c>
      <c r="L2408">
        <v>0</v>
      </c>
      <c r="M2408">
        <v>0</v>
      </c>
      <c r="N2408">
        <v>2400</v>
      </c>
    </row>
    <row r="2409" spans="1:14" x14ac:dyDescent="0.25">
      <c r="A2409">
        <v>1626.924242</v>
      </c>
      <c r="B2409" s="1">
        <f>DATE(2014,10,13) + TIME(22,10,54)</f>
        <v>41925.92423611111</v>
      </c>
      <c r="C2409">
        <v>90</v>
      </c>
      <c r="D2409">
        <v>89.958740234000004</v>
      </c>
      <c r="E2409">
        <v>60</v>
      </c>
      <c r="F2409">
        <v>54.046031952</v>
      </c>
      <c r="G2409">
        <v>1375.4132079999999</v>
      </c>
      <c r="H2409">
        <v>1363.2235106999999</v>
      </c>
      <c r="I2409">
        <v>1289.4105225000001</v>
      </c>
      <c r="J2409">
        <v>1270.1024170000001</v>
      </c>
      <c r="K2409">
        <v>2400</v>
      </c>
      <c r="L2409">
        <v>0</v>
      </c>
      <c r="M2409">
        <v>0</v>
      </c>
      <c r="N2409">
        <v>2400</v>
      </c>
    </row>
    <row r="2410" spans="1:14" x14ac:dyDescent="0.25">
      <c r="A2410">
        <v>1629.1993440000001</v>
      </c>
      <c r="B2410" s="1">
        <f>DATE(2014,10,16) + TIME(4,47,3)</f>
        <v>41928.199340277781</v>
      </c>
      <c r="C2410">
        <v>90</v>
      </c>
      <c r="D2410">
        <v>89.958763122999997</v>
      </c>
      <c r="E2410">
        <v>60</v>
      </c>
      <c r="F2410">
        <v>54.172706603999998</v>
      </c>
      <c r="G2410">
        <v>1375.3621826000001</v>
      </c>
      <c r="H2410">
        <v>1363.1790771000001</v>
      </c>
      <c r="I2410">
        <v>1289.3602295000001</v>
      </c>
      <c r="J2410">
        <v>1270.0245361</v>
      </c>
      <c r="K2410">
        <v>2400</v>
      </c>
      <c r="L2410">
        <v>0</v>
      </c>
      <c r="M2410">
        <v>0</v>
      </c>
      <c r="N2410">
        <v>2400</v>
      </c>
    </row>
    <row r="2411" spans="1:14" x14ac:dyDescent="0.25">
      <c r="A2411">
        <v>1631.5038320000001</v>
      </c>
      <c r="B2411" s="1">
        <f>DATE(2014,10,18) + TIME(12,5,31)</f>
        <v>41930.503831018519</v>
      </c>
      <c r="C2411">
        <v>90</v>
      </c>
      <c r="D2411">
        <v>89.958793639999996</v>
      </c>
      <c r="E2411">
        <v>60</v>
      </c>
      <c r="F2411">
        <v>54.312511444000002</v>
      </c>
      <c r="G2411">
        <v>1375.3109131000001</v>
      </c>
      <c r="H2411">
        <v>1363.1342772999999</v>
      </c>
      <c r="I2411">
        <v>1289.3126221</v>
      </c>
      <c r="J2411">
        <v>1269.9522704999999</v>
      </c>
      <c r="K2411">
        <v>2400</v>
      </c>
      <c r="L2411">
        <v>0</v>
      </c>
      <c r="M2411">
        <v>0</v>
      </c>
      <c r="N2411">
        <v>2400</v>
      </c>
    </row>
    <row r="2412" spans="1:14" x14ac:dyDescent="0.25">
      <c r="A2412">
        <v>1633.8365650000001</v>
      </c>
      <c r="B2412" s="1">
        <f>DATE(2014,10,20) + TIME(20,4,39)</f>
        <v>41932.836562500001</v>
      </c>
      <c r="C2412">
        <v>90</v>
      </c>
      <c r="D2412">
        <v>89.958816528</v>
      </c>
      <c r="E2412">
        <v>60</v>
      </c>
      <c r="F2412">
        <v>54.465267181000002</v>
      </c>
      <c r="G2412">
        <v>1375.2593993999999</v>
      </c>
      <c r="H2412">
        <v>1363.0893555</v>
      </c>
      <c r="I2412">
        <v>1289.2679443</v>
      </c>
      <c r="J2412">
        <v>1269.8862305</v>
      </c>
      <c r="K2412">
        <v>2400</v>
      </c>
      <c r="L2412">
        <v>0</v>
      </c>
      <c r="M2412">
        <v>0</v>
      </c>
      <c r="N2412">
        <v>2400</v>
      </c>
    </row>
    <row r="2413" spans="1:14" x14ac:dyDescent="0.25">
      <c r="A2413">
        <v>1636.210059</v>
      </c>
      <c r="B2413" s="1">
        <f>DATE(2014,10,23) + TIME(5,2,29)</f>
        <v>41935.210057870368</v>
      </c>
      <c r="C2413">
        <v>90</v>
      </c>
      <c r="D2413">
        <v>89.958847046000002</v>
      </c>
      <c r="E2413">
        <v>60</v>
      </c>
      <c r="F2413">
        <v>54.630916595000002</v>
      </c>
      <c r="G2413">
        <v>1375.2077637</v>
      </c>
      <c r="H2413">
        <v>1363.0443115</v>
      </c>
      <c r="I2413">
        <v>1289.2260742000001</v>
      </c>
      <c r="J2413">
        <v>1269.8262939000001</v>
      </c>
      <c r="K2413">
        <v>2400</v>
      </c>
      <c r="L2413">
        <v>0</v>
      </c>
      <c r="M2413">
        <v>0</v>
      </c>
      <c r="N2413">
        <v>2400</v>
      </c>
    </row>
    <row r="2414" spans="1:14" x14ac:dyDescent="0.25">
      <c r="A2414">
        <v>1638.6018919999999</v>
      </c>
      <c r="B2414" s="1">
        <f>DATE(2014,10,25) + TIME(14,26,43)</f>
        <v>41937.601886574077</v>
      </c>
      <c r="C2414">
        <v>90</v>
      </c>
      <c r="D2414">
        <v>89.958877563000001</v>
      </c>
      <c r="E2414">
        <v>60</v>
      </c>
      <c r="F2414">
        <v>54.809249878000003</v>
      </c>
      <c r="G2414">
        <v>1375.1558838000001</v>
      </c>
      <c r="H2414">
        <v>1362.9987793</v>
      </c>
      <c r="I2414">
        <v>1289.1871338000001</v>
      </c>
      <c r="J2414">
        <v>1269.7727050999999</v>
      </c>
      <c r="K2414">
        <v>2400</v>
      </c>
      <c r="L2414">
        <v>0</v>
      </c>
      <c r="M2414">
        <v>0</v>
      </c>
      <c r="N2414">
        <v>2400</v>
      </c>
    </row>
    <row r="2415" spans="1:14" x14ac:dyDescent="0.25">
      <c r="A2415">
        <v>1640.997723</v>
      </c>
      <c r="B2415" s="1">
        <f>DATE(2014,10,27) + TIME(23,56,43)</f>
        <v>41939.997719907406</v>
      </c>
      <c r="C2415">
        <v>90</v>
      </c>
      <c r="D2415">
        <v>89.958900451999995</v>
      </c>
      <c r="E2415">
        <v>60</v>
      </c>
      <c r="F2415">
        <v>54.998531342</v>
      </c>
      <c r="G2415">
        <v>1375.1040039</v>
      </c>
      <c r="H2415">
        <v>1362.9533690999999</v>
      </c>
      <c r="I2415">
        <v>1289.1513672000001</v>
      </c>
      <c r="J2415">
        <v>1269.7257079999999</v>
      </c>
      <c r="K2415">
        <v>2400</v>
      </c>
      <c r="L2415">
        <v>0</v>
      </c>
      <c r="M2415">
        <v>0</v>
      </c>
      <c r="N2415">
        <v>2400</v>
      </c>
    </row>
    <row r="2416" spans="1:14" x14ac:dyDescent="0.25">
      <c r="A2416">
        <v>1643.4043320000001</v>
      </c>
      <c r="B2416" s="1">
        <f>DATE(2014,10,30) + TIME(9,42,14)</f>
        <v>41942.404328703706</v>
      </c>
      <c r="C2416">
        <v>90</v>
      </c>
      <c r="D2416">
        <v>89.958930968999994</v>
      </c>
      <c r="E2416">
        <v>60</v>
      </c>
      <c r="F2416">
        <v>55.197174072000003</v>
      </c>
      <c r="G2416">
        <v>1375.0527344</v>
      </c>
      <c r="H2416">
        <v>1362.9084473</v>
      </c>
      <c r="I2416">
        <v>1289.1188964999999</v>
      </c>
      <c r="J2416">
        <v>1269.6854248</v>
      </c>
      <c r="K2416">
        <v>2400</v>
      </c>
      <c r="L2416">
        <v>0</v>
      </c>
      <c r="M2416">
        <v>0</v>
      </c>
      <c r="N2416">
        <v>2400</v>
      </c>
    </row>
    <row r="2417" spans="1:14" x14ac:dyDescent="0.25">
      <c r="A2417">
        <v>1645</v>
      </c>
      <c r="B2417" s="1">
        <f>DATE(2014,11,1) + TIME(0,0,0)</f>
        <v>41944</v>
      </c>
      <c r="C2417">
        <v>90</v>
      </c>
      <c r="D2417">
        <v>89.958946228000002</v>
      </c>
      <c r="E2417">
        <v>60</v>
      </c>
      <c r="F2417">
        <v>55.381759643999999</v>
      </c>
      <c r="G2417">
        <v>1375.0018310999999</v>
      </c>
      <c r="H2417">
        <v>1362.8637695</v>
      </c>
      <c r="I2417">
        <v>1289.0947266000001</v>
      </c>
      <c r="J2417">
        <v>1269.6536865</v>
      </c>
      <c r="K2417">
        <v>2400</v>
      </c>
      <c r="L2417">
        <v>0</v>
      </c>
      <c r="M2417">
        <v>0</v>
      </c>
      <c r="N2417">
        <v>2400</v>
      </c>
    </row>
    <row r="2418" spans="1:14" x14ac:dyDescent="0.25">
      <c r="A2418">
        <v>1645.0000010000001</v>
      </c>
      <c r="B2418" s="1">
        <f>DATE(2014,11,1) + TIME(0,0,0)</f>
        <v>41944</v>
      </c>
      <c r="C2418">
        <v>90</v>
      </c>
      <c r="D2418">
        <v>89.958816528</v>
      </c>
      <c r="E2418">
        <v>60</v>
      </c>
      <c r="F2418">
        <v>55.381889342999997</v>
      </c>
      <c r="G2418">
        <v>1361.9927978999999</v>
      </c>
      <c r="H2418">
        <v>1351.5206298999999</v>
      </c>
      <c r="I2418">
        <v>1309.4333495999999</v>
      </c>
      <c r="J2418">
        <v>1290.0603027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1645.000004</v>
      </c>
      <c r="B2419" s="1">
        <f>DATE(2014,11,1) + TIME(0,0,0)</f>
        <v>41944</v>
      </c>
      <c r="C2419">
        <v>90</v>
      </c>
      <c r="D2419">
        <v>89.958496093999997</v>
      </c>
      <c r="E2419">
        <v>60</v>
      </c>
      <c r="F2419">
        <v>55.382240295000003</v>
      </c>
      <c r="G2419">
        <v>1359.8325195</v>
      </c>
      <c r="H2419">
        <v>1349.3598632999999</v>
      </c>
      <c r="I2419">
        <v>1311.8052978999999</v>
      </c>
      <c r="J2419">
        <v>1292.6044922000001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1645.0000130000001</v>
      </c>
      <c r="B2420" s="1">
        <f>DATE(2014,11,1) + TIME(0,0,1)</f>
        <v>41944.000011574077</v>
      </c>
      <c r="C2420">
        <v>90</v>
      </c>
      <c r="D2420">
        <v>89.957878113000007</v>
      </c>
      <c r="E2420">
        <v>60</v>
      </c>
      <c r="F2420">
        <v>55.383014678999999</v>
      </c>
      <c r="G2420">
        <v>1355.6116943</v>
      </c>
      <c r="H2420">
        <v>1345.1387939000001</v>
      </c>
      <c r="I2420">
        <v>1317.1247559000001</v>
      </c>
      <c r="J2420">
        <v>1298.1805420000001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1645.0000399999999</v>
      </c>
      <c r="B2421" s="1">
        <f>DATE(2014,11,1) + TIME(0,0,3)</f>
        <v>41944.000034722223</v>
      </c>
      <c r="C2421">
        <v>90</v>
      </c>
      <c r="D2421">
        <v>89.957000731999997</v>
      </c>
      <c r="E2421">
        <v>60</v>
      </c>
      <c r="F2421">
        <v>55.384338378999999</v>
      </c>
      <c r="G2421">
        <v>1349.6668701000001</v>
      </c>
      <c r="H2421">
        <v>1339.1956786999999</v>
      </c>
      <c r="I2421">
        <v>1326.0003661999999</v>
      </c>
      <c r="J2421">
        <v>1307.1896973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1645.000121</v>
      </c>
      <c r="B2422" s="1">
        <f>DATE(2014,11,1) + TIME(0,0,10)</f>
        <v>41944.000115740739</v>
      </c>
      <c r="C2422">
        <v>90</v>
      </c>
      <c r="D2422">
        <v>89.956031799000002</v>
      </c>
      <c r="E2422">
        <v>60</v>
      </c>
      <c r="F2422">
        <v>55.386219025000003</v>
      </c>
      <c r="G2422">
        <v>1343.1865233999999</v>
      </c>
      <c r="H2422">
        <v>1332.7189940999999</v>
      </c>
      <c r="I2422">
        <v>1336.8961182</v>
      </c>
      <c r="J2422">
        <v>1318.0458983999999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1645.000364</v>
      </c>
      <c r="B2423" s="1">
        <f>DATE(2014,11,1) + TIME(0,0,31)</f>
        <v>41944.000358796293</v>
      </c>
      <c r="C2423">
        <v>90</v>
      </c>
      <c r="D2423">
        <v>89.955032349000007</v>
      </c>
      <c r="E2423">
        <v>60</v>
      </c>
      <c r="F2423">
        <v>55.389118195000002</v>
      </c>
      <c r="G2423">
        <v>1336.6936035000001</v>
      </c>
      <c r="H2423">
        <v>1326.2261963000001</v>
      </c>
      <c r="I2423">
        <v>1348.2462158000001</v>
      </c>
      <c r="J2423">
        <v>1329.3270264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1645.0010930000001</v>
      </c>
      <c r="B2424" s="1">
        <f>DATE(2014,11,1) + TIME(0,1,34)</f>
        <v>41944.001087962963</v>
      </c>
      <c r="C2424">
        <v>90</v>
      </c>
      <c r="D2424">
        <v>89.953926085999996</v>
      </c>
      <c r="E2424">
        <v>60</v>
      </c>
      <c r="F2424">
        <v>55.394947051999999</v>
      </c>
      <c r="G2424">
        <v>1330.1221923999999</v>
      </c>
      <c r="H2424">
        <v>1319.6043701000001</v>
      </c>
      <c r="I2424">
        <v>1359.7941894999999</v>
      </c>
      <c r="J2424">
        <v>1340.7800293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1645.0032799999999</v>
      </c>
      <c r="B2425" s="1">
        <f>DATE(2014,11,1) + TIME(0,4,43)</f>
        <v>41944.003275462965</v>
      </c>
      <c r="C2425">
        <v>90</v>
      </c>
      <c r="D2425">
        <v>89.95249939</v>
      </c>
      <c r="E2425">
        <v>60</v>
      </c>
      <c r="F2425">
        <v>55.409557343000003</v>
      </c>
      <c r="G2425">
        <v>1323.2342529</v>
      </c>
      <c r="H2425">
        <v>1312.5496826000001</v>
      </c>
      <c r="I2425">
        <v>1371.5250243999999</v>
      </c>
      <c r="J2425">
        <v>1352.3371582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1645.0098410000001</v>
      </c>
      <c r="B2426" s="1">
        <f>DATE(2014,11,1) + TIME(0,14,10)</f>
        <v>41944.009837962964</v>
      </c>
      <c r="C2426">
        <v>90</v>
      </c>
      <c r="D2426">
        <v>89.950202942000004</v>
      </c>
      <c r="E2426">
        <v>60</v>
      </c>
      <c r="F2426">
        <v>55.450412749999998</v>
      </c>
      <c r="G2426">
        <v>1316.331543</v>
      </c>
      <c r="H2426">
        <v>1305.4564209</v>
      </c>
      <c r="I2426">
        <v>1382.3892822</v>
      </c>
      <c r="J2426">
        <v>1362.9831543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1645.029524</v>
      </c>
      <c r="B2427" s="1">
        <f>DATE(2014,11,1) + TIME(0,42,30)</f>
        <v>41944.029513888891</v>
      </c>
      <c r="C2427">
        <v>90</v>
      </c>
      <c r="D2427">
        <v>89.945602417000003</v>
      </c>
      <c r="E2427">
        <v>60</v>
      </c>
      <c r="F2427">
        <v>55.567726135000001</v>
      </c>
      <c r="G2427">
        <v>1310.8198242000001</v>
      </c>
      <c r="H2427">
        <v>1299.8507079999999</v>
      </c>
      <c r="I2427">
        <v>1390.0516356999999</v>
      </c>
      <c r="J2427">
        <v>1370.5173339999999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1645.074662</v>
      </c>
      <c r="B2428" s="1">
        <f>DATE(2014,11,1) + TIME(1,47,30)</f>
        <v>41944.074652777781</v>
      </c>
      <c r="C2428">
        <v>90</v>
      </c>
      <c r="D2428">
        <v>89.936813353999995</v>
      </c>
      <c r="E2428">
        <v>60</v>
      </c>
      <c r="F2428">
        <v>55.820117949999997</v>
      </c>
      <c r="G2428">
        <v>1308.2424315999999</v>
      </c>
      <c r="H2428">
        <v>1297.2482910000001</v>
      </c>
      <c r="I2428">
        <v>1392.9147949000001</v>
      </c>
      <c r="J2428">
        <v>1373.4163818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1645.12167</v>
      </c>
      <c r="B2429" s="1">
        <f>DATE(2014,11,1) + TIME(2,55,12)</f>
        <v>41944.121666666666</v>
      </c>
      <c r="C2429">
        <v>90</v>
      </c>
      <c r="D2429">
        <v>89.928085327000005</v>
      </c>
      <c r="E2429">
        <v>60</v>
      </c>
      <c r="F2429">
        <v>56.066944122000002</v>
      </c>
      <c r="G2429">
        <v>1307.5980225000001</v>
      </c>
      <c r="H2429">
        <v>1296.598999</v>
      </c>
      <c r="I2429">
        <v>1393.3189697</v>
      </c>
      <c r="J2429">
        <v>1373.9022216999999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1645.170443</v>
      </c>
      <c r="B2430" s="1">
        <f>DATE(2014,11,1) + TIME(4,5,26)</f>
        <v>41944.170439814814</v>
      </c>
      <c r="C2430">
        <v>90</v>
      </c>
      <c r="D2430">
        <v>89.919258118000002</v>
      </c>
      <c r="E2430">
        <v>60</v>
      </c>
      <c r="F2430">
        <v>56.307006835999999</v>
      </c>
      <c r="G2430">
        <v>1307.4205322</v>
      </c>
      <c r="H2430">
        <v>1296.4201660000001</v>
      </c>
      <c r="I2430">
        <v>1393.2333983999999</v>
      </c>
      <c r="J2430">
        <v>1373.90625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1645.2210849999999</v>
      </c>
      <c r="B2431" s="1">
        <f>DATE(2014,11,1) + TIME(5,18,21)</f>
        <v>41944.221076388887</v>
      </c>
      <c r="C2431">
        <v>90</v>
      </c>
      <c r="D2431">
        <v>89.910255432</v>
      </c>
      <c r="E2431">
        <v>60</v>
      </c>
      <c r="F2431">
        <v>56.540157317999999</v>
      </c>
      <c r="G2431">
        <v>1307.3662108999999</v>
      </c>
      <c r="H2431">
        <v>1296.3652344</v>
      </c>
      <c r="I2431">
        <v>1393.0583495999999</v>
      </c>
      <c r="J2431">
        <v>1373.8203125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1645.2737649999999</v>
      </c>
      <c r="B2432" s="1">
        <f>DATE(2014,11,1) + TIME(6,34,13)</f>
        <v>41944.273761574077</v>
      </c>
      <c r="C2432">
        <v>90</v>
      </c>
      <c r="D2432">
        <v>89.901062011999997</v>
      </c>
      <c r="E2432">
        <v>60</v>
      </c>
      <c r="F2432">
        <v>56.766445160000004</v>
      </c>
      <c r="G2432">
        <v>1307.3472899999999</v>
      </c>
      <c r="H2432">
        <v>1296.3458252</v>
      </c>
      <c r="I2432">
        <v>1392.8743896000001</v>
      </c>
      <c r="J2432">
        <v>1373.7230225000001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1645.3286780000001</v>
      </c>
      <c r="B2433" s="1">
        <f>DATE(2014,11,1) + TIME(7,53,17)</f>
        <v>41944.328668981485</v>
      </c>
      <c r="C2433">
        <v>90</v>
      </c>
      <c r="D2433">
        <v>89.891639709000003</v>
      </c>
      <c r="E2433">
        <v>60</v>
      </c>
      <c r="F2433">
        <v>56.985935210999997</v>
      </c>
      <c r="G2433">
        <v>1307.3392334</v>
      </c>
      <c r="H2433">
        <v>1296.3375243999999</v>
      </c>
      <c r="I2433">
        <v>1392.6953125</v>
      </c>
      <c r="J2433">
        <v>1373.6280518000001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1645.3860529999999</v>
      </c>
      <c r="B2434" s="1">
        <f>DATE(2014,11,1) + TIME(9,15,54)</f>
        <v>41944.386041666665</v>
      </c>
      <c r="C2434">
        <v>90</v>
      </c>
      <c r="D2434">
        <v>89.881973267000006</v>
      </c>
      <c r="E2434">
        <v>60</v>
      </c>
      <c r="F2434">
        <v>57.198692321999999</v>
      </c>
      <c r="G2434">
        <v>1307.3348389</v>
      </c>
      <c r="H2434">
        <v>1296.3327637</v>
      </c>
      <c r="I2434">
        <v>1392.5220947</v>
      </c>
      <c r="J2434">
        <v>1373.5362548999999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1645.4461650000001</v>
      </c>
      <c r="B2435" s="1">
        <f>DATE(2014,11,1) + TIME(10,42,28)</f>
        <v>41944.446157407408</v>
      </c>
      <c r="C2435">
        <v>90</v>
      </c>
      <c r="D2435">
        <v>89.872016907000003</v>
      </c>
      <c r="E2435">
        <v>60</v>
      </c>
      <c r="F2435">
        <v>57.404808043999999</v>
      </c>
      <c r="G2435">
        <v>1307.3317870999999</v>
      </c>
      <c r="H2435">
        <v>1296.3292236</v>
      </c>
      <c r="I2435">
        <v>1392.3540039</v>
      </c>
      <c r="J2435">
        <v>1373.4471435999999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1645.509325</v>
      </c>
      <c r="B2436" s="1">
        <f>DATE(2014,11,1) + TIME(12,13,25)</f>
        <v>41944.509317129632</v>
      </c>
      <c r="C2436">
        <v>90</v>
      </c>
      <c r="D2436">
        <v>89.861740112000007</v>
      </c>
      <c r="E2436">
        <v>60</v>
      </c>
      <c r="F2436">
        <v>57.604320526000002</v>
      </c>
      <c r="G2436">
        <v>1307.3289795000001</v>
      </c>
      <c r="H2436">
        <v>1296.3261719</v>
      </c>
      <c r="I2436">
        <v>1392.1903076000001</v>
      </c>
      <c r="J2436">
        <v>1373.3602295000001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1645.5759</v>
      </c>
      <c r="B2437" s="1">
        <f>DATE(2014,11,1) + TIME(13,49,17)</f>
        <v>41944.575891203705</v>
      </c>
      <c r="C2437">
        <v>90</v>
      </c>
      <c r="D2437">
        <v>89.851104735999996</v>
      </c>
      <c r="E2437">
        <v>60</v>
      </c>
      <c r="F2437">
        <v>57.797252655000001</v>
      </c>
      <c r="G2437">
        <v>1307.3262939000001</v>
      </c>
      <c r="H2437">
        <v>1296.3231201000001</v>
      </c>
      <c r="I2437">
        <v>1392.0307617000001</v>
      </c>
      <c r="J2437">
        <v>1373.2749022999999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1645.6463189999999</v>
      </c>
      <c r="B2438" s="1">
        <f>DATE(2014,11,1) + TIME(15,30,41)</f>
        <v>41944.646307870367</v>
      </c>
      <c r="C2438">
        <v>90</v>
      </c>
      <c r="D2438">
        <v>89.840057372999993</v>
      </c>
      <c r="E2438">
        <v>60</v>
      </c>
      <c r="F2438">
        <v>57.983619689999998</v>
      </c>
      <c r="G2438">
        <v>1307.3236084</v>
      </c>
      <c r="H2438">
        <v>1296.3199463000001</v>
      </c>
      <c r="I2438">
        <v>1391.875</v>
      </c>
      <c r="J2438">
        <v>1373.1911620999999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1645.7210970000001</v>
      </c>
      <c r="B2439" s="1">
        <f>DATE(2014,11,1) + TIME(17,18,22)</f>
        <v>41944.721087962964</v>
      </c>
      <c r="C2439">
        <v>90</v>
      </c>
      <c r="D2439">
        <v>89.828544617000006</v>
      </c>
      <c r="E2439">
        <v>60</v>
      </c>
      <c r="F2439">
        <v>58.163398743000002</v>
      </c>
      <c r="G2439">
        <v>1307.3206786999999</v>
      </c>
      <c r="H2439">
        <v>1296.3166504000001</v>
      </c>
      <c r="I2439">
        <v>1391.7227783000001</v>
      </c>
      <c r="J2439">
        <v>1373.1086425999999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1645.800851</v>
      </c>
      <c r="B2440" s="1">
        <f>DATE(2014,11,1) + TIME(19,13,13)</f>
        <v>41944.800844907404</v>
      </c>
      <c r="C2440">
        <v>90</v>
      </c>
      <c r="D2440">
        <v>89.816497803000004</v>
      </c>
      <c r="E2440">
        <v>60</v>
      </c>
      <c r="F2440">
        <v>58.33656311</v>
      </c>
      <c r="G2440">
        <v>1307.317749</v>
      </c>
      <c r="H2440">
        <v>1296.3132324000001</v>
      </c>
      <c r="I2440">
        <v>1391.5738524999999</v>
      </c>
      <c r="J2440">
        <v>1373.0273437999999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1645.886336</v>
      </c>
      <c r="B2441" s="1">
        <f>DATE(2014,11,1) + TIME(21,16,19)</f>
        <v>41944.886331018519</v>
      </c>
      <c r="C2441">
        <v>90</v>
      </c>
      <c r="D2441">
        <v>89.803833007999998</v>
      </c>
      <c r="E2441">
        <v>60</v>
      </c>
      <c r="F2441">
        <v>58.503051757999998</v>
      </c>
      <c r="G2441">
        <v>1307.3144531</v>
      </c>
      <c r="H2441">
        <v>1296.3095702999999</v>
      </c>
      <c r="I2441">
        <v>1391.4279785000001</v>
      </c>
      <c r="J2441">
        <v>1372.9471435999999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1645.9784830000001</v>
      </c>
      <c r="B2442" s="1">
        <f>DATE(2014,11,1) + TIME(23,29,0)</f>
        <v>41944.978472222225</v>
      </c>
      <c r="C2442">
        <v>90</v>
      </c>
      <c r="D2442">
        <v>89.790451050000001</v>
      </c>
      <c r="E2442">
        <v>60</v>
      </c>
      <c r="F2442">
        <v>58.662765503000003</v>
      </c>
      <c r="G2442">
        <v>1307.3110352000001</v>
      </c>
      <c r="H2442">
        <v>1296.3055420000001</v>
      </c>
      <c r="I2442">
        <v>1391.2850341999999</v>
      </c>
      <c r="J2442">
        <v>1372.8677978999999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1646.07846</v>
      </c>
      <c r="B2443" s="1">
        <f>DATE(2014,11,2) + TIME(1,52,58)</f>
        <v>41945.078449074077</v>
      </c>
      <c r="C2443">
        <v>90</v>
      </c>
      <c r="D2443">
        <v>89.776222228999998</v>
      </c>
      <c r="E2443">
        <v>60</v>
      </c>
      <c r="F2443">
        <v>58.815589905000003</v>
      </c>
      <c r="G2443">
        <v>1307.3073730000001</v>
      </c>
      <c r="H2443">
        <v>1296.3012695</v>
      </c>
      <c r="I2443">
        <v>1391.1447754000001</v>
      </c>
      <c r="J2443">
        <v>1372.7890625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1646.187797</v>
      </c>
      <c r="B2444" s="1">
        <f>DATE(2014,11,2) + TIME(4,30,25)</f>
        <v>41945.187789351854</v>
      </c>
      <c r="C2444">
        <v>90</v>
      </c>
      <c r="D2444">
        <v>89.761001586999996</v>
      </c>
      <c r="E2444">
        <v>60</v>
      </c>
      <c r="F2444">
        <v>58.961406707999998</v>
      </c>
      <c r="G2444">
        <v>1307.3033447</v>
      </c>
      <c r="H2444">
        <v>1296.2967529</v>
      </c>
      <c r="I2444">
        <v>1391.0068358999999</v>
      </c>
      <c r="J2444">
        <v>1372.7109375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1646.3084200000001</v>
      </c>
      <c r="B2445" s="1">
        <f>DATE(2014,11,2) + TIME(7,24,7)</f>
        <v>41945.30841435185</v>
      </c>
      <c r="C2445">
        <v>90</v>
      </c>
      <c r="D2445">
        <v>89.744583129999995</v>
      </c>
      <c r="E2445">
        <v>60</v>
      </c>
      <c r="F2445">
        <v>59.099960326999998</v>
      </c>
      <c r="G2445">
        <v>1307.2989502</v>
      </c>
      <c r="H2445">
        <v>1296.2917480000001</v>
      </c>
      <c r="I2445">
        <v>1390.8710937999999</v>
      </c>
      <c r="J2445">
        <v>1372.6330565999999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1646.4429050000001</v>
      </c>
      <c r="B2446" s="1">
        <f>DATE(2014,11,2) + TIME(10,37,46)</f>
        <v>41945.442893518521</v>
      </c>
      <c r="C2446">
        <v>90</v>
      </c>
      <c r="D2446">
        <v>89.726707458000007</v>
      </c>
      <c r="E2446">
        <v>60</v>
      </c>
      <c r="F2446">
        <v>59.230964661000002</v>
      </c>
      <c r="G2446">
        <v>1307.2941894999999</v>
      </c>
      <c r="H2446">
        <v>1296.2862548999999</v>
      </c>
      <c r="I2446">
        <v>1390.7371826000001</v>
      </c>
      <c r="J2446">
        <v>1372.5552978999999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1646.594797</v>
      </c>
      <c r="B2447" s="1">
        <f>DATE(2014,11,2) + TIME(14,16,30)</f>
        <v>41945.59479166667</v>
      </c>
      <c r="C2447">
        <v>90</v>
      </c>
      <c r="D2447">
        <v>89.707038878999995</v>
      </c>
      <c r="E2447">
        <v>60</v>
      </c>
      <c r="F2447">
        <v>59.354064940999997</v>
      </c>
      <c r="G2447">
        <v>1307.2889404</v>
      </c>
      <c r="H2447">
        <v>1296.2802733999999</v>
      </c>
      <c r="I2447">
        <v>1390.6047363</v>
      </c>
      <c r="J2447">
        <v>1372.4772949000001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1646.7691139999999</v>
      </c>
      <c r="B2448" s="1">
        <f>DATE(2014,11,2) + TIME(18,27,31)</f>
        <v>41945.769108796296</v>
      </c>
      <c r="C2448">
        <v>90</v>
      </c>
      <c r="D2448">
        <v>89.685096740999995</v>
      </c>
      <c r="E2448">
        <v>60</v>
      </c>
      <c r="F2448">
        <v>59.468795776</v>
      </c>
      <c r="G2448">
        <v>1307.2829589999999</v>
      </c>
      <c r="H2448">
        <v>1296.2734375</v>
      </c>
      <c r="I2448">
        <v>1390.4733887</v>
      </c>
      <c r="J2448">
        <v>1372.3985596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1646.9480390000001</v>
      </c>
      <c r="B2449" s="1">
        <f>DATE(2014,11,2) + TIME(22,45,10)</f>
        <v>41945.94803240741</v>
      </c>
      <c r="C2449">
        <v>90</v>
      </c>
      <c r="D2449">
        <v>89.662734985</v>
      </c>
      <c r="E2449">
        <v>60</v>
      </c>
      <c r="F2449">
        <v>59.564006804999998</v>
      </c>
      <c r="G2449">
        <v>1307.2762451000001</v>
      </c>
      <c r="H2449">
        <v>1296.2657471</v>
      </c>
      <c r="I2449">
        <v>1390.354126</v>
      </c>
      <c r="J2449">
        <v>1372.3251952999999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1647.128768</v>
      </c>
      <c r="B2450" s="1">
        <f>DATE(2014,11,3) + TIME(3,5,25)</f>
        <v>41946.128761574073</v>
      </c>
      <c r="C2450">
        <v>90</v>
      </c>
      <c r="D2450">
        <v>89.640251160000005</v>
      </c>
      <c r="E2450">
        <v>60</v>
      </c>
      <c r="F2450">
        <v>59.641639709000003</v>
      </c>
      <c r="G2450">
        <v>1307.2691649999999</v>
      </c>
      <c r="H2450">
        <v>1296.2579346</v>
      </c>
      <c r="I2450">
        <v>1390.2479248</v>
      </c>
      <c r="J2450">
        <v>1372.2584228999999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1647.3129819999999</v>
      </c>
      <c r="B2451" s="1">
        <f>DATE(2014,11,3) + TIME(7,30,41)</f>
        <v>41946.312974537039</v>
      </c>
      <c r="C2451">
        <v>90</v>
      </c>
      <c r="D2451">
        <v>89.617477417000003</v>
      </c>
      <c r="E2451">
        <v>60</v>
      </c>
      <c r="F2451">
        <v>59.705307007000002</v>
      </c>
      <c r="G2451">
        <v>1307.262207</v>
      </c>
      <c r="H2451">
        <v>1296.25</v>
      </c>
      <c r="I2451">
        <v>1390.1523437999999</v>
      </c>
      <c r="J2451">
        <v>1372.1975098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1647.5019870000001</v>
      </c>
      <c r="B2452" s="1">
        <f>DATE(2014,11,3) + TIME(12,2,51)</f>
        <v>41946.501979166664</v>
      </c>
      <c r="C2452">
        <v>90</v>
      </c>
      <c r="D2452">
        <v>89.594299316000004</v>
      </c>
      <c r="E2452">
        <v>60</v>
      </c>
      <c r="F2452">
        <v>59.757621765000003</v>
      </c>
      <c r="G2452">
        <v>1307.2551269999999</v>
      </c>
      <c r="H2452">
        <v>1296.2420654</v>
      </c>
      <c r="I2452">
        <v>1390.0654297000001</v>
      </c>
      <c r="J2452">
        <v>1372.1411132999999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1647.697132</v>
      </c>
      <c r="B2453" s="1">
        <f>DATE(2014,11,3) + TIME(16,43,52)</f>
        <v>41946.697129629632</v>
      </c>
      <c r="C2453">
        <v>90</v>
      </c>
      <c r="D2453">
        <v>89.570587157999995</v>
      </c>
      <c r="E2453">
        <v>60</v>
      </c>
      <c r="F2453">
        <v>59.800628662000001</v>
      </c>
      <c r="G2453">
        <v>1307.2478027</v>
      </c>
      <c r="H2453">
        <v>1296.2337646000001</v>
      </c>
      <c r="I2453">
        <v>1389.9857178</v>
      </c>
      <c r="J2453">
        <v>1372.088501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1647.899848</v>
      </c>
      <c r="B2454" s="1">
        <f>DATE(2014,11,3) + TIME(21,35,46)</f>
        <v>41946.899837962963</v>
      </c>
      <c r="C2454">
        <v>90</v>
      </c>
      <c r="D2454">
        <v>89.546188353999995</v>
      </c>
      <c r="E2454">
        <v>60</v>
      </c>
      <c r="F2454">
        <v>59.835933685000001</v>
      </c>
      <c r="G2454">
        <v>1307.2403564000001</v>
      </c>
      <c r="H2454">
        <v>1296.2253418</v>
      </c>
      <c r="I2454">
        <v>1389.9118652</v>
      </c>
      <c r="J2454">
        <v>1372.0390625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1648.111717</v>
      </c>
      <c r="B2455" s="1">
        <f>DATE(2014,11,4) + TIME(2,40,52)</f>
        <v>41947.111712962964</v>
      </c>
      <c r="C2455">
        <v>90</v>
      </c>
      <c r="D2455">
        <v>89.520965575999995</v>
      </c>
      <c r="E2455">
        <v>60</v>
      </c>
      <c r="F2455">
        <v>59.864841460999997</v>
      </c>
      <c r="G2455">
        <v>1307.2326660000001</v>
      </c>
      <c r="H2455">
        <v>1296.2165527</v>
      </c>
      <c r="I2455">
        <v>1389.8428954999999</v>
      </c>
      <c r="J2455">
        <v>1371.9921875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1648.3345420000001</v>
      </c>
      <c r="B2456" s="1">
        <f>DATE(2014,11,4) + TIME(8,1,44)</f>
        <v>41947.334537037037</v>
      </c>
      <c r="C2456">
        <v>90</v>
      </c>
      <c r="D2456">
        <v>89.494743346999996</v>
      </c>
      <c r="E2456">
        <v>60</v>
      </c>
      <c r="F2456">
        <v>59.888412475999999</v>
      </c>
      <c r="G2456">
        <v>1307.2246094</v>
      </c>
      <c r="H2456">
        <v>1296.2075195</v>
      </c>
      <c r="I2456">
        <v>1389.777832</v>
      </c>
      <c r="J2456">
        <v>1371.9473877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1648.5704310000001</v>
      </c>
      <c r="B2457" s="1">
        <f>DATE(2014,11,4) + TIME(13,41,25)</f>
        <v>41947.570428240739</v>
      </c>
      <c r="C2457">
        <v>90</v>
      </c>
      <c r="D2457">
        <v>89.467330933</v>
      </c>
      <c r="E2457">
        <v>60</v>
      </c>
      <c r="F2457">
        <v>59.907524109000001</v>
      </c>
      <c r="G2457">
        <v>1307.2161865</v>
      </c>
      <c r="H2457">
        <v>1296.197876</v>
      </c>
      <c r="I2457">
        <v>1389.7158202999999</v>
      </c>
      <c r="J2457">
        <v>1371.9040527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1648.8202699999999</v>
      </c>
      <c r="B2458" s="1">
        <f>DATE(2014,11,4) + TIME(19,41,11)</f>
        <v>41947.8202662037</v>
      </c>
      <c r="C2458">
        <v>90</v>
      </c>
      <c r="D2458">
        <v>89.438644409000005</v>
      </c>
      <c r="E2458">
        <v>60</v>
      </c>
      <c r="F2458">
        <v>59.922828674000002</v>
      </c>
      <c r="G2458">
        <v>1307.2072754000001</v>
      </c>
      <c r="H2458">
        <v>1296.1877440999999</v>
      </c>
      <c r="I2458">
        <v>1389.65625</v>
      </c>
      <c r="J2458">
        <v>1371.8619385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1649.083695</v>
      </c>
      <c r="B2459" s="1">
        <f>DATE(2014,11,5) + TIME(2,0,31)</f>
        <v>41948.083692129629</v>
      </c>
      <c r="C2459">
        <v>90</v>
      </c>
      <c r="D2459">
        <v>89.408699036000002</v>
      </c>
      <c r="E2459">
        <v>60</v>
      </c>
      <c r="F2459">
        <v>59.934890746999997</v>
      </c>
      <c r="G2459">
        <v>1307.197876</v>
      </c>
      <c r="H2459">
        <v>1296.177124</v>
      </c>
      <c r="I2459">
        <v>1389.598999</v>
      </c>
      <c r="J2459">
        <v>1371.8209228999999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1649.3632359999999</v>
      </c>
      <c r="B2460" s="1">
        <f>DATE(2014,11,5) + TIME(8,43,3)</f>
        <v>41948.363229166665</v>
      </c>
      <c r="C2460">
        <v>90</v>
      </c>
      <c r="D2460">
        <v>89.377281189000001</v>
      </c>
      <c r="E2460">
        <v>60</v>
      </c>
      <c r="F2460">
        <v>59.944328308000003</v>
      </c>
      <c r="G2460">
        <v>1307.1879882999999</v>
      </c>
      <c r="H2460">
        <v>1296.1658935999999</v>
      </c>
      <c r="I2460">
        <v>1389.5435791</v>
      </c>
      <c r="J2460">
        <v>1371.7810059000001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1649.6617220000001</v>
      </c>
      <c r="B2461" s="1">
        <f>DATE(2014,11,5) + TIME(15,52,52)</f>
        <v>41948.661712962959</v>
      </c>
      <c r="C2461">
        <v>90</v>
      </c>
      <c r="D2461">
        <v>89.344154357999997</v>
      </c>
      <c r="E2461">
        <v>60</v>
      </c>
      <c r="F2461">
        <v>59.951641082999998</v>
      </c>
      <c r="G2461">
        <v>1307.1776123</v>
      </c>
      <c r="H2461">
        <v>1296.1539307</v>
      </c>
      <c r="I2461">
        <v>1389.489624</v>
      </c>
      <c r="J2461">
        <v>1371.7415771000001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1649.9826419999999</v>
      </c>
      <c r="B2462" s="1">
        <f>DATE(2014,11,5) + TIME(23,35,0)</f>
        <v>41948.982638888891</v>
      </c>
      <c r="C2462">
        <v>90</v>
      </c>
      <c r="D2462">
        <v>89.309028624999996</v>
      </c>
      <c r="E2462">
        <v>60</v>
      </c>
      <c r="F2462">
        <v>59.957248688</v>
      </c>
      <c r="G2462">
        <v>1307.1663818</v>
      </c>
      <c r="H2462">
        <v>1296.1412353999999</v>
      </c>
      <c r="I2462">
        <v>1389.4362793</v>
      </c>
      <c r="J2462">
        <v>1371.7026367000001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1650.3305009999999</v>
      </c>
      <c r="B2463" s="1">
        <f>DATE(2014,11,6) + TIME(7,55,55)</f>
        <v>41949.330497685187</v>
      </c>
      <c r="C2463">
        <v>90</v>
      </c>
      <c r="D2463">
        <v>89.271514893000003</v>
      </c>
      <c r="E2463">
        <v>60</v>
      </c>
      <c r="F2463">
        <v>59.961498259999999</v>
      </c>
      <c r="G2463">
        <v>1307.1544189000001</v>
      </c>
      <c r="H2463">
        <v>1296.1275635</v>
      </c>
      <c r="I2463">
        <v>1389.3833007999999</v>
      </c>
      <c r="J2463">
        <v>1371.6635742000001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1650.7069329999999</v>
      </c>
      <c r="B2464" s="1">
        <f>DATE(2014,11,6) + TIME(16,57,58)</f>
        <v>41949.706921296296</v>
      </c>
      <c r="C2464">
        <v>90</v>
      </c>
      <c r="D2464">
        <v>89.231460571</v>
      </c>
      <c r="E2464">
        <v>60</v>
      </c>
      <c r="F2464">
        <v>59.964649199999997</v>
      </c>
      <c r="G2464">
        <v>1307.1414795000001</v>
      </c>
      <c r="H2464">
        <v>1296.1126709</v>
      </c>
      <c r="I2464">
        <v>1389.3299560999999</v>
      </c>
      <c r="J2464">
        <v>1371.6241454999999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1651.089442</v>
      </c>
      <c r="B2465" s="1">
        <f>DATE(2014,11,7) + TIME(2,8,47)</f>
        <v>41950.089432870373</v>
      </c>
      <c r="C2465">
        <v>90</v>
      </c>
      <c r="D2465">
        <v>89.190437317000004</v>
      </c>
      <c r="E2465">
        <v>60</v>
      </c>
      <c r="F2465">
        <v>59.966846466</v>
      </c>
      <c r="G2465">
        <v>1307.1273193</v>
      </c>
      <c r="H2465">
        <v>1296.0966797000001</v>
      </c>
      <c r="I2465">
        <v>1389.2763672000001</v>
      </c>
      <c r="J2465">
        <v>1371.5843506000001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1651.4819580000001</v>
      </c>
      <c r="B2466" s="1">
        <f>DATE(2014,11,7) + TIME(11,34,1)</f>
        <v>41950.481956018521</v>
      </c>
      <c r="C2466">
        <v>90</v>
      </c>
      <c r="D2466">
        <v>89.148368834999999</v>
      </c>
      <c r="E2466">
        <v>60</v>
      </c>
      <c r="F2466">
        <v>59.968395233000003</v>
      </c>
      <c r="G2466">
        <v>1307.1130370999999</v>
      </c>
      <c r="H2466">
        <v>1296.0804443</v>
      </c>
      <c r="I2466">
        <v>1389.2253418</v>
      </c>
      <c r="J2466">
        <v>1371.5466309000001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1651.8801100000001</v>
      </c>
      <c r="B2467" s="1">
        <f>DATE(2014,11,7) + TIME(21,7,21)</f>
        <v>41950.880104166667</v>
      </c>
      <c r="C2467">
        <v>90</v>
      </c>
      <c r="D2467">
        <v>89.105667113999999</v>
      </c>
      <c r="E2467">
        <v>60</v>
      </c>
      <c r="F2467">
        <v>59.969474792</v>
      </c>
      <c r="G2467">
        <v>1307.0982666</v>
      </c>
      <c r="H2467">
        <v>1296.0637207</v>
      </c>
      <c r="I2467">
        <v>1389.1762695</v>
      </c>
      <c r="J2467">
        <v>1371.5101318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1652.286488</v>
      </c>
      <c r="B2468" s="1">
        <f>DATE(2014,11,8) + TIME(6,52,32)</f>
        <v>41951.286481481482</v>
      </c>
      <c r="C2468">
        <v>90</v>
      </c>
      <c r="D2468">
        <v>89.062263489000003</v>
      </c>
      <c r="E2468">
        <v>60</v>
      </c>
      <c r="F2468">
        <v>59.970233917000002</v>
      </c>
      <c r="G2468">
        <v>1307.083374</v>
      </c>
      <c r="H2468">
        <v>1296.0466309000001</v>
      </c>
      <c r="I2468">
        <v>1389.1293945</v>
      </c>
      <c r="J2468">
        <v>1371.4753418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1652.703788</v>
      </c>
      <c r="B2469" s="1">
        <f>DATE(2014,11,8) + TIME(16,53,27)</f>
        <v>41951.703784722224</v>
      </c>
      <c r="C2469">
        <v>90</v>
      </c>
      <c r="D2469">
        <v>89.018043517999999</v>
      </c>
      <c r="E2469">
        <v>60</v>
      </c>
      <c r="F2469">
        <v>59.970775604000004</v>
      </c>
      <c r="G2469">
        <v>1307.0681152</v>
      </c>
      <c r="H2469">
        <v>1296.0292969</v>
      </c>
      <c r="I2469">
        <v>1389.0841064000001</v>
      </c>
      <c r="J2469">
        <v>1371.4418945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1653.1348149999999</v>
      </c>
      <c r="B2470" s="1">
        <f>DATE(2014,11,9) + TIME(3,14,7)</f>
        <v>41952.13480324074</v>
      </c>
      <c r="C2470">
        <v>90</v>
      </c>
      <c r="D2470">
        <v>88.972816467000001</v>
      </c>
      <c r="E2470">
        <v>60</v>
      </c>
      <c r="F2470">
        <v>59.971164702999999</v>
      </c>
      <c r="G2470">
        <v>1307.0524902</v>
      </c>
      <c r="H2470">
        <v>1296.0113524999999</v>
      </c>
      <c r="I2470">
        <v>1389.0399170000001</v>
      </c>
      <c r="J2470">
        <v>1371.4091797000001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1653.5826139999999</v>
      </c>
      <c r="B2471" s="1">
        <f>DATE(2014,11,9) + TIME(13,58,57)</f>
        <v>41952.582604166666</v>
      </c>
      <c r="C2471">
        <v>90</v>
      </c>
      <c r="D2471">
        <v>88.926361084000007</v>
      </c>
      <c r="E2471">
        <v>60</v>
      </c>
      <c r="F2471">
        <v>59.971446991000001</v>
      </c>
      <c r="G2471">
        <v>1307.0363769999999</v>
      </c>
      <c r="H2471">
        <v>1295.9927978999999</v>
      </c>
      <c r="I2471">
        <v>1388.9967041</v>
      </c>
      <c r="J2471">
        <v>1371.3773193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1654.0506190000001</v>
      </c>
      <c r="B2472" s="1">
        <f>DATE(2014,11,10) + TIME(1,12,53)</f>
        <v>41953.050613425927</v>
      </c>
      <c r="C2472">
        <v>90</v>
      </c>
      <c r="D2472">
        <v>88.878433228000006</v>
      </c>
      <c r="E2472">
        <v>60</v>
      </c>
      <c r="F2472">
        <v>59.971652984999999</v>
      </c>
      <c r="G2472">
        <v>1307.0195312000001</v>
      </c>
      <c r="H2472">
        <v>1295.9733887</v>
      </c>
      <c r="I2472">
        <v>1388.9539795000001</v>
      </c>
      <c r="J2472">
        <v>1371.3457031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1654.5428159999999</v>
      </c>
      <c r="B2473" s="1">
        <f>DATE(2014,11,10) + TIME(13,1,39)</f>
        <v>41953.542812500003</v>
      </c>
      <c r="C2473">
        <v>90</v>
      </c>
      <c r="D2473">
        <v>88.828712463000002</v>
      </c>
      <c r="E2473">
        <v>60</v>
      </c>
      <c r="F2473">
        <v>59.971809387</v>
      </c>
      <c r="G2473">
        <v>1307.0019531</v>
      </c>
      <c r="H2473">
        <v>1295.953125</v>
      </c>
      <c r="I2473">
        <v>1388.9113769999999</v>
      </c>
      <c r="J2473">
        <v>1371.3144531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1655.0639610000001</v>
      </c>
      <c r="B2474" s="1">
        <f>DATE(2014,11,11) + TIME(1,32,6)</f>
        <v>41954.063958333332</v>
      </c>
      <c r="C2474">
        <v>90</v>
      </c>
      <c r="D2474">
        <v>88.776840210000003</v>
      </c>
      <c r="E2474">
        <v>60</v>
      </c>
      <c r="F2474">
        <v>59.971923828000001</v>
      </c>
      <c r="G2474">
        <v>1306.9832764</v>
      </c>
      <c r="H2474">
        <v>1295.9316406</v>
      </c>
      <c r="I2474">
        <v>1388.8687743999999</v>
      </c>
      <c r="J2474">
        <v>1371.2832031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1655.619882</v>
      </c>
      <c r="B2475" s="1">
        <f>DATE(2014,11,11) + TIME(14,52,37)</f>
        <v>41954.619872685187</v>
      </c>
      <c r="C2475">
        <v>90</v>
      </c>
      <c r="D2475">
        <v>88.722381592000005</v>
      </c>
      <c r="E2475">
        <v>60</v>
      </c>
      <c r="F2475">
        <v>59.972011565999999</v>
      </c>
      <c r="G2475">
        <v>1306.9636230000001</v>
      </c>
      <c r="H2475">
        <v>1295.9088135</v>
      </c>
      <c r="I2475">
        <v>1388.8259277</v>
      </c>
      <c r="J2475">
        <v>1371.2517089999999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1656.2076979999999</v>
      </c>
      <c r="B2476" s="1">
        <f>DATE(2014,11,12) + TIME(4,59,5)</f>
        <v>41955.207696759258</v>
      </c>
      <c r="C2476">
        <v>90</v>
      </c>
      <c r="D2476">
        <v>88.665367126000007</v>
      </c>
      <c r="E2476">
        <v>60</v>
      </c>
      <c r="F2476">
        <v>59.972076416</v>
      </c>
      <c r="G2476">
        <v>1306.9425048999999</v>
      </c>
      <c r="H2476">
        <v>1295.8843993999999</v>
      </c>
      <c r="I2476">
        <v>1388.7822266000001</v>
      </c>
      <c r="J2476">
        <v>1371.2197266000001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1656.8069519999999</v>
      </c>
      <c r="B2477" s="1">
        <f>DATE(2014,11,12) + TIME(19,22,0)</f>
        <v>41955.806944444441</v>
      </c>
      <c r="C2477">
        <v>90</v>
      </c>
      <c r="D2477">
        <v>88.606925963999998</v>
      </c>
      <c r="E2477">
        <v>60</v>
      </c>
      <c r="F2477">
        <v>59.972122192</v>
      </c>
      <c r="G2477">
        <v>1306.9200439000001</v>
      </c>
      <c r="H2477">
        <v>1295.8585204999999</v>
      </c>
      <c r="I2477">
        <v>1388.7382812000001</v>
      </c>
      <c r="J2477">
        <v>1371.1876221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1657.4231600000001</v>
      </c>
      <c r="B2478" s="1">
        <f>DATE(2014,11,13) + TIME(10,9,21)</f>
        <v>41956.423159722224</v>
      </c>
      <c r="C2478">
        <v>90</v>
      </c>
      <c r="D2478">
        <v>88.547096252000003</v>
      </c>
      <c r="E2478">
        <v>60</v>
      </c>
      <c r="F2478">
        <v>59.972156525000003</v>
      </c>
      <c r="G2478">
        <v>1306.8969727000001</v>
      </c>
      <c r="H2478">
        <v>1295.8317870999999</v>
      </c>
      <c r="I2478">
        <v>1388.6956786999999</v>
      </c>
      <c r="J2478">
        <v>1371.1564940999999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1658.0618199999999</v>
      </c>
      <c r="B2479" s="1">
        <f>DATE(2014,11,14) + TIME(1,29,1)</f>
        <v>41957.06181712963</v>
      </c>
      <c r="C2479">
        <v>90</v>
      </c>
      <c r="D2479">
        <v>88.485710143999995</v>
      </c>
      <c r="E2479">
        <v>60</v>
      </c>
      <c r="F2479">
        <v>59.972179412999999</v>
      </c>
      <c r="G2479">
        <v>1306.8731689000001</v>
      </c>
      <c r="H2479">
        <v>1295.8040771000001</v>
      </c>
      <c r="I2479">
        <v>1388.6538086</v>
      </c>
      <c r="J2479">
        <v>1371.1259766000001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1658.712104</v>
      </c>
      <c r="B2480" s="1">
        <f>DATE(2014,11,14) + TIME(17,5,25)</f>
        <v>41957.712094907409</v>
      </c>
      <c r="C2480">
        <v>90</v>
      </c>
      <c r="D2480">
        <v>88.423347473000007</v>
      </c>
      <c r="E2480">
        <v>60</v>
      </c>
      <c r="F2480">
        <v>59.972198486000003</v>
      </c>
      <c r="G2480">
        <v>1306.8483887</v>
      </c>
      <c r="H2480">
        <v>1295.7752685999999</v>
      </c>
      <c r="I2480">
        <v>1388.6124268000001</v>
      </c>
      <c r="J2480">
        <v>1371.0959473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1659.3739559999999</v>
      </c>
      <c r="B2481" s="1">
        <f>DATE(2014,11,15) + TIME(8,58,29)</f>
        <v>41958.37394675926</v>
      </c>
      <c r="C2481">
        <v>90</v>
      </c>
      <c r="D2481">
        <v>88.360206603999998</v>
      </c>
      <c r="E2481">
        <v>60</v>
      </c>
      <c r="F2481">
        <v>59.972209929999998</v>
      </c>
      <c r="G2481">
        <v>1306.822876</v>
      </c>
      <c r="H2481">
        <v>1295.7454834</v>
      </c>
      <c r="I2481">
        <v>1388.5722656</v>
      </c>
      <c r="J2481">
        <v>1371.0667725000001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1660.0517809999999</v>
      </c>
      <c r="B2482" s="1">
        <f>DATE(2014,11,16) + TIME(1,14,33)</f>
        <v>41959.051770833335</v>
      </c>
      <c r="C2482">
        <v>90</v>
      </c>
      <c r="D2482">
        <v>88.296173096000004</v>
      </c>
      <c r="E2482">
        <v>60</v>
      </c>
      <c r="F2482">
        <v>59.972221374999997</v>
      </c>
      <c r="G2482">
        <v>1306.796875</v>
      </c>
      <c r="H2482">
        <v>1295.7149658000001</v>
      </c>
      <c r="I2482">
        <v>1388.5330810999999</v>
      </c>
      <c r="J2482">
        <v>1371.0383300999999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1660.7501460000001</v>
      </c>
      <c r="B2483" s="1">
        <f>DATE(2014,11,16) + TIME(18,0,12)</f>
        <v>41959.750138888892</v>
      </c>
      <c r="C2483">
        <v>90</v>
      </c>
      <c r="D2483">
        <v>88.231033324999999</v>
      </c>
      <c r="E2483">
        <v>60</v>
      </c>
      <c r="F2483">
        <v>59.972225189</v>
      </c>
      <c r="G2483">
        <v>1306.7700195</v>
      </c>
      <c r="H2483">
        <v>1295.6833495999999</v>
      </c>
      <c r="I2483">
        <v>1388.4946289</v>
      </c>
      <c r="J2483">
        <v>1371.0104980000001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1661.4740320000001</v>
      </c>
      <c r="B2484" s="1">
        <f>DATE(2014,11,17) + TIME(11,22,36)</f>
        <v>41960.474027777775</v>
      </c>
      <c r="C2484">
        <v>90</v>
      </c>
      <c r="D2484">
        <v>88.164459229000002</v>
      </c>
      <c r="E2484">
        <v>60</v>
      </c>
      <c r="F2484">
        <v>59.972229003999999</v>
      </c>
      <c r="G2484">
        <v>1306.7420654</v>
      </c>
      <c r="H2484">
        <v>1295.6505127</v>
      </c>
      <c r="I2484">
        <v>1388.4566649999999</v>
      </c>
      <c r="J2484">
        <v>1370.9830322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1662.2290660000001</v>
      </c>
      <c r="B2485" s="1">
        <f>DATE(2014,11,18) + TIME(5,29,51)</f>
        <v>41961.229062500002</v>
      </c>
      <c r="C2485">
        <v>90</v>
      </c>
      <c r="D2485">
        <v>88.096069335999999</v>
      </c>
      <c r="E2485">
        <v>60</v>
      </c>
      <c r="F2485">
        <v>59.972232818999998</v>
      </c>
      <c r="G2485">
        <v>1306.7128906</v>
      </c>
      <c r="H2485">
        <v>1295.6159668</v>
      </c>
      <c r="I2485">
        <v>1388.4189452999999</v>
      </c>
      <c r="J2485">
        <v>1370.9556885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1663.021804</v>
      </c>
      <c r="B2486" s="1">
        <f>DATE(2014,11,19) + TIME(0,31,23)</f>
        <v>41962.021793981483</v>
      </c>
      <c r="C2486">
        <v>90</v>
      </c>
      <c r="D2486">
        <v>88.025421143000003</v>
      </c>
      <c r="E2486">
        <v>60</v>
      </c>
      <c r="F2486">
        <v>59.972236633000001</v>
      </c>
      <c r="G2486">
        <v>1306.682251</v>
      </c>
      <c r="H2486">
        <v>1295.5795897999999</v>
      </c>
      <c r="I2486">
        <v>1388.3811035000001</v>
      </c>
      <c r="J2486">
        <v>1370.9284668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1663.8600939999999</v>
      </c>
      <c r="B2487" s="1">
        <f>DATE(2014,11,19) + TIME(20,38,32)</f>
        <v>41962.860092592593</v>
      </c>
      <c r="C2487">
        <v>90</v>
      </c>
      <c r="D2487">
        <v>87.951980590999995</v>
      </c>
      <c r="E2487">
        <v>60</v>
      </c>
      <c r="F2487">
        <v>59.972236633000001</v>
      </c>
      <c r="G2487">
        <v>1306.6497803</v>
      </c>
      <c r="H2487">
        <v>1295.5408935999999</v>
      </c>
      <c r="I2487">
        <v>1388.3430175999999</v>
      </c>
      <c r="J2487">
        <v>1370.901001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1664.7351759999999</v>
      </c>
      <c r="B2488" s="1">
        <f>DATE(2014,11,20) + TIME(17,38,39)</f>
        <v>41963.735173611109</v>
      </c>
      <c r="C2488">
        <v>90</v>
      </c>
      <c r="D2488">
        <v>87.875900268999999</v>
      </c>
      <c r="E2488">
        <v>60</v>
      </c>
      <c r="F2488">
        <v>59.972240448000001</v>
      </c>
      <c r="G2488">
        <v>1306.6151123</v>
      </c>
      <c r="H2488">
        <v>1295.4995117000001</v>
      </c>
      <c r="I2488">
        <v>1388.3043213000001</v>
      </c>
      <c r="J2488">
        <v>1370.8731689000001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1665.6491410000001</v>
      </c>
      <c r="B2489" s="1">
        <f>DATE(2014,11,21) + TIME(15,34,45)</f>
        <v>41964.649131944447</v>
      </c>
      <c r="C2489">
        <v>90</v>
      </c>
      <c r="D2489">
        <v>87.797195435000006</v>
      </c>
      <c r="E2489">
        <v>60</v>
      </c>
      <c r="F2489">
        <v>59.972240448000001</v>
      </c>
      <c r="G2489">
        <v>1306.5783690999999</v>
      </c>
      <c r="H2489">
        <v>1295.4556885</v>
      </c>
      <c r="I2489">
        <v>1388.265625</v>
      </c>
      <c r="J2489">
        <v>1370.8452147999999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1666.56717</v>
      </c>
      <c r="B2490" s="1">
        <f>DATE(2014,11,22) + TIME(13,36,43)</f>
        <v>41965.567164351851</v>
      </c>
      <c r="C2490">
        <v>90</v>
      </c>
      <c r="D2490">
        <v>87.717353821000003</v>
      </c>
      <c r="E2490">
        <v>60</v>
      </c>
      <c r="F2490">
        <v>59.972240448000001</v>
      </c>
      <c r="G2490">
        <v>1306.5396728999999</v>
      </c>
      <c r="H2490">
        <v>1295.4091797000001</v>
      </c>
      <c r="I2490">
        <v>1388.2268065999999</v>
      </c>
      <c r="J2490">
        <v>1370.8172606999999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1667.4955520000001</v>
      </c>
      <c r="B2491" s="1">
        <f>DATE(2014,11,23) + TIME(11,53,35)</f>
        <v>41966.49554398148</v>
      </c>
      <c r="C2491">
        <v>90</v>
      </c>
      <c r="D2491">
        <v>87.636978149000001</v>
      </c>
      <c r="E2491">
        <v>60</v>
      </c>
      <c r="F2491">
        <v>59.972240448000001</v>
      </c>
      <c r="G2491">
        <v>1306.5001221</v>
      </c>
      <c r="H2491">
        <v>1295.3615723</v>
      </c>
      <c r="I2491">
        <v>1388.1893310999999</v>
      </c>
      <c r="J2491">
        <v>1370.7904053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1668.440505</v>
      </c>
      <c r="B2492" s="1">
        <f>DATE(2014,11,24) + TIME(10,34,19)</f>
        <v>41967.440497685187</v>
      </c>
      <c r="C2492">
        <v>90</v>
      </c>
      <c r="D2492">
        <v>87.556091308999996</v>
      </c>
      <c r="E2492">
        <v>60</v>
      </c>
      <c r="F2492">
        <v>59.972244263</v>
      </c>
      <c r="G2492">
        <v>1306.4597168</v>
      </c>
      <c r="H2492">
        <v>1295.3126221</v>
      </c>
      <c r="I2492">
        <v>1388.152832</v>
      </c>
      <c r="J2492">
        <v>1370.7641602000001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1669.408347</v>
      </c>
      <c r="B2493" s="1">
        <f>DATE(2014,11,25) + TIME(9,48,1)</f>
        <v>41968.40834490741</v>
      </c>
      <c r="C2493">
        <v>90</v>
      </c>
      <c r="D2493">
        <v>87.474441528</v>
      </c>
      <c r="E2493">
        <v>60</v>
      </c>
      <c r="F2493">
        <v>59.972244263</v>
      </c>
      <c r="G2493">
        <v>1306.4180908000001</v>
      </c>
      <c r="H2493">
        <v>1295.2619629000001</v>
      </c>
      <c r="I2493">
        <v>1388.1171875</v>
      </c>
      <c r="J2493">
        <v>1370.7386475000001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1670.4057929999999</v>
      </c>
      <c r="B2494" s="1">
        <f>DATE(2014,11,26) + TIME(9,44,20)</f>
        <v>41969.405787037038</v>
      </c>
      <c r="C2494">
        <v>90</v>
      </c>
      <c r="D2494">
        <v>87.391639709000003</v>
      </c>
      <c r="E2494">
        <v>60</v>
      </c>
      <c r="F2494">
        <v>59.972248077000003</v>
      </c>
      <c r="G2494">
        <v>1306.3748779</v>
      </c>
      <c r="H2494">
        <v>1295.2091064000001</v>
      </c>
      <c r="I2494">
        <v>1388.0820312000001</v>
      </c>
      <c r="J2494">
        <v>1370.7132568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1671.4402689999999</v>
      </c>
      <c r="B2495" s="1">
        <f>DATE(2014,11,27) + TIME(10,33,59)</f>
        <v>41970.440266203703</v>
      </c>
      <c r="C2495">
        <v>90</v>
      </c>
      <c r="D2495">
        <v>87.307205199999999</v>
      </c>
      <c r="E2495">
        <v>60</v>
      </c>
      <c r="F2495">
        <v>59.972251892000003</v>
      </c>
      <c r="G2495">
        <v>1306.3297118999999</v>
      </c>
      <c r="H2495">
        <v>1295.1536865</v>
      </c>
      <c r="I2495">
        <v>1388.0469971</v>
      </c>
      <c r="J2495">
        <v>1370.6882324000001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1672.520266</v>
      </c>
      <c r="B2496" s="1">
        <f>DATE(2014,11,28) + TIME(12,29,10)</f>
        <v>41971.520254629628</v>
      </c>
      <c r="C2496">
        <v>90</v>
      </c>
      <c r="D2496">
        <v>87.220603943</v>
      </c>
      <c r="E2496">
        <v>60</v>
      </c>
      <c r="F2496">
        <v>59.972255707000002</v>
      </c>
      <c r="G2496">
        <v>1306.2822266000001</v>
      </c>
      <c r="H2496">
        <v>1295.0952147999999</v>
      </c>
      <c r="I2496">
        <v>1388.0119629000001</v>
      </c>
      <c r="J2496">
        <v>1370.6630858999999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1673.6558010000001</v>
      </c>
      <c r="B2497" s="1">
        <f>DATE(2014,11,29) + TIME(15,44,21)</f>
        <v>41972.655798611115</v>
      </c>
      <c r="C2497">
        <v>90</v>
      </c>
      <c r="D2497">
        <v>87.131225585999999</v>
      </c>
      <c r="E2497">
        <v>60</v>
      </c>
      <c r="F2497">
        <v>59.972259520999998</v>
      </c>
      <c r="G2497">
        <v>1306.2319336</v>
      </c>
      <c r="H2497">
        <v>1295.0330810999999</v>
      </c>
      <c r="I2497">
        <v>1387.9766846</v>
      </c>
      <c r="J2497">
        <v>1370.6378173999999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1674.8456570000001</v>
      </c>
      <c r="B2498" s="1">
        <f>DATE(2014,11,30) + TIME(20,17,44)</f>
        <v>41973.845648148148</v>
      </c>
      <c r="C2498">
        <v>90</v>
      </c>
      <c r="D2498">
        <v>87.038764954000001</v>
      </c>
      <c r="E2498">
        <v>60</v>
      </c>
      <c r="F2498">
        <v>59.972263335999997</v>
      </c>
      <c r="G2498">
        <v>1306.1782227000001</v>
      </c>
      <c r="H2498">
        <v>1294.9665527</v>
      </c>
      <c r="I2498">
        <v>1387.9410399999999</v>
      </c>
      <c r="J2498">
        <v>1370.6121826000001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1675</v>
      </c>
      <c r="B2499" s="1">
        <f>DATE(2014,12,1) + TIME(0,0,0)</f>
        <v>41974</v>
      </c>
      <c r="C2499">
        <v>90</v>
      </c>
      <c r="D2499">
        <v>87.013923645000006</v>
      </c>
      <c r="E2499">
        <v>60</v>
      </c>
      <c r="F2499">
        <v>59.972259520999998</v>
      </c>
      <c r="G2499">
        <v>1306.1225586</v>
      </c>
      <c r="H2499">
        <v>1294.9045410000001</v>
      </c>
      <c r="I2499">
        <v>1387.9045410000001</v>
      </c>
      <c r="J2499">
        <v>1370.5859375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1676.211734</v>
      </c>
      <c r="B2500" s="1">
        <f>DATE(2014,12,2) + TIME(5,4,53)</f>
        <v>41975.211724537039</v>
      </c>
      <c r="C2500">
        <v>90</v>
      </c>
      <c r="D2500">
        <v>86.926834106000001</v>
      </c>
      <c r="E2500">
        <v>60</v>
      </c>
      <c r="F2500">
        <v>59.972270966000004</v>
      </c>
      <c r="G2500">
        <v>1306.112793</v>
      </c>
      <c r="H2500">
        <v>1294.8843993999999</v>
      </c>
      <c r="I2500">
        <v>1387.9002685999999</v>
      </c>
      <c r="J2500">
        <v>1370.5828856999999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1677.4383829999999</v>
      </c>
      <c r="B2501" s="1">
        <f>DATE(2014,12,3) + TIME(10,31,16)</f>
        <v>41976.438379629632</v>
      </c>
      <c r="C2501">
        <v>90</v>
      </c>
      <c r="D2501">
        <v>86.834442139000004</v>
      </c>
      <c r="E2501">
        <v>60</v>
      </c>
      <c r="F2501">
        <v>59.972274779999999</v>
      </c>
      <c r="G2501">
        <v>1306.0539550999999</v>
      </c>
      <c r="H2501">
        <v>1294.8111572</v>
      </c>
      <c r="I2501">
        <v>1387.8649902</v>
      </c>
      <c r="J2501">
        <v>1370.5576172000001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1678.6869349999999</v>
      </c>
      <c r="B2502" s="1">
        <f>DATE(2014,12,4) + TIME(16,29,11)</f>
        <v>41977.686932870369</v>
      </c>
      <c r="C2502">
        <v>90</v>
      </c>
      <c r="D2502">
        <v>86.739654540999993</v>
      </c>
      <c r="E2502">
        <v>60</v>
      </c>
      <c r="F2502">
        <v>59.972282409999998</v>
      </c>
      <c r="G2502">
        <v>1305.9927978999999</v>
      </c>
      <c r="H2502">
        <v>1294.7347411999999</v>
      </c>
      <c r="I2502">
        <v>1387.8304443</v>
      </c>
      <c r="J2502">
        <v>1370.5327147999999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1679.9643550000001</v>
      </c>
      <c r="B2503" s="1">
        <f>DATE(2014,12,5) + TIME(23,8,40)</f>
        <v>41978.96435185185</v>
      </c>
      <c r="C2503">
        <v>90</v>
      </c>
      <c r="D2503">
        <v>86.643363953000005</v>
      </c>
      <c r="E2503">
        <v>60</v>
      </c>
      <c r="F2503">
        <v>59.972290039000001</v>
      </c>
      <c r="G2503">
        <v>1305.9295654</v>
      </c>
      <c r="H2503">
        <v>1294.6549072</v>
      </c>
      <c r="I2503">
        <v>1387.7963867000001</v>
      </c>
      <c r="J2503">
        <v>1370.5083007999999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1681.2697089999999</v>
      </c>
      <c r="B2504" s="1">
        <f>DATE(2014,12,7) + TIME(6,28,22)</f>
        <v>41980.269699074073</v>
      </c>
      <c r="C2504">
        <v>90</v>
      </c>
      <c r="D2504">
        <v>86.545883179</v>
      </c>
      <c r="E2504">
        <v>60</v>
      </c>
      <c r="F2504">
        <v>59.972297668000003</v>
      </c>
      <c r="G2504">
        <v>1305.8636475000001</v>
      </c>
      <c r="H2504">
        <v>1294.5715332</v>
      </c>
      <c r="I2504">
        <v>1387.7628173999999</v>
      </c>
      <c r="J2504">
        <v>1370.4842529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1682.612012</v>
      </c>
      <c r="B2505" s="1">
        <f>DATE(2014,12,8) + TIME(14,41,17)</f>
        <v>41981.612002314818</v>
      </c>
      <c r="C2505">
        <v>90</v>
      </c>
      <c r="D2505">
        <v>86.447120666999993</v>
      </c>
      <c r="E2505">
        <v>60</v>
      </c>
      <c r="F2505">
        <v>59.972305298000002</v>
      </c>
      <c r="G2505">
        <v>1305.7951660000001</v>
      </c>
      <c r="H2505">
        <v>1294.484375</v>
      </c>
      <c r="I2505">
        <v>1387.7296143000001</v>
      </c>
      <c r="J2505">
        <v>1370.4603271000001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1684.001047</v>
      </c>
      <c r="B2506" s="1">
        <f>DATE(2014,12,10) + TIME(0,1,30)</f>
        <v>41983.00104166667</v>
      </c>
      <c r="C2506">
        <v>90</v>
      </c>
      <c r="D2506">
        <v>86.346664429</v>
      </c>
      <c r="E2506">
        <v>60</v>
      </c>
      <c r="F2506">
        <v>59.972316741999997</v>
      </c>
      <c r="G2506">
        <v>1305.7235106999999</v>
      </c>
      <c r="H2506">
        <v>1294.3929443</v>
      </c>
      <c r="I2506">
        <v>1387.6965332</v>
      </c>
      <c r="J2506">
        <v>1370.4365233999999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1685.4369320000001</v>
      </c>
      <c r="B2507" s="1">
        <f>DATE(2014,12,11) + TIME(10,29,10)</f>
        <v>41984.436921296299</v>
      </c>
      <c r="C2507">
        <v>90</v>
      </c>
      <c r="D2507">
        <v>86.244201660000002</v>
      </c>
      <c r="E2507">
        <v>60</v>
      </c>
      <c r="F2507">
        <v>59.972324370999999</v>
      </c>
      <c r="G2507">
        <v>1305.6480713000001</v>
      </c>
      <c r="H2507">
        <v>1294.2962646000001</v>
      </c>
      <c r="I2507">
        <v>1387.6633300999999</v>
      </c>
      <c r="J2507">
        <v>1370.4125977000001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1686.901703</v>
      </c>
      <c r="B2508" s="1">
        <f>DATE(2014,12,12) + TIME(21,38,27)</f>
        <v>41985.901701388888</v>
      </c>
      <c r="C2508">
        <v>90</v>
      </c>
      <c r="D2508">
        <v>86.140136718999997</v>
      </c>
      <c r="E2508">
        <v>60</v>
      </c>
      <c r="F2508">
        <v>59.972335815000001</v>
      </c>
      <c r="G2508">
        <v>1305.5687256000001</v>
      </c>
      <c r="H2508">
        <v>1294.1943358999999</v>
      </c>
      <c r="I2508">
        <v>1387.6301269999999</v>
      </c>
      <c r="J2508">
        <v>1370.3886719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1688.3876379999999</v>
      </c>
      <c r="B2509" s="1">
        <f>DATE(2014,12,14) + TIME(9,18,11)</f>
        <v>41987.387627314813</v>
      </c>
      <c r="C2509">
        <v>90</v>
      </c>
      <c r="D2509">
        <v>86.035179138000004</v>
      </c>
      <c r="E2509">
        <v>60</v>
      </c>
      <c r="F2509">
        <v>59.972347259999999</v>
      </c>
      <c r="G2509">
        <v>1305.4863281</v>
      </c>
      <c r="H2509">
        <v>1294.0880127</v>
      </c>
      <c r="I2509">
        <v>1387.5972899999999</v>
      </c>
      <c r="J2509">
        <v>1370.3649902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1689.896152</v>
      </c>
      <c r="B2510" s="1">
        <f>DATE(2014,12,15) + TIME(21,30,27)</f>
        <v>41988.896145833336</v>
      </c>
      <c r="C2510">
        <v>90</v>
      </c>
      <c r="D2510">
        <v>85.929718018000003</v>
      </c>
      <c r="E2510">
        <v>60</v>
      </c>
      <c r="F2510">
        <v>59.972358704000001</v>
      </c>
      <c r="G2510">
        <v>1305.4011230000001</v>
      </c>
      <c r="H2510">
        <v>1293.9776611</v>
      </c>
      <c r="I2510">
        <v>1387.5650635</v>
      </c>
      <c r="J2510">
        <v>1370.3416748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1691.4304549999999</v>
      </c>
      <c r="B2511" s="1">
        <f>DATE(2014,12,17) + TIME(10,19,51)</f>
        <v>41990.430451388886</v>
      </c>
      <c r="C2511">
        <v>90</v>
      </c>
      <c r="D2511">
        <v>85.823783875000004</v>
      </c>
      <c r="E2511">
        <v>60</v>
      </c>
      <c r="F2511">
        <v>59.972373961999999</v>
      </c>
      <c r="G2511">
        <v>1305.3131103999999</v>
      </c>
      <c r="H2511">
        <v>1293.8631591999999</v>
      </c>
      <c r="I2511">
        <v>1387.5332031</v>
      </c>
      <c r="J2511">
        <v>1370.3187256000001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1692.9932100000001</v>
      </c>
      <c r="B2512" s="1">
        <f>DATE(2014,12,18) + TIME(23,50,13)</f>
        <v>41991.993206018517</v>
      </c>
      <c r="C2512">
        <v>90</v>
      </c>
      <c r="D2512">
        <v>85.717277526999993</v>
      </c>
      <c r="E2512">
        <v>60</v>
      </c>
      <c r="F2512">
        <v>59.972385406000001</v>
      </c>
      <c r="G2512">
        <v>1305.2219238</v>
      </c>
      <c r="H2512">
        <v>1293.7442627</v>
      </c>
      <c r="I2512">
        <v>1387.5018310999999</v>
      </c>
      <c r="J2512">
        <v>1370.2958983999999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1694.5873549999999</v>
      </c>
      <c r="B2513" s="1">
        <f>DATE(2014,12,20) + TIME(14,5,47)</f>
        <v>41993.58734953704</v>
      </c>
      <c r="C2513">
        <v>90</v>
      </c>
      <c r="D2513">
        <v>85.610038756999998</v>
      </c>
      <c r="E2513">
        <v>60</v>
      </c>
      <c r="F2513">
        <v>59.972400665000002</v>
      </c>
      <c r="G2513">
        <v>1305.1275635</v>
      </c>
      <c r="H2513">
        <v>1293.6206055</v>
      </c>
      <c r="I2513">
        <v>1387.4708252</v>
      </c>
      <c r="J2513">
        <v>1370.2734375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1696.215723</v>
      </c>
      <c r="B2514" s="1">
        <f>DATE(2014,12,22) + TIME(5,10,38)</f>
        <v>41995.215717592589</v>
      </c>
      <c r="C2514">
        <v>90</v>
      </c>
      <c r="D2514">
        <v>85.501899718999994</v>
      </c>
      <c r="E2514">
        <v>60</v>
      </c>
      <c r="F2514">
        <v>59.972412108999997</v>
      </c>
      <c r="G2514">
        <v>1305.0295410000001</v>
      </c>
      <c r="H2514">
        <v>1293.4918213000001</v>
      </c>
      <c r="I2514">
        <v>1387.4400635</v>
      </c>
      <c r="J2514">
        <v>1370.2510986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1697.8811929999999</v>
      </c>
      <c r="B2515" s="1">
        <f>DATE(2014,12,23) + TIME(21,8,55)</f>
        <v>41996.881192129629</v>
      </c>
      <c r="C2515">
        <v>90</v>
      </c>
      <c r="D2515">
        <v>85.392692565999994</v>
      </c>
      <c r="E2515">
        <v>60</v>
      </c>
      <c r="F2515">
        <v>59.972427367999998</v>
      </c>
      <c r="G2515">
        <v>1304.9276123</v>
      </c>
      <c r="H2515">
        <v>1293.3576660000001</v>
      </c>
      <c r="I2515">
        <v>1387.4094238</v>
      </c>
      <c r="J2515">
        <v>1370.2288818</v>
      </c>
      <c r="K2515">
        <v>0</v>
      </c>
      <c r="L2515">
        <v>2400</v>
      </c>
      <c r="M2515">
        <v>2400</v>
      </c>
      <c r="N2515">
        <v>0</v>
      </c>
    </row>
    <row r="2516" spans="1:14" x14ac:dyDescent="0.25">
      <c r="A2516">
        <v>1699.585697</v>
      </c>
      <c r="B2516" s="1">
        <f>DATE(2014,12,25) + TIME(14,3,24)</f>
        <v>41998.585694444446</v>
      </c>
      <c r="C2516">
        <v>90</v>
      </c>
      <c r="D2516">
        <v>85.282249450999998</v>
      </c>
      <c r="E2516">
        <v>60</v>
      </c>
      <c r="F2516">
        <v>59.972442627</v>
      </c>
      <c r="G2516">
        <v>1304.8216553</v>
      </c>
      <c r="H2516">
        <v>1293.2176514</v>
      </c>
      <c r="I2516">
        <v>1387.3790283000001</v>
      </c>
      <c r="J2516">
        <v>1370.2066649999999</v>
      </c>
      <c r="K2516">
        <v>0</v>
      </c>
      <c r="L2516">
        <v>2400</v>
      </c>
      <c r="M2516">
        <v>2400</v>
      </c>
      <c r="N2516">
        <v>0</v>
      </c>
    </row>
    <row r="2517" spans="1:14" x14ac:dyDescent="0.25">
      <c r="A2517">
        <v>1701.3114310000001</v>
      </c>
      <c r="B2517" s="1">
        <f>DATE(2014,12,27) + TIME(7,28,27)</f>
        <v>42000.311423611114</v>
      </c>
      <c r="C2517">
        <v>90</v>
      </c>
      <c r="D2517">
        <v>85.170867920000006</v>
      </c>
      <c r="E2517">
        <v>60</v>
      </c>
      <c r="F2517">
        <v>59.972461699999997</v>
      </c>
      <c r="G2517">
        <v>1304.7114257999999</v>
      </c>
      <c r="H2517">
        <v>1293.0715332</v>
      </c>
      <c r="I2517">
        <v>1387.3486327999999</v>
      </c>
      <c r="J2517">
        <v>1370.1845702999999</v>
      </c>
      <c r="K2517">
        <v>0</v>
      </c>
      <c r="L2517">
        <v>2400</v>
      </c>
      <c r="M2517">
        <v>2400</v>
      </c>
      <c r="N2517">
        <v>0</v>
      </c>
    </row>
    <row r="2518" spans="1:14" x14ac:dyDescent="0.25">
      <c r="A2518">
        <v>1703.060311</v>
      </c>
      <c r="B2518" s="1">
        <f>DATE(2014,12,29) + TIME(1,26,50)</f>
        <v>42002.060300925928</v>
      </c>
      <c r="C2518">
        <v>90</v>
      </c>
      <c r="D2518">
        <v>85.059043884000005</v>
      </c>
      <c r="E2518">
        <v>60</v>
      </c>
      <c r="F2518">
        <v>59.972476958999998</v>
      </c>
      <c r="G2518">
        <v>1304.5979004000001</v>
      </c>
      <c r="H2518">
        <v>1292.9205322</v>
      </c>
      <c r="I2518">
        <v>1387.3188477000001</v>
      </c>
      <c r="J2518">
        <v>1370.1627197</v>
      </c>
      <c r="K2518">
        <v>0</v>
      </c>
      <c r="L2518">
        <v>2400</v>
      </c>
      <c r="M2518">
        <v>2400</v>
      </c>
      <c r="N2518">
        <v>0</v>
      </c>
    </row>
    <row r="2519" spans="1:14" x14ac:dyDescent="0.25">
      <c r="A2519">
        <v>1704.829289</v>
      </c>
      <c r="B2519" s="1">
        <f>DATE(2014,12,30) + TIME(19,54,10)</f>
        <v>42003.829282407409</v>
      </c>
      <c r="C2519">
        <v>90</v>
      </c>
      <c r="D2519">
        <v>84.946846007999994</v>
      </c>
      <c r="E2519">
        <v>60</v>
      </c>
      <c r="F2519">
        <v>59.972492217999999</v>
      </c>
      <c r="G2519">
        <v>1304.4808350000001</v>
      </c>
      <c r="H2519">
        <v>1292.7644043</v>
      </c>
      <c r="I2519">
        <v>1387.2893065999999</v>
      </c>
      <c r="J2519">
        <v>1370.1411132999999</v>
      </c>
      <c r="K2519">
        <v>0</v>
      </c>
      <c r="L2519">
        <v>2400</v>
      </c>
      <c r="M2519">
        <v>2400</v>
      </c>
      <c r="N2519">
        <v>0</v>
      </c>
    </row>
    <row r="2520" spans="1:14" x14ac:dyDescent="0.25">
      <c r="A2520">
        <v>1706</v>
      </c>
      <c r="B2520" s="1">
        <f>DATE(2015,1,1) + TIME(0,0,0)</f>
        <v>42005</v>
      </c>
      <c r="C2520">
        <v>90</v>
      </c>
      <c r="D2520">
        <v>84.850425720000004</v>
      </c>
      <c r="E2520">
        <v>60</v>
      </c>
      <c r="F2520">
        <v>59.972503662000001</v>
      </c>
      <c r="G2520">
        <v>1304.3621826000001</v>
      </c>
      <c r="H2520">
        <v>1292.6085204999999</v>
      </c>
      <c r="I2520">
        <v>1387.2598877</v>
      </c>
      <c r="J2520">
        <v>1370.1195068</v>
      </c>
      <c r="K2520">
        <v>0</v>
      </c>
      <c r="L2520">
        <v>2400</v>
      </c>
      <c r="M2520">
        <v>2400</v>
      </c>
      <c r="N2520">
        <v>0</v>
      </c>
    </row>
    <row r="2521" spans="1:14" x14ac:dyDescent="0.25">
      <c r="A2521">
        <v>1707.7881339999999</v>
      </c>
      <c r="B2521" s="1">
        <f>DATE(2015,1,2) + TIME(18,54,54)</f>
        <v>42006.788124999999</v>
      </c>
      <c r="C2521">
        <v>90</v>
      </c>
      <c r="D2521">
        <v>84.753517150999997</v>
      </c>
      <c r="E2521">
        <v>60</v>
      </c>
      <c r="F2521">
        <v>59.972522736000002</v>
      </c>
      <c r="G2521">
        <v>1304.2761230000001</v>
      </c>
      <c r="H2521">
        <v>1292.4886475000001</v>
      </c>
      <c r="I2521">
        <v>1387.2414550999999</v>
      </c>
      <c r="J2521">
        <v>1370.1060791</v>
      </c>
      <c r="K2521">
        <v>0</v>
      </c>
      <c r="L2521">
        <v>2400</v>
      </c>
      <c r="M2521">
        <v>2400</v>
      </c>
      <c r="N2521">
        <v>0</v>
      </c>
    </row>
    <row r="2522" spans="1:14" x14ac:dyDescent="0.25">
      <c r="A2522">
        <v>1709.6160829999999</v>
      </c>
      <c r="B2522" s="1">
        <f>DATE(2015,1,4) + TIME(14,47,9)</f>
        <v>42008.616076388891</v>
      </c>
      <c r="C2522">
        <v>90</v>
      </c>
      <c r="D2522">
        <v>84.645774841000005</v>
      </c>
      <c r="E2522">
        <v>60</v>
      </c>
      <c r="F2522">
        <v>59.972541808999999</v>
      </c>
      <c r="G2522">
        <v>1304.1534423999999</v>
      </c>
      <c r="H2522">
        <v>1292.3249512</v>
      </c>
      <c r="I2522">
        <v>1387.2132568</v>
      </c>
      <c r="J2522">
        <v>1370.0853271000001</v>
      </c>
      <c r="K2522">
        <v>0</v>
      </c>
      <c r="L2522">
        <v>2400</v>
      </c>
      <c r="M2522">
        <v>2400</v>
      </c>
      <c r="N2522">
        <v>0</v>
      </c>
    </row>
    <row r="2523" spans="1:14" x14ac:dyDescent="0.25">
      <c r="A2523">
        <v>1711.471397</v>
      </c>
      <c r="B2523" s="1">
        <f>DATE(2015,1,6) + TIME(11,18,48)</f>
        <v>42010.471388888887</v>
      </c>
      <c r="C2523">
        <v>90</v>
      </c>
      <c r="D2523">
        <v>84.533721924000005</v>
      </c>
      <c r="E2523">
        <v>60</v>
      </c>
      <c r="F2523">
        <v>59.972560883</v>
      </c>
      <c r="G2523">
        <v>1304.0245361</v>
      </c>
      <c r="H2523">
        <v>1292.1519774999999</v>
      </c>
      <c r="I2523">
        <v>1387.1850586</v>
      </c>
      <c r="J2523">
        <v>1370.0644531</v>
      </c>
      <c r="K2523">
        <v>0</v>
      </c>
      <c r="L2523">
        <v>2400</v>
      </c>
      <c r="M2523">
        <v>2400</v>
      </c>
      <c r="N2523">
        <v>0</v>
      </c>
    </row>
    <row r="2524" spans="1:14" x14ac:dyDescent="0.25">
      <c r="A2524">
        <v>1713.3573329999999</v>
      </c>
      <c r="B2524" s="1">
        <f>DATE(2015,1,8) + TIME(8,34,33)</f>
        <v>42012.35732638889</v>
      </c>
      <c r="C2524">
        <v>90</v>
      </c>
      <c r="D2524">
        <v>84.419677734000004</v>
      </c>
      <c r="E2524">
        <v>60</v>
      </c>
      <c r="F2524">
        <v>59.972579955999997</v>
      </c>
      <c r="G2524">
        <v>1303.8912353999999</v>
      </c>
      <c r="H2524">
        <v>1291.9720459</v>
      </c>
      <c r="I2524">
        <v>1387.1571045000001</v>
      </c>
      <c r="J2524">
        <v>1370.0439452999999</v>
      </c>
      <c r="K2524">
        <v>0</v>
      </c>
      <c r="L2524">
        <v>2400</v>
      </c>
      <c r="M2524">
        <v>2400</v>
      </c>
      <c r="N2524">
        <v>0</v>
      </c>
    </row>
    <row r="2525" spans="1:14" x14ac:dyDescent="0.25">
      <c r="A2525">
        <v>1715.2771029999999</v>
      </c>
      <c r="B2525" s="1">
        <f>DATE(2015,1,10) + TIME(6,39,1)</f>
        <v>42014.277094907404</v>
      </c>
      <c r="C2525">
        <v>90</v>
      </c>
      <c r="D2525">
        <v>84.304199218999997</v>
      </c>
      <c r="E2525">
        <v>60</v>
      </c>
      <c r="F2525">
        <v>59.972599029999998</v>
      </c>
      <c r="G2525">
        <v>1303.753418</v>
      </c>
      <c r="H2525">
        <v>1291.7857666</v>
      </c>
      <c r="I2525">
        <v>1387.1292725000001</v>
      </c>
      <c r="J2525">
        <v>1370.0233154</v>
      </c>
      <c r="K2525">
        <v>0</v>
      </c>
      <c r="L2525">
        <v>2400</v>
      </c>
      <c r="M2525">
        <v>2400</v>
      </c>
      <c r="N2525">
        <v>0</v>
      </c>
    </row>
    <row r="2526" spans="1:14" x14ac:dyDescent="0.25">
      <c r="A2526">
        <v>1717.234289</v>
      </c>
      <c r="B2526" s="1">
        <f>DATE(2015,1,12) + TIME(5,37,22)</f>
        <v>42016.234282407408</v>
      </c>
      <c r="C2526">
        <v>90</v>
      </c>
      <c r="D2526">
        <v>84.187271117999998</v>
      </c>
      <c r="E2526">
        <v>60</v>
      </c>
      <c r="F2526">
        <v>59.972618103000002</v>
      </c>
      <c r="G2526">
        <v>1303.6112060999999</v>
      </c>
      <c r="H2526">
        <v>1291.5928954999999</v>
      </c>
      <c r="I2526">
        <v>1387.1016846</v>
      </c>
      <c r="J2526">
        <v>1370.0029297000001</v>
      </c>
      <c r="K2526">
        <v>0</v>
      </c>
      <c r="L2526">
        <v>2400</v>
      </c>
      <c r="M2526">
        <v>2400</v>
      </c>
      <c r="N2526">
        <v>0</v>
      </c>
    </row>
    <row r="2527" spans="1:14" x14ac:dyDescent="0.25">
      <c r="A2527">
        <v>1719.22443</v>
      </c>
      <c r="B2527" s="1">
        <f>DATE(2015,1,14) + TIME(5,23,10)</f>
        <v>42018.224421296298</v>
      </c>
      <c r="C2527">
        <v>90</v>
      </c>
      <c r="D2527">
        <v>84.068824767999999</v>
      </c>
      <c r="E2527">
        <v>60</v>
      </c>
      <c r="F2527">
        <v>59.972640990999999</v>
      </c>
      <c r="G2527">
        <v>1303.4639893000001</v>
      </c>
      <c r="H2527">
        <v>1291.3929443</v>
      </c>
      <c r="I2527">
        <v>1387.0740966999999</v>
      </c>
      <c r="J2527">
        <v>1369.9824219</v>
      </c>
      <c r="K2527">
        <v>0</v>
      </c>
      <c r="L2527">
        <v>2400</v>
      </c>
      <c r="M2527">
        <v>2400</v>
      </c>
      <c r="N2527">
        <v>0</v>
      </c>
    </row>
    <row r="2528" spans="1:14" x14ac:dyDescent="0.25">
      <c r="A2528">
        <v>1721.2432899999999</v>
      </c>
      <c r="B2528" s="1">
        <f>DATE(2015,1,16) + TIME(5,50,20)</f>
        <v>42020.243287037039</v>
      </c>
      <c r="C2528">
        <v>90</v>
      </c>
      <c r="D2528">
        <v>83.948974609000004</v>
      </c>
      <c r="E2528">
        <v>60</v>
      </c>
      <c r="F2528">
        <v>59.972660064999999</v>
      </c>
      <c r="G2528">
        <v>1303.3122559000001</v>
      </c>
      <c r="H2528">
        <v>1291.1862793</v>
      </c>
      <c r="I2528">
        <v>1387.0467529</v>
      </c>
      <c r="J2528">
        <v>1369.9620361</v>
      </c>
      <c r="K2528">
        <v>0</v>
      </c>
      <c r="L2528">
        <v>2400</v>
      </c>
      <c r="M2528">
        <v>2400</v>
      </c>
      <c r="N2528">
        <v>0</v>
      </c>
    </row>
    <row r="2529" spans="1:14" x14ac:dyDescent="0.25">
      <c r="A2529">
        <v>1723.294384</v>
      </c>
      <c r="B2529" s="1">
        <f>DATE(2015,1,18) + TIME(7,3,54)</f>
        <v>42022.294374999998</v>
      </c>
      <c r="C2529">
        <v>90</v>
      </c>
      <c r="D2529">
        <v>83.827728270999998</v>
      </c>
      <c r="E2529">
        <v>60</v>
      </c>
      <c r="F2529">
        <v>59.972682953000003</v>
      </c>
      <c r="G2529">
        <v>1303.15625</v>
      </c>
      <c r="H2529">
        <v>1290.9732666</v>
      </c>
      <c r="I2529">
        <v>1387.0194091999999</v>
      </c>
      <c r="J2529">
        <v>1369.9416504000001</v>
      </c>
      <c r="K2529">
        <v>0</v>
      </c>
      <c r="L2529">
        <v>2400</v>
      </c>
      <c r="M2529">
        <v>2400</v>
      </c>
      <c r="N2529">
        <v>0</v>
      </c>
    </row>
    <row r="2530" spans="1:14" x14ac:dyDescent="0.25">
      <c r="A2530">
        <v>1725.3809450000001</v>
      </c>
      <c r="B2530" s="1">
        <f>DATE(2015,1,20) + TIME(9,8,33)</f>
        <v>42024.380937499998</v>
      </c>
      <c r="C2530">
        <v>90</v>
      </c>
      <c r="D2530">
        <v>83.704864502000007</v>
      </c>
      <c r="E2530">
        <v>60</v>
      </c>
      <c r="F2530">
        <v>59.972705841</v>
      </c>
      <c r="G2530">
        <v>1302.9954834</v>
      </c>
      <c r="H2530">
        <v>1290.7532959</v>
      </c>
      <c r="I2530">
        <v>1386.9923096</v>
      </c>
      <c r="J2530">
        <v>1369.9213867000001</v>
      </c>
      <c r="K2530">
        <v>0</v>
      </c>
      <c r="L2530">
        <v>2400</v>
      </c>
      <c r="M2530">
        <v>2400</v>
      </c>
      <c r="N2530">
        <v>0</v>
      </c>
    </row>
    <row r="2531" spans="1:14" x14ac:dyDescent="0.25">
      <c r="A2531">
        <v>1727.506159</v>
      </c>
      <c r="B2531" s="1">
        <f>DATE(2015,1,22) + TIME(12,8,52)</f>
        <v>42026.506157407406</v>
      </c>
      <c r="C2531">
        <v>90</v>
      </c>
      <c r="D2531">
        <v>83.580101013000004</v>
      </c>
      <c r="E2531">
        <v>60</v>
      </c>
      <c r="F2531">
        <v>59.972728729000004</v>
      </c>
      <c r="G2531">
        <v>1302.8297118999999</v>
      </c>
      <c r="H2531">
        <v>1290.5261230000001</v>
      </c>
      <c r="I2531">
        <v>1386.965332</v>
      </c>
      <c r="J2531">
        <v>1369.9011230000001</v>
      </c>
      <c r="K2531">
        <v>0</v>
      </c>
      <c r="L2531">
        <v>2400</v>
      </c>
      <c r="M2531">
        <v>2400</v>
      </c>
      <c r="N2531">
        <v>0</v>
      </c>
    </row>
    <row r="2532" spans="1:14" x14ac:dyDescent="0.25">
      <c r="A2532">
        <v>1729.6734750000001</v>
      </c>
      <c r="B2532" s="1">
        <f>DATE(2015,1,24) + TIME(16,9,48)</f>
        <v>42028.673472222225</v>
      </c>
      <c r="C2532">
        <v>90</v>
      </c>
      <c r="D2532">
        <v>83.453109741000006</v>
      </c>
      <c r="E2532">
        <v>60</v>
      </c>
      <c r="F2532">
        <v>59.972751617</v>
      </c>
      <c r="G2532">
        <v>1302.6588135</v>
      </c>
      <c r="H2532">
        <v>1290.2913818</v>
      </c>
      <c r="I2532">
        <v>1386.9382324000001</v>
      </c>
      <c r="J2532">
        <v>1369.8808594</v>
      </c>
      <c r="K2532">
        <v>0</v>
      </c>
      <c r="L2532">
        <v>2400</v>
      </c>
      <c r="M2532">
        <v>2400</v>
      </c>
      <c r="N2532">
        <v>0</v>
      </c>
    </row>
    <row r="2533" spans="1:14" x14ac:dyDescent="0.25">
      <c r="A2533">
        <v>1731.8855140000001</v>
      </c>
      <c r="B2533" s="1">
        <f>DATE(2015,1,26) + TIME(21,15,8)</f>
        <v>42030.885509259257</v>
      </c>
      <c r="C2533">
        <v>90</v>
      </c>
      <c r="D2533">
        <v>83.323547363000003</v>
      </c>
      <c r="E2533">
        <v>60</v>
      </c>
      <c r="F2533">
        <v>59.972778320000003</v>
      </c>
      <c r="G2533">
        <v>1302.4824219</v>
      </c>
      <c r="H2533">
        <v>1290.0484618999999</v>
      </c>
      <c r="I2533">
        <v>1386.9112548999999</v>
      </c>
      <c r="J2533">
        <v>1369.8604736</v>
      </c>
      <c r="K2533">
        <v>0</v>
      </c>
      <c r="L2533">
        <v>2400</v>
      </c>
      <c r="M2533">
        <v>2400</v>
      </c>
      <c r="N2533">
        <v>0</v>
      </c>
    </row>
    <row r="2534" spans="1:14" x14ac:dyDescent="0.25">
      <c r="A2534">
        <v>1734.1446619999999</v>
      </c>
      <c r="B2534" s="1">
        <f>DATE(2015,1,29) + TIME(3,28,18)</f>
        <v>42033.144652777781</v>
      </c>
      <c r="C2534">
        <v>90</v>
      </c>
      <c r="D2534">
        <v>83.191101074000002</v>
      </c>
      <c r="E2534">
        <v>60</v>
      </c>
      <c r="F2534">
        <v>59.972801208</v>
      </c>
      <c r="G2534">
        <v>1302.3000488</v>
      </c>
      <c r="H2534">
        <v>1289.7971190999999</v>
      </c>
      <c r="I2534">
        <v>1386.8841553</v>
      </c>
      <c r="J2534">
        <v>1369.8399658000001</v>
      </c>
      <c r="K2534">
        <v>0</v>
      </c>
      <c r="L2534">
        <v>2400</v>
      </c>
      <c r="M2534">
        <v>2400</v>
      </c>
      <c r="N2534">
        <v>0</v>
      </c>
    </row>
    <row r="2535" spans="1:14" x14ac:dyDescent="0.25">
      <c r="A2535">
        <v>1736.4434690000001</v>
      </c>
      <c r="B2535" s="1">
        <f>DATE(2015,1,31) + TIME(10,38,35)</f>
        <v>42035.443460648145</v>
      </c>
      <c r="C2535">
        <v>90</v>
      </c>
      <c r="D2535">
        <v>83.055564880000006</v>
      </c>
      <c r="E2535">
        <v>60</v>
      </c>
      <c r="F2535">
        <v>59.972827911000003</v>
      </c>
      <c r="G2535">
        <v>1302.1116943</v>
      </c>
      <c r="H2535">
        <v>1289.5368652</v>
      </c>
      <c r="I2535">
        <v>1386.8570557</v>
      </c>
      <c r="J2535">
        <v>1369.8194579999999</v>
      </c>
      <c r="K2535">
        <v>0</v>
      </c>
      <c r="L2535">
        <v>2400</v>
      </c>
      <c r="M2535">
        <v>2400</v>
      </c>
      <c r="N2535">
        <v>0</v>
      </c>
    </row>
    <row r="2536" spans="1:14" x14ac:dyDescent="0.25">
      <c r="A2536">
        <v>1737</v>
      </c>
      <c r="B2536" s="1">
        <f>DATE(2015,2,1) + TIME(0,0,0)</f>
        <v>42036</v>
      </c>
      <c r="C2536">
        <v>90</v>
      </c>
      <c r="D2536">
        <v>82.978805542000003</v>
      </c>
      <c r="E2536">
        <v>60</v>
      </c>
      <c r="F2536">
        <v>59.972827911000003</v>
      </c>
      <c r="G2536">
        <v>1301.9316406</v>
      </c>
      <c r="H2536">
        <v>1289.3001709</v>
      </c>
      <c r="I2536">
        <v>1386.8288574000001</v>
      </c>
      <c r="J2536">
        <v>1369.7978516000001</v>
      </c>
      <c r="K2536">
        <v>0</v>
      </c>
      <c r="L2536">
        <v>2400</v>
      </c>
      <c r="M2536">
        <v>2400</v>
      </c>
      <c r="N2536">
        <v>0</v>
      </c>
    </row>
    <row r="2537" spans="1:14" x14ac:dyDescent="0.25">
      <c r="A2537">
        <v>1739.3410389999999</v>
      </c>
      <c r="B2537" s="1">
        <f>DATE(2015,2,3) + TIME(8,11,5)</f>
        <v>42038.34103009259</v>
      </c>
      <c r="C2537">
        <v>90</v>
      </c>
      <c r="D2537">
        <v>82.872207642000006</v>
      </c>
      <c r="E2537">
        <v>60</v>
      </c>
      <c r="F2537">
        <v>59.972858428999999</v>
      </c>
      <c r="G2537">
        <v>1301.8603516000001</v>
      </c>
      <c r="H2537">
        <v>1289.1844481999999</v>
      </c>
      <c r="I2537">
        <v>1386.8233643000001</v>
      </c>
      <c r="J2537">
        <v>1369.7938231999999</v>
      </c>
      <c r="K2537">
        <v>0</v>
      </c>
      <c r="L2537">
        <v>2400</v>
      </c>
      <c r="M2537">
        <v>2400</v>
      </c>
      <c r="N2537">
        <v>0</v>
      </c>
    </row>
    <row r="2538" spans="1:14" x14ac:dyDescent="0.25">
      <c r="A2538">
        <v>1741.7369490000001</v>
      </c>
      <c r="B2538" s="1">
        <f>DATE(2015,2,5) + TIME(17,41,12)</f>
        <v>42040.736944444441</v>
      </c>
      <c r="C2538">
        <v>90</v>
      </c>
      <c r="D2538">
        <v>82.737846375000004</v>
      </c>
      <c r="E2538">
        <v>60</v>
      </c>
      <c r="F2538">
        <v>59.972885132000002</v>
      </c>
      <c r="G2538">
        <v>1301.6673584</v>
      </c>
      <c r="H2538">
        <v>1288.9196777</v>
      </c>
      <c r="I2538">
        <v>1386.7962646000001</v>
      </c>
      <c r="J2538">
        <v>1369.7731934000001</v>
      </c>
      <c r="K2538">
        <v>0</v>
      </c>
      <c r="L2538">
        <v>2400</v>
      </c>
      <c r="M2538">
        <v>2400</v>
      </c>
      <c r="N2538">
        <v>0</v>
      </c>
    </row>
    <row r="2539" spans="1:14" x14ac:dyDescent="0.25">
      <c r="A2539">
        <v>1744.1687340000001</v>
      </c>
      <c r="B2539" s="1">
        <f>DATE(2015,2,8) + TIME(4,2,58)</f>
        <v>42043.168726851851</v>
      </c>
      <c r="C2539">
        <v>90</v>
      </c>
      <c r="D2539">
        <v>82.593276978000006</v>
      </c>
      <c r="E2539">
        <v>60</v>
      </c>
      <c r="F2539">
        <v>59.972911834999998</v>
      </c>
      <c r="G2539">
        <v>1301.4622803</v>
      </c>
      <c r="H2539">
        <v>1288.6352539</v>
      </c>
      <c r="I2539">
        <v>1386.7689209</v>
      </c>
      <c r="J2539">
        <v>1369.7523193</v>
      </c>
      <c r="K2539">
        <v>0</v>
      </c>
      <c r="L2539">
        <v>2400</v>
      </c>
      <c r="M2539">
        <v>2400</v>
      </c>
      <c r="N2539">
        <v>0</v>
      </c>
    </row>
    <row r="2540" spans="1:14" x14ac:dyDescent="0.25">
      <c r="A2540">
        <v>1746.641361</v>
      </c>
      <c r="B2540" s="1">
        <f>DATE(2015,2,10) + TIME(15,23,33)</f>
        <v>42045.64135416667</v>
      </c>
      <c r="C2540">
        <v>90</v>
      </c>
      <c r="D2540">
        <v>82.443290709999999</v>
      </c>
      <c r="E2540">
        <v>60</v>
      </c>
      <c r="F2540">
        <v>59.972938538000001</v>
      </c>
      <c r="G2540">
        <v>1301.2501221</v>
      </c>
      <c r="H2540">
        <v>1288.3399658000001</v>
      </c>
      <c r="I2540">
        <v>1386.7415771000001</v>
      </c>
      <c r="J2540">
        <v>1369.7313231999999</v>
      </c>
      <c r="K2540">
        <v>0</v>
      </c>
      <c r="L2540">
        <v>2400</v>
      </c>
      <c r="M2540">
        <v>2400</v>
      </c>
      <c r="N2540">
        <v>0</v>
      </c>
    </row>
    <row r="2541" spans="1:14" x14ac:dyDescent="0.25">
      <c r="A2541">
        <v>1749.1589300000001</v>
      </c>
      <c r="B2541" s="1">
        <f>DATE(2015,2,13) + TIME(3,48,51)</f>
        <v>42048.15892361111</v>
      </c>
      <c r="C2541">
        <v>90</v>
      </c>
      <c r="D2541">
        <v>82.288619995000005</v>
      </c>
      <c r="E2541">
        <v>60</v>
      </c>
      <c r="F2541">
        <v>59.972969055</v>
      </c>
      <c r="G2541">
        <v>1301.0319824000001</v>
      </c>
      <c r="H2541">
        <v>1288.0355225000001</v>
      </c>
      <c r="I2541">
        <v>1386.7142334</v>
      </c>
      <c r="J2541">
        <v>1369.7103271000001</v>
      </c>
      <c r="K2541">
        <v>0</v>
      </c>
      <c r="L2541">
        <v>2400</v>
      </c>
      <c r="M2541">
        <v>2400</v>
      </c>
      <c r="N2541">
        <v>0</v>
      </c>
    </row>
    <row r="2542" spans="1:14" x14ac:dyDescent="0.25">
      <c r="A2542">
        <v>1751.7129299999999</v>
      </c>
      <c r="B2542" s="1">
        <f>DATE(2015,2,15) + TIME(17,6,37)</f>
        <v>42050.71292824074</v>
      </c>
      <c r="C2542">
        <v>90</v>
      </c>
      <c r="D2542">
        <v>82.129173279</v>
      </c>
      <c r="E2542">
        <v>60</v>
      </c>
      <c r="F2542">
        <v>59.972995758000003</v>
      </c>
      <c r="G2542">
        <v>1300.8077393000001</v>
      </c>
      <c r="H2542">
        <v>1287.7218018000001</v>
      </c>
      <c r="I2542">
        <v>1386.6867675999999</v>
      </c>
      <c r="J2542">
        <v>1369.6890868999999</v>
      </c>
      <c r="K2542">
        <v>0</v>
      </c>
      <c r="L2542">
        <v>2400</v>
      </c>
      <c r="M2542">
        <v>2400</v>
      </c>
      <c r="N2542">
        <v>0</v>
      </c>
    </row>
    <row r="2543" spans="1:14" x14ac:dyDescent="0.25">
      <c r="A2543">
        <v>1754.307104</v>
      </c>
      <c r="B2543" s="1">
        <f>DATE(2015,2,18) + TIME(7,22,13)</f>
        <v>42053.30709490741</v>
      </c>
      <c r="C2543">
        <v>90</v>
      </c>
      <c r="D2543">
        <v>81.964874268000003</v>
      </c>
      <c r="E2543">
        <v>60</v>
      </c>
      <c r="F2543">
        <v>59.973026275999999</v>
      </c>
      <c r="G2543">
        <v>1300.5780029</v>
      </c>
      <c r="H2543">
        <v>1287.3999022999999</v>
      </c>
      <c r="I2543">
        <v>1386.6593018000001</v>
      </c>
      <c r="J2543">
        <v>1369.6678466999999</v>
      </c>
      <c r="K2543">
        <v>0</v>
      </c>
      <c r="L2543">
        <v>2400</v>
      </c>
      <c r="M2543">
        <v>2400</v>
      </c>
      <c r="N2543">
        <v>0</v>
      </c>
    </row>
    <row r="2544" spans="1:14" x14ac:dyDescent="0.25">
      <c r="A2544">
        <v>1756.9463459999999</v>
      </c>
      <c r="B2544" s="1">
        <f>DATE(2015,2,20) + TIME(22,42,44)</f>
        <v>42055.946342592593</v>
      </c>
      <c r="C2544">
        <v>90</v>
      </c>
      <c r="D2544">
        <v>81.795204162999994</v>
      </c>
      <c r="E2544">
        <v>60</v>
      </c>
      <c r="F2544">
        <v>59.973056792999998</v>
      </c>
      <c r="G2544">
        <v>1300.3426514</v>
      </c>
      <c r="H2544">
        <v>1287.0694579999999</v>
      </c>
      <c r="I2544">
        <v>1386.6318358999999</v>
      </c>
      <c r="J2544">
        <v>1369.6464844</v>
      </c>
      <c r="K2544">
        <v>0</v>
      </c>
      <c r="L2544">
        <v>2400</v>
      </c>
      <c r="M2544">
        <v>2400</v>
      </c>
      <c r="N2544">
        <v>0</v>
      </c>
    </row>
    <row r="2545" spans="1:14" x14ac:dyDescent="0.25">
      <c r="A2545">
        <v>1759.6249210000001</v>
      </c>
      <c r="B2545" s="1">
        <f>DATE(2015,2,23) + TIME(14,59,53)</f>
        <v>42058.624918981484</v>
      </c>
      <c r="C2545">
        <v>90</v>
      </c>
      <c r="D2545">
        <v>81.619621276999993</v>
      </c>
      <c r="E2545">
        <v>60</v>
      </c>
      <c r="F2545">
        <v>59.973083496000001</v>
      </c>
      <c r="G2545">
        <v>1300.1013184000001</v>
      </c>
      <c r="H2545">
        <v>1286.7299805</v>
      </c>
      <c r="I2545">
        <v>1386.604126</v>
      </c>
      <c r="J2545">
        <v>1369.6248779</v>
      </c>
      <c r="K2545">
        <v>0</v>
      </c>
      <c r="L2545">
        <v>2400</v>
      </c>
      <c r="M2545">
        <v>2400</v>
      </c>
      <c r="N2545">
        <v>0</v>
      </c>
    </row>
    <row r="2546" spans="1:14" x14ac:dyDescent="0.25">
      <c r="A2546">
        <v>1762.34328</v>
      </c>
      <c r="B2546" s="1">
        <f>DATE(2015,2,26) + TIME(8,14,19)</f>
        <v>42061.343275462961</v>
      </c>
      <c r="C2546">
        <v>90</v>
      </c>
      <c r="D2546">
        <v>81.437858582000004</v>
      </c>
      <c r="E2546">
        <v>60</v>
      </c>
      <c r="F2546">
        <v>59.973114013999997</v>
      </c>
      <c r="G2546">
        <v>1299.8544922000001</v>
      </c>
      <c r="H2546">
        <v>1286.3820800999999</v>
      </c>
      <c r="I2546">
        <v>1386.5762939000001</v>
      </c>
      <c r="J2546">
        <v>1369.6031493999999</v>
      </c>
      <c r="K2546">
        <v>0</v>
      </c>
      <c r="L2546">
        <v>2400</v>
      </c>
      <c r="M2546">
        <v>2400</v>
      </c>
      <c r="N2546">
        <v>0</v>
      </c>
    </row>
    <row r="2547" spans="1:14" x14ac:dyDescent="0.25">
      <c r="A2547">
        <v>1765</v>
      </c>
      <c r="B2547" s="1">
        <f>DATE(2015,3,1) + TIME(0,0,0)</f>
        <v>42064</v>
      </c>
      <c r="C2547">
        <v>90</v>
      </c>
      <c r="D2547">
        <v>81.251022339000002</v>
      </c>
      <c r="E2547">
        <v>60</v>
      </c>
      <c r="F2547">
        <v>59.973144531000003</v>
      </c>
      <c r="G2547">
        <v>1299.6025391000001</v>
      </c>
      <c r="H2547">
        <v>1286.0267334</v>
      </c>
      <c r="I2547">
        <v>1386.5484618999999</v>
      </c>
      <c r="J2547">
        <v>1369.5812988</v>
      </c>
      <c r="K2547">
        <v>0</v>
      </c>
      <c r="L2547">
        <v>2400</v>
      </c>
      <c r="M2547">
        <v>2400</v>
      </c>
      <c r="N2547">
        <v>0</v>
      </c>
    </row>
    <row r="2548" spans="1:14" x14ac:dyDescent="0.25">
      <c r="A2548">
        <v>1767.7629159999999</v>
      </c>
      <c r="B2548" s="1">
        <f>DATE(2015,3,3) + TIME(18,18,35)</f>
        <v>42066.76290509259</v>
      </c>
      <c r="C2548">
        <v>90</v>
      </c>
      <c r="D2548">
        <v>81.060562133999994</v>
      </c>
      <c r="E2548">
        <v>60</v>
      </c>
      <c r="F2548">
        <v>59.973175048999998</v>
      </c>
      <c r="G2548">
        <v>1299.3529053</v>
      </c>
      <c r="H2548">
        <v>1285.6727295000001</v>
      </c>
      <c r="I2548">
        <v>1386.5214844</v>
      </c>
      <c r="J2548">
        <v>1369.5600586</v>
      </c>
      <c r="K2548">
        <v>0</v>
      </c>
      <c r="L2548">
        <v>2400</v>
      </c>
      <c r="M2548">
        <v>2400</v>
      </c>
      <c r="N2548">
        <v>0</v>
      </c>
    </row>
    <row r="2549" spans="1:14" x14ac:dyDescent="0.25">
      <c r="A2549">
        <v>1770.6286250000001</v>
      </c>
      <c r="B2549" s="1">
        <f>DATE(2015,3,6) + TIME(15,5,13)</f>
        <v>42069.628622685188</v>
      </c>
      <c r="C2549">
        <v>90</v>
      </c>
      <c r="D2549">
        <v>80.859863281000003</v>
      </c>
      <c r="E2549">
        <v>60</v>
      </c>
      <c r="F2549">
        <v>59.973209380999997</v>
      </c>
      <c r="G2549">
        <v>1299.0936279</v>
      </c>
      <c r="H2549">
        <v>1285.3052978999999</v>
      </c>
      <c r="I2549">
        <v>1386.4936522999999</v>
      </c>
      <c r="J2549">
        <v>1369.5379639</v>
      </c>
      <c r="K2549">
        <v>0</v>
      </c>
      <c r="L2549">
        <v>2400</v>
      </c>
      <c r="M2549">
        <v>2400</v>
      </c>
      <c r="N2549">
        <v>0</v>
      </c>
    </row>
    <row r="2550" spans="1:14" x14ac:dyDescent="0.25">
      <c r="A2550">
        <v>1773.553193</v>
      </c>
      <c r="B2550" s="1">
        <f>DATE(2015,3,9) + TIME(13,16,35)</f>
        <v>42072.553182870368</v>
      </c>
      <c r="C2550">
        <v>90</v>
      </c>
      <c r="D2550">
        <v>80.647537231000001</v>
      </c>
      <c r="E2550">
        <v>60</v>
      </c>
      <c r="F2550">
        <v>59.973239898999999</v>
      </c>
      <c r="G2550">
        <v>1298.8238524999999</v>
      </c>
      <c r="H2550">
        <v>1284.9223632999999</v>
      </c>
      <c r="I2550">
        <v>1386.4650879000001</v>
      </c>
      <c r="J2550">
        <v>1369.5152588000001</v>
      </c>
      <c r="K2550">
        <v>0</v>
      </c>
      <c r="L2550">
        <v>2400</v>
      </c>
      <c r="M2550">
        <v>2400</v>
      </c>
      <c r="N2550">
        <v>0</v>
      </c>
    </row>
    <row r="2551" spans="1:14" x14ac:dyDescent="0.25">
      <c r="A2551">
        <v>1776.54159</v>
      </c>
      <c r="B2551" s="1">
        <f>DATE(2015,3,12) + TIME(12,59,53)</f>
        <v>42075.541585648149</v>
      </c>
      <c r="C2551">
        <v>90</v>
      </c>
      <c r="D2551">
        <v>80.424583435000002</v>
      </c>
      <c r="E2551">
        <v>60</v>
      </c>
      <c r="F2551">
        <v>59.973274230999998</v>
      </c>
      <c r="G2551">
        <v>1298.5466309000001</v>
      </c>
      <c r="H2551">
        <v>1284.5279541</v>
      </c>
      <c r="I2551">
        <v>1386.4360352000001</v>
      </c>
      <c r="J2551">
        <v>1369.4921875</v>
      </c>
      <c r="K2551">
        <v>0</v>
      </c>
      <c r="L2551">
        <v>2400</v>
      </c>
      <c r="M2551">
        <v>2400</v>
      </c>
      <c r="N2551">
        <v>0</v>
      </c>
    </row>
    <row r="2552" spans="1:14" x14ac:dyDescent="0.25">
      <c r="A2552">
        <v>1779.5987680000001</v>
      </c>
      <c r="B2552" s="1">
        <f>DATE(2015,3,15) + TIME(14,22,13)</f>
        <v>42078.598761574074</v>
      </c>
      <c r="C2552">
        <v>90</v>
      </c>
      <c r="D2552">
        <v>80.190460204999994</v>
      </c>
      <c r="E2552">
        <v>60</v>
      </c>
      <c r="F2552">
        <v>59.973308563000003</v>
      </c>
      <c r="G2552">
        <v>1298.2623291</v>
      </c>
      <c r="H2552">
        <v>1284.1223144999999</v>
      </c>
      <c r="I2552">
        <v>1386.4067382999999</v>
      </c>
      <c r="J2552">
        <v>1369.46875</v>
      </c>
      <c r="K2552">
        <v>0</v>
      </c>
      <c r="L2552">
        <v>2400</v>
      </c>
      <c r="M2552">
        <v>2400</v>
      </c>
      <c r="N2552">
        <v>0</v>
      </c>
    </row>
    <row r="2553" spans="1:14" x14ac:dyDescent="0.25">
      <c r="A2553">
        <v>1782.707846</v>
      </c>
      <c r="B2553" s="1">
        <f>DATE(2015,3,18) + TIME(16,59,17)</f>
        <v>42081.707835648151</v>
      </c>
      <c r="C2553">
        <v>90</v>
      </c>
      <c r="D2553">
        <v>79.944435119999994</v>
      </c>
      <c r="E2553">
        <v>60</v>
      </c>
      <c r="F2553">
        <v>59.973342895999998</v>
      </c>
      <c r="G2553">
        <v>1297.9704589999999</v>
      </c>
      <c r="H2553">
        <v>1283.7053223</v>
      </c>
      <c r="I2553">
        <v>1386.3768310999999</v>
      </c>
      <c r="J2553">
        <v>1369.4447021000001</v>
      </c>
      <c r="K2553">
        <v>0</v>
      </c>
      <c r="L2553">
        <v>2400</v>
      </c>
      <c r="M2553">
        <v>2400</v>
      </c>
      <c r="N2553">
        <v>0</v>
      </c>
    </row>
    <row r="2554" spans="1:14" x14ac:dyDescent="0.25">
      <c r="A2554">
        <v>1785.8763180000001</v>
      </c>
      <c r="B2554" s="1">
        <f>DATE(2015,3,21) + TIME(21,1,53)</f>
        <v>42084.876307870371</v>
      </c>
      <c r="C2554">
        <v>90</v>
      </c>
      <c r="D2554">
        <v>79.686454772999994</v>
      </c>
      <c r="E2554">
        <v>60</v>
      </c>
      <c r="F2554">
        <v>59.973377227999997</v>
      </c>
      <c r="G2554">
        <v>1297.6726074000001</v>
      </c>
      <c r="H2554">
        <v>1283.2785644999999</v>
      </c>
      <c r="I2554">
        <v>1386.3465576000001</v>
      </c>
      <c r="J2554">
        <v>1369.4204102000001</v>
      </c>
      <c r="K2554">
        <v>0</v>
      </c>
      <c r="L2554">
        <v>2400</v>
      </c>
      <c r="M2554">
        <v>2400</v>
      </c>
      <c r="N2554">
        <v>0</v>
      </c>
    </row>
    <row r="2555" spans="1:14" x14ac:dyDescent="0.25">
      <c r="A2555">
        <v>1789.110733</v>
      </c>
      <c r="B2555" s="1">
        <f>DATE(2015,3,25) + TIME(2,39,27)</f>
        <v>42088.110729166663</v>
      </c>
      <c r="C2555">
        <v>90</v>
      </c>
      <c r="D2555">
        <v>79.415596007999994</v>
      </c>
      <c r="E2555">
        <v>60</v>
      </c>
      <c r="F2555">
        <v>59.973411560000002</v>
      </c>
      <c r="G2555">
        <v>1297.3684082</v>
      </c>
      <c r="H2555">
        <v>1282.8420410000001</v>
      </c>
      <c r="I2555">
        <v>1386.315918</v>
      </c>
      <c r="J2555">
        <v>1369.3955077999999</v>
      </c>
      <c r="K2555">
        <v>0</v>
      </c>
      <c r="L2555">
        <v>2400</v>
      </c>
      <c r="M2555">
        <v>2400</v>
      </c>
      <c r="N2555">
        <v>0</v>
      </c>
    </row>
    <row r="2556" spans="1:14" x14ac:dyDescent="0.25">
      <c r="A2556">
        <v>1792.4194849999999</v>
      </c>
      <c r="B2556" s="1">
        <f>DATE(2015,3,28) + TIME(10,4,3)</f>
        <v>42091.419479166667</v>
      </c>
      <c r="C2556">
        <v>90</v>
      </c>
      <c r="D2556">
        <v>79.130699157999999</v>
      </c>
      <c r="E2556">
        <v>60</v>
      </c>
      <c r="F2556">
        <v>59.973449707</v>
      </c>
      <c r="G2556">
        <v>1297.0577393000001</v>
      </c>
      <c r="H2556">
        <v>1282.3948975000001</v>
      </c>
      <c r="I2556">
        <v>1386.2847899999999</v>
      </c>
      <c r="J2556">
        <v>1369.3702393000001</v>
      </c>
      <c r="K2556">
        <v>0</v>
      </c>
      <c r="L2556">
        <v>2400</v>
      </c>
      <c r="M2556">
        <v>2400</v>
      </c>
      <c r="N2556">
        <v>0</v>
      </c>
    </row>
    <row r="2557" spans="1:14" x14ac:dyDescent="0.25">
      <c r="A2557">
        <v>1795.8099420000001</v>
      </c>
      <c r="B2557" s="1">
        <f>DATE(2015,3,31) + TIME(19,26,18)</f>
        <v>42094.809930555559</v>
      </c>
      <c r="C2557">
        <v>90</v>
      </c>
      <c r="D2557">
        <v>78.830291747999993</v>
      </c>
      <c r="E2557">
        <v>60</v>
      </c>
      <c r="F2557">
        <v>59.973487853999998</v>
      </c>
      <c r="G2557">
        <v>1296.7399902</v>
      </c>
      <c r="H2557">
        <v>1281.9365233999999</v>
      </c>
      <c r="I2557">
        <v>1386.2530518000001</v>
      </c>
      <c r="J2557">
        <v>1369.3442382999999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1796</v>
      </c>
      <c r="B2558" s="1">
        <f>DATE(2015,4,1) + TIME(0,0,0)</f>
        <v>42095</v>
      </c>
      <c r="C2558">
        <v>90</v>
      </c>
      <c r="D2558">
        <v>78.749092102000006</v>
      </c>
      <c r="E2558">
        <v>60</v>
      </c>
      <c r="F2558">
        <v>59.973484038999999</v>
      </c>
      <c r="G2558">
        <v>1296.4525146000001</v>
      </c>
      <c r="H2558">
        <v>1281.5749512</v>
      </c>
      <c r="I2558">
        <v>1386.2204589999999</v>
      </c>
      <c r="J2558">
        <v>1369.3175048999999</v>
      </c>
      <c r="K2558">
        <v>0</v>
      </c>
      <c r="L2558">
        <v>2400</v>
      </c>
      <c r="M2558">
        <v>2400</v>
      </c>
      <c r="N255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2022-05-31T07:30:00Z</dcterms:created>
  <dcterms:modified xsi:type="dcterms:W3CDTF">2022-05-31T07:30:52Z</dcterms:modified>
</cp:coreProperties>
</file>