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6_Tinj90_Tret30/"/>
    </mc:Choice>
  </mc:AlternateContent>
  <xr:revisionPtr revIDLastSave="0" documentId="8_{7B3E62DD-87F0-40B6-A98A-54149CA3ABA6}" xr6:coauthVersionLast="47" xr6:coauthVersionMax="47" xr10:uidLastSave="{00000000-0000-0000-0000-000000000000}"/>
  <bookViews>
    <workbookView xWindow="1140" yWindow="960" windowWidth="18915" windowHeight="9960" xr2:uid="{84CEF918-6CBB-4533-ACEF-9C88A4857BED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61" i="1" l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<sst xmlns="http://schemas.openxmlformats.org/spreadsheetml/2006/main" count="15" uniqueCount="15">
  <si>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MODEL\SCENARIOS\2022\S6_Tinj90_Tret30\S6_Tinj90_Tret30.sr3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</si>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</sst>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FA422-FD58-42E4-907A-8DA8B0A824C4}" name="Table1" displayName="Table1" ref="A3:N2561" totalsRowShown="0">
  <autoFilter ref="A3:N2561" xr:uid="{F1FFA422-FD58-42E4-907A-8DA8B0A824C4}"/>
  <tableColumns count="14">
    <tableColumn id="1" xr3:uid="{8E5AF618-CCA4-42EE-99AD-7C0CDF9A03AB}" name="Time (day)"/>
    <tableColumn id="2" xr3:uid="{1A4A0B68-FED6-42FD-A1F4-D3FA53CA4D3C}" name="Date" dataDxfId="0"/>
    <tableColumn id="3" xr3:uid="{ACDDC97E-D1F6-4AEE-82C1-4DCFD9F682E3}" name="Hot well INJ-Well bottom hole temperature (C)"/>
    <tableColumn id="4" xr3:uid="{91A2E3F8-50B5-435C-ABA2-69D27F36F91A}" name="Hot well PROD-Well bottom hole temperature (C)"/>
    <tableColumn id="5" xr3:uid="{524D942A-A456-4DAC-832D-FBBB635B9E73}" name="Warm well INJ-Well bottom hole temperature (C)"/>
    <tableColumn id="6" xr3:uid="{48A18275-F854-47F8-8FAB-4A9984B36ABB}" name="Warm well PROD-Well bottom hole temperature (C)"/>
    <tableColumn id="7" xr3:uid="{2F5826FA-3E37-404E-8C20-F47B665EA5ED}" name="Hot well INJ-Well Bottom-hole Pressure (kPa)"/>
    <tableColumn id="8" xr3:uid="{62F74B1A-BE52-4D88-A2FD-91EF6806FE5D}" name="Hot well PROD-Well Bottom-hole Pressure (kPa)"/>
    <tableColumn id="9" xr3:uid="{4D52E019-AA69-4044-90A8-BD99471031C0}" name="Warm well INJ-Well Bottom-hole Pressure (kPa)"/>
    <tableColumn id="10" xr3:uid="{9B715566-5327-4F1B-BF8D-82CA15CAC42D}" name="Warm well PROD-Well Bottom-hole Pressure (kPa)"/>
    <tableColumn id="11" xr3:uid="{21F7DFDA-5A20-4158-9CAA-41ADE4CA64CF}" name="Hot well INJ-Fluid Rate SC (m³/day)"/>
    <tableColumn id="12" xr3:uid="{1549EF6E-B9A3-47DE-B82E-95F5F4873E46}" name="Hot well PROD-Fluid Rate SC (m³/day)"/>
    <tableColumn id="13" xr3:uid="{14888878-92B1-4647-A95F-677D4560443F}" name="Warm well INJ-Fluid Rate SC (m³/day)"/>
    <tableColumn id="14" xr3:uid="{EF213AFC-BBA5-4229-8B30-E1B3E6BCE87C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747C-34D9-4494-AE1E-47D6C445C744}">
  <dimension ref="A1:N2561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90</v>
      </c>
      <c r="D4">
        <v>15.0001297</v>
      </c>
      <c r="E4">
        <v>30</v>
      </c>
      <c r="F4">
        <v>14.999955177</v>
      </c>
      <c r="G4">
        <v>1369.2739257999999</v>
      </c>
      <c r="H4">
        <v>1329.8491211</v>
      </c>
      <c r="I4">
        <v>1328.9722899999999</v>
      </c>
      <c r="J4">
        <v>1289.5467529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90</v>
      </c>
      <c r="D5">
        <v>15.000512123</v>
      </c>
      <c r="E5">
        <v>30</v>
      </c>
      <c r="F5">
        <v>14.999827385</v>
      </c>
      <c r="G5">
        <v>1370.5163574000001</v>
      </c>
      <c r="H5">
        <v>1331.0919189000001</v>
      </c>
      <c r="I5">
        <v>1327.7358397999999</v>
      </c>
      <c r="J5">
        <v>1288.3100586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90</v>
      </c>
      <c r="D6">
        <v>15.001600266000001</v>
      </c>
      <c r="E6">
        <v>30</v>
      </c>
      <c r="F6">
        <v>14.999503136</v>
      </c>
      <c r="G6">
        <v>1373.6933594</v>
      </c>
      <c r="H6">
        <v>1334.2700195</v>
      </c>
      <c r="I6">
        <v>1324.5737305</v>
      </c>
      <c r="J6">
        <v>1285.1474608999999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90</v>
      </c>
      <c r="D7">
        <v>15.004561424</v>
      </c>
      <c r="E7">
        <v>30</v>
      </c>
      <c r="F7">
        <v>14.998830795</v>
      </c>
      <c r="G7">
        <v>1380.2542725000001</v>
      </c>
      <c r="H7">
        <v>1340.8338623</v>
      </c>
      <c r="I7">
        <v>1318.0427245999999</v>
      </c>
      <c r="J7">
        <v>1278.6156006000001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90</v>
      </c>
      <c r="D8">
        <v>15.012433052</v>
      </c>
      <c r="E8">
        <v>30</v>
      </c>
      <c r="F8">
        <v>14.997821807999999</v>
      </c>
      <c r="G8">
        <v>1390.1068115</v>
      </c>
      <c r="H8">
        <v>1350.6945800999999</v>
      </c>
      <c r="I8">
        <v>1308.2296143000001</v>
      </c>
      <c r="J8">
        <v>1268.8012695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90</v>
      </c>
      <c r="D9">
        <v>15.034149169999999</v>
      </c>
      <c r="E9">
        <v>30</v>
      </c>
      <c r="F9">
        <v>14.996677398999999</v>
      </c>
      <c r="G9">
        <v>1401.2657471</v>
      </c>
      <c r="H9">
        <v>1361.8759766000001</v>
      </c>
      <c r="I9">
        <v>1297.0947266000001</v>
      </c>
      <c r="J9">
        <v>1257.6650391000001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90</v>
      </c>
      <c r="D10">
        <v>15.096955298999999</v>
      </c>
      <c r="E10">
        <v>30</v>
      </c>
      <c r="F10">
        <v>14.995523453000001</v>
      </c>
      <c r="G10">
        <v>1412.4775391000001</v>
      </c>
      <c r="H10">
        <v>1373.152832</v>
      </c>
      <c r="I10">
        <v>1285.8406981999999</v>
      </c>
      <c r="J10">
        <v>1246.4097899999999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90</v>
      </c>
      <c r="D11">
        <v>15.282614708000001</v>
      </c>
      <c r="E11">
        <v>30</v>
      </c>
      <c r="F11">
        <v>14.994379996999999</v>
      </c>
      <c r="G11">
        <v>1423.4459228999999</v>
      </c>
      <c r="H11">
        <v>1384.3122559000001</v>
      </c>
      <c r="I11">
        <v>1274.6348877</v>
      </c>
      <c r="J11">
        <v>1235.2026367000001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90</v>
      </c>
      <c r="D12">
        <v>15.833404541</v>
      </c>
      <c r="E12">
        <v>30</v>
      </c>
      <c r="F12">
        <v>14.993297577</v>
      </c>
      <c r="G12">
        <v>1433.4129639</v>
      </c>
      <c r="H12">
        <v>1394.8369141000001</v>
      </c>
      <c r="I12">
        <v>1263.8701172000001</v>
      </c>
      <c r="J12">
        <v>1224.4367675999999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2.1753000000000002E-2</v>
      </c>
      <c r="B13" s="1">
        <f>DATE(2010,5,1) + TIME(0,31,19)</f>
        <v>40299.021747685183</v>
      </c>
      <c r="C13">
        <v>90</v>
      </c>
      <c r="D13">
        <v>16.821529387999998</v>
      </c>
      <c r="E13">
        <v>30</v>
      </c>
      <c r="F13">
        <v>14.992620468</v>
      </c>
      <c r="G13">
        <v>1439.0172118999999</v>
      </c>
      <c r="H13">
        <v>1401.4053954999999</v>
      </c>
      <c r="I13">
        <v>1256.9090576000001</v>
      </c>
      <c r="J13">
        <v>1217.4750977000001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3.3807999999999998E-2</v>
      </c>
      <c r="B14" s="1">
        <f>DATE(2010,5,1) + TIME(0,48,41)</f>
        <v>40299.033807870372</v>
      </c>
      <c r="C14">
        <v>90</v>
      </c>
      <c r="D14">
        <v>17.809810637999998</v>
      </c>
      <c r="E14">
        <v>30</v>
      </c>
      <c r="F14">
        <v>14.992325783</v>
      </c>
      <c r="G14">
        <v>1440.9541016000001</v>
      </c>
      <c r="H14">
        <v>1404.2601318</v>
      </c>
      <c r="I14">
        <v>1253.7148437999999</v>
      </c>
      <c r="J14">
        <v>1214.2805175999999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4.6005999999999998E-2</v>
      </c>
      <c r="B15" s="1">
        <f>DATE(2010,5,1) + TIME(1,6,14)</f>
        <v>40299.045995370368</v>
      </c>
      <c r="C15">
        <v>90</v>
      </c>
      <c r="D15">
        <v>18.798492432</v>
      </c>
      <c r="E15">
        <v>30</v>
      </c>
      <c r="F15">
        <v>14.992189407</v>
      </c>
      <c r="G15">
        <v>1441.4185791</v>
      </c>
      <c r="H15">
        <v>1405.6047363</v>
      </c>
      <c r="I15">
        <v>1252.0784911999999</v>
      </c>
      <c r="J15">
        <v>1212.644043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5.8344E-2</v>
      </c>
      <c r="B16" s="1">
        <f>DATE(2010,5,1) + TIME(1,24,0)</f>
        <v>40299.058333333334</v>
      </c>
      <c r="C16">
        <v>90</v>
      </c>
      <c r="D16">
        <v>19.787059784</v>
      </c>
      <c r="E16">
        <v>30</v>
      </c>
      <c r="F16">
        <v>14.992129326000001</v>
      </c>
      <c r="G16">
        <v>1441.1893310999999</v>
      </c>
      <c r="H16">
        <v>1406.2194824000001</v>
      </c>
      <c r="I16">
        <v>1251.1995850000001</v>
      </c>
      <c r="J16">
        <v>1211.7648925999999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7.0823999999999998E-2</v>
      </c>
      <c r="B17" s="1">
        <f>DATE(2010,5,1) + TIME(1,41,59)</f>
        <v>40299.070821759262</v>
      </c>
      <c r="C17">
        <v>90</v>
      </c>
      <c r="D17">
        <v>20.776153564000001</v>
      </c>
      <c r="E17">
        <v>30</v>
      </c>
      <c r="F17">
        <v>14.992109298999999</v>
      </c>
      <c r="G17">
        <v>1440.6053466999999</v>
      </c>
      <c r="H17">
        <v>1406.4454346</v>
      </c>
      <c r="I17">
        <v>1250.7214355000001</v>
      </c>
      <c r="J17">
        <v>1211.2867432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8.3442000000000002E-2</v>
      </c>
      <c r="B18" s="1">
        <f>DATE(2010,5,1) + TIME(2,0,9)</f>
        <v>40299.083437499998</v>
      </c>
      <c r="C18">
        <v>90</v>
      </c>
      <c r="D18">
        <v>21.764587402</v>
      </c>
      <c r="E18">
        <v>30</v>
      </c>
      <c r="F18">
        <v>14.99211216</v>
      </c>
      <c r="G18">
        <v>1439.8355713000001</v>
      </c>
      <c r="H18">
        <v>1406.4526367000001</v>
      </c>
      <c r="I18">
        <v>1250.4645995999999</v>
      </c>
      <c r="J18">
        <v>1211.0299072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9.6208000000000002E-2</v>
      </c>
      <c r="B19" s="1">
        <f>DATE(2010,5,1) + TIME(2,18,32)</f>
        <v>40299.096203703702</v>
      </c>
      <c r="C19">
        <v>90</v>
      </c>
      <c r="D19">
        <v>22.752637863</v>
      </c>
      <c r="E19">
        <v>30</v>
      </c>
      <c r="F19">
        <v>14.992127418999999</v>
      </c>
      <c r="G19">
        <v>1438.9707031</v>
      </c>
      <c r="H19">
        <v>1406.3337402</v>
      </c>
      <c r="I19">
        <v>1250.331543</v>
      </c>
      <c r="J19">
        <v>1210.8967285000001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0.109128</v>
      </c>
      <c r="B20" s="1">
        <f>DATE(2010,5,1) + TIME(2,37,8)</f>
        <v>40299.109120370369</v>
      </c>
      <c r="C20">
        <v>90</v>
      </c>
      <c r="D20">
        <v>23.740482329999999</v>
      </c>
      <c r="E20">
        <v>30</v>
      </c>
      <c r="F20">
        <v>14.992150306999999</v>
      </c>
      <c r="G20">
        <v>1438.0623779</v>
      </c>
      <c r="H20">
        <v>1406.1419678</v>
      </c>
      <c r="I20">
        <v>1250.2674560999999</v>
      </c>
      <c r="J20">
        <v>1210.8326416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0.122207</v>
      </c>
      <c r="B21" s="1">
        <f>DATE(2010,5,1) + TIME(2,55,58)</f>
        <v>40299.122199074074</v>
      </c>
      <c r="C21">
        <v>90</v>
      </c>
      <c r="D21">
        <v>24.728113174000001</v>
      </c>
      <c r="E21">
        <v>30</v>
      </c>
      <c r="F21">
        <v>14.992176056</v>
      </c>
      <c r="G21">
        <v>1437.140625</v>
      </c>
      <c r="H21">
        <v>1405.9089355000001</v>
      </c>
      <c r="I21">
        <v>1250.2410889</v>
      </c>
      <c r="J21">
        <v>1210.8062743999999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0.13544999999999999</v>
      </c>
      <c r="B22" s="1">
        <f>DATE(2010,5,1) + TIME(3,15,2)</f>
        <v>40299.135439814818</v>
      </c>
      <c r="C22">
        <v>90</v>
      </c>
      <c r="D22">
        <v>25.716009140000001</v>
      </c>
      <c r="E22">
        <v>30</v>
      </c>
      <c r="F22">
        <v>14.992204665999999</v>
      </c>
      <c r="G22">
        <v>1436.2230225000001</v>
      </c>
      <c r="H22">
        <v>1405.6538086</v>
      </c>
      <c r="I22">
        <v>1250.2348632999999</v>
      </c>
      <c r="J22">
        <v>1210.7999268000001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0.14885499999999999</v>
      </c>
      <c r="B23" s="1">
        <f>DATE(2010,5,1) + TIME(3,34,21)</f>
        <v>40299.148854166669</v>
      </c>
      <c r="C23">
        <v>90</v>
      </c>
      <c r="D23">
        <v>26.703395843999999</v>
      </c>
      <c r="E23">
        <v>30</v>
      </c>
      <c r="F23">
        <v>14.992234229999999</v>
      </c>
      <c r="G23">
        <v>1435.3204346</v>
      </c>
      <c r="H23">
        <v>1405.3884277</v>
      </c>
      <c r="I23">
        <v>1250.2384033000001</v>
      </c>
      <c r="J23">
        <v>1210.8035889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0.16243099999999999</v>
      </c>
      <c r="B24" s="1">
        <f>DATE(2010,5,1) + TIME(3,53,54)</f>
        <v>40299.162430555552</v>
      </c>
      <c r="C24">
        <v>90</v>
      </c>
      <c r="D24">
        <v>27.690370560000002</v>
      </c>
      <c r="E24">
        <v>30</v>
      </c>
      <c r="F24">
        <v>14.992263793999999</v>
      </c>
      <c r="G24">
        <v>1434.4388428</v>
      </c>
      <c r="H24">
        <v>1405.1198730000001</v>
      </c>
      <c r="I24">
        <v>1250.2463379000001</v>
      </c>
      <c r="J24">
        <v>1210.8114014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0.17618700000000001</v>
      </c>
      <c r="B25" s="1">
        <f>DATE(2010,5,1) + TIME(4,13,42)</f>
        <v>40299.176180555558</v>
      </c>
      <c r="C25">
        <v>90</v>
      </c>
      <c r="D25">
        <v>28.677108765</v>
      </c>
      <c r="E25">
        <v>30</v>
      </c>
      <c r="F25">
        <v>14.992293358</v>
      </c>
      <c r="G25">
        <v>1433.5812988</v>
      </c>
      <c r="H25">
        <v>1404.8526611</v>
      </c>
      <c r="I25">
        <v>1250.2556152</v>
      </c>
      <c r="J25">
        <v>1210.8208007999999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0.19012699999999999</v>
      </c>
      <c r="B26" s="1">
        <f>DATE(2010,5,1) + TIME(4,33,47)</f>
        <v>40299.190127314818</v>
      </c>
      <c r="C26">
        <v>90</v>
      </c>
      <c r="D26">
        <v>29.663600922000001</v>
      </c>
      <c r="E26">
        <v>30</v>
      </c>
      <c r="F26">
        <v>14.992322922</v>
      </c>
      <c r="G26">
        <v>1432.7495117000001</v>
      </c>
      <c r="H26">
        <v>1404.5893555</v>
      </c>
      <c r="I26">
        <v>1250.2648925999999</v>
      </c>
      <c r="J26">
        <v>1210.8299560999999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0.204259</v>
      </c>
      <c r="B27" s="1">
        <f>DATE(2010,5,1) + TIME(4,54,7)</f>
        <v>40299.204247685186</v>
      </c>
      <c r="C27">
        <v>90</v>
      </c>
      <c r="D27">
        <v>30.649988174000001</v>
      </c>
      <c r="E27">
        <v>30</v>
      </c>
      <c r="F27">
        <v>14.992353439</v>
      </c>
      <c r="G27">
        <v>1431.9439697</v>
      </c>
      <c r="H27">
        <v>1404.3317870999999</v>
      </c>
      <c r="I27">
        <v>1250.2734375</v>
      </c>
      <c r="J27">
        <v>1210.8383789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0.218585</v>
      </c>
      <c r="B28" s="1">
        <f>DATE(2010,5,1) + TIME(5,14,45)</f>
        <v>40299.218576388892</v>
      </c>
      <c r="C28">
        <v>90</v>
      </c>
      <c r="D28">
        <v>31.636047362999999</v>
      </c>
      <c r="E28">
        <v>30</v>
      </c>
      <c r="F28">
        <v>14.992383003</v>
      </c>
      <c r="G28">
        <v>1431.1649170000001</v>
      </c>
      <c r="H28">
        <v>1404.0808105000001</v>
      </c>
      <c r="I28">
        <v>1250.2808838000001</v>
      </c>
      <c r="J28">
        <v>1210.8458252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0.23311399999999999</v>
      </c>
      <c r="B29" s="1">
        <f>DATE(2010,5,1) + TIME(5,35,41)</f>
        <v>40299.233113425929</v>
      </c>
      <c r="C29">
        <v>90</v>
      </c>
      <c r="D29">
        <v>32.621765136999997</v>
      </c>
      <c r="E29">
        <v>30</v>
      </c>
      <c r="F29">
        <v>14.992412567000001</v>
      </c>
      <c r="G29">
        <v>1430.4116211</v>
      </c>
      <c r="H29">
        <v>1403.8369141000001</v>
      </c>
      <c r="I29">
        <v>1250.2874756000001</v>
      </c>
      <c r="J29">
        <v>1210.8522949000001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0.24785299999999999</v>
      </c>
      <c r="B30" s="1">
        <f>DATE(2010,5,1) + TIME(5,56,54)</f>
        <v>40299.247847222221</v>
      </c>
      <c r="C30">
        <v>90</v>
      </c>
      <c r="D30">
        <v>33.607208252</v>
      </c>
      <c r="E30">
        <v>30</v>
      </c>
      <c r="F30">
        <v>14.992442131000001</v>
      </c>
      <c r="G30">
        <v>1429.6834716999999</v>
      </c>
      <c r="H30">
        <v>1403.6000977000001</v>
      </c>
      <c r="I30">
        <v>1250.2930908000001</v>
      </c>
      <c r="J30">
        <v>1210.8579102000001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0.26280999999999999</v>
      </c>
      <c r="B31" s="1">
        <f>DATE(2010,5,1) + TIME(6,18,26)</f>
        <v>40299.262800925928</v>
      </c>
      <c r="C31">
        <v>90</v>
      </c>
      <c r="D31">
        <v>34.592361449999999</v>
      </c>
      <c r="E31">
        <v>30</v>
      </c>
      <c r="F31">
        <v>14.992471695000001</v>
      </c>
      <c r="G31">
        <v>1428.9797363</v>
      </c>
      <c r="H31">
        <v>1403.3706055</v>
      </c>
      <c r="I31">
        <v>1250.2978516000001</v>
      </c>
      <c r="J31">
        <v>1210.8626709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0.27799299999999999</v>
      </c>
      <c r="B32" s="1">
        <f>DATE(2010,5,1) + TIME(6,40,18)</f>
        <v>40299.277986111112</v>
      </c>
      <c r="C32">
        <v>90</v>
      </c>
      <c r="D32">
        <v>35.577220916999998</v>
      </c>
      <c r="E32">
        <v>30</v>
      </c>
      <c r="F32">
        <v>14.992501259000001</v>
      </c>
      <c r="G32">
        <v>1428.2996826000001</v>
      </c>
      <c r="H32">
        <v>1403.1483154</v>
      </c>
      <c r="I32">
        <v>1250.3020019999999</v>
      </c>
      <c r="J32">
        <v>1210.8666992000001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0.29340899999999998</v>
      </c>
      <c r="B33" s="1">
        <f>DATE(2010,5,1) + TIME(7,2,30)</f>
        <v>40299.293402777781</v>
      </c>
      <c r="C33">
        <v>90</v>
      </c>
      <c r="D33">
        <v>36.561771393000001</v>
      </c>
      <c r="E33">
        <v>30</v>
      </c>
      <c r="F33">
        <v>14.992530822999999</v>
      </c>
      <c r="G33">
        <v>1427.6420897999999</v>
      </c>
      <c r="H33">
        <v>1402.9329834</v>
      </c>
      <c r="I33">
        <v>1250.3056641000001</v>
      </c>
      <c r="J33">
        <v>1210.8703613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0.30906600000000001</v>
      </c>
      <c r="B34" s="1">
        <f>DATE(2010,5,1) + TIME(7,25,3)</f>
        <v>40299.309062499997</v>
      </c>
      <c r="C34">
        <v>90</v>
      </c>
      <c r="D34">
        <v>37.546009064000003</v>
      </c>
      <c r="E34">
        <v>30</v>
      </c>
      <c r="F34">
        <v>14.992559433</v>
      </c>
      <c r="G34">
        <v>1427.0063477000001</v>
      </c>
      <c r="H34">
        <v>1402.7243652</v>
      </c>
      <c r="I34">
        <v>1250.3088379000001</v>
      </c>
      <c r="J34">
        <v>1210.8734131000001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0.32497500000000001</v>
      </c>
      <c r="B35" s="1">
        <f>DATE(2010,5,1) + TIME(7,47,57)</f>
        <v>40299.324965277781</v>
      </c>
      <c r="C35">
        <v>90</v>
      </c>
      <c r="D35">
        <v>38.529914855999998</v>
      </c>
      <c r="E35">
        <v>30</v>
      </c>
      <c r="F35">
        <v>14.992588997</v>
      </c>
      <c r="G35">
        <v>1426.3914795000001</v>
      </c>
      <c r="H35">
        <v>1402.5223389</v>
      </c>
      <c r="I35">
        <v>1250.3116454999999</v>
      </c>
      <c r="J35">
        <v>1210.8762207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0.341144</v>
      </c>
      <c r="B36" s="1">
        <f>DATE(2010,5,1) + TIME(8,11,14)</f>
        <v>40299.341134259259</v>
      </c>
      <c r="C36">
        <v>90</v>
      </c>
      <c r="D36">
        <v>39.513481140000003</v>
      </c>
      <c r="E36">
        <v>30</v>
      </c>
      <c r="F36">
        <v>14.992618561</v>
      </c>
      <c r="G36">
        <v>1425.7966309000001</v>
      </c>
      <c r="H36">
        <v>1402.3265381000001</v>
      </c>
      <c r="I36">
        <v>1250.3142089999999</v>
      </c>
      <c r="J36">
        <v>1210.8786620999999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0.35758299999999998</v>
      </c>
      <c r="B37" s="1">
        <f>DATE(2010,5,1) + TIME(8,34,55)</f>
        <v>40299.357581018521</v>
      </c>
      <c r="C37">
        <v>90</v>
      </c>
      <c r="D37">
        <v>40.496810912999997</v>
      </c>
      <c r="E37">
        <v>30</v>
      </c>
      <c r="F37">
        <v>14.992648125000001</v>
      </c>
      <c r="G37">
        <v>1425.2208252</v>
      </c>
      <c r="H37">
        <v>1402.1368408000001</v>
      </c>
      <c r="I37">
        <v>1250.3164062000001</v>
      </c>
      <c r="J37">
        <v>1210.8808594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0.37430000000000002</v>
      </c>
      <c r="B38" s="1">
        <f>DATE(2010,5,1) + TIME(8,58,59)</f>
        <v>40299.374293981484</v>
      </c>
      <c r="C38">
        <v>90</v>
      </c>
      <c r="D38">
        <v>41.479774474999999</v>
      </c>
      <c r="E38">
        <v>30</v>
      </c>
      <c r="F38">
        <v>14.992677689000001</v>
      </c>
      <c r="G38">
        <v>1424.6634521000001</v>
      </c>
      <c r="H38">
        <v>1401.9528809000001</v>
      </c>
      <c r="I38">
        <v>1250.3184814000001</v>
      </c>
      <c r="J38">
        <v>1210.8828125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0.39130799999999999</v>
      </c>
      <c r="B39" s="1">
        <f>DATE(2010,5,1) + TIME(9,23,28)</f>
        <v>40299.391296296293</v>
      </c>
      <c r="C39">
        <v>90</v>
      </c>
      <c r="D39">
        <v>42.462249755999999</v>
      </c>
      <c r="E39">
        <v>30</v>
      </c>
      <c r="F39">
        <v>14.992707253000001</v>
      </c>
      <c r="G39">
        <v>1424.1235352000001</v>
      </c>
      <c r="H39">
        <v>1401.7742920000001</v>
      </c>
      <c r="I39">
        <v>1250.3204346</v>
      </c>
      <c r="J39">
        <v>1210.8846435999999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0.40861799999999998</v>
      </c>
      <c r="B40" s="1">
        <f>DATE(2010,5,1) + TIME(9,48,24)</f>
        <v>40299.40861111111</v>
      </c>
      <c r="C40">
        <v>90</v>
      </c>
      <c r="D40">
        <v>43.444328308000003</v>
      </c>
      <c r="E40">
        <v>30</v>
      </c>
      <c r="F40">
        <v>14.992736816000001</v>
      </c>
      <c r="G40">
        <v>1423.6002197</v>
      </c>
      <c r="H40">
        <v>1401.6008300999999</v>
      </c>
      <c r="I40">
        <v>1250.3222656</v>
      </c>
      <c r="J40">
        <v>1210.8863524999999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0.42624499999999999</v>
      </c>
      <c r="B41" s="1">
        <f>DATE(2010,5,1) + TIME(10,13,47)</f>
        <v>40299.426238425927</v>
      </c>
      <c r="C41">
        <v>90</v>
      </c>
      <c r="D41">
        <v>44.425994873</v>
      </c>
      <c r="E41">
        <v>30</v>
      </c>
      <c r="F41">
        <v>14.992766380000001</v>
      </c>
      <c r="G41">
        <v>1423.0931396000001</v>
      </c>
      <c r="H41">
        <v>1401.432251</v>
      </c>
      <c r="I41">
        <v>1250.3238524999999</v>
      </c>
      <c r="J41">
        <v>1210.8879394999999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0.44420100000000001</v>
      </c>
      <c r="B42" s="1">
        <f>DATE(2010,5,1) + TIME(10,39,38)</f>
        <v>40299.444189814814</v>
      </c>
      <c r="C42">
        <v>90</v>
      </c>
      <c r="D42">
        <v>45.407226561999998</v>
      </c>
      <c r="E42">
        <v>30</v>
      </c>
      <c r="F42">
        <v>14.992795943999999</v>
      </c>
      <c r="G42">
        <v>1422.6011963000001</v>
      </c>
      <c r="H42">
        <v>1401.2684326000001</v>
      </c>
      <c r="I42">
        <v>1250.3254394999999</v>
      </c>
      <c r="J42">
        <v>1210.8894043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0.46250000000000002</v>
      </c>
      <c r="B43" s="1">
        <f>DATE(2010,5,1) + TIME(11,5,59)</f>
        <v>40299.462488425925</v>
      </c>
      <c r="C43">
        <v>90</v>
      </c>
      <c r="D43">
        <v>46.388011931999998</v>
      </c>
      <c r="E43">
        <v>30</v>
      </c>
      <c r="F43">
        <v>14.992826462</v>
      </c>
      <c r="G43">
        <v>1422.1239014</v>
      </c>
      <c r="H43">
        <v>1401.1088867000001</v>
      </c>
      <c r="I43">
        <v>1250.3269043</v>
      </c>
      <c r="J43">
        <v>1210.8907471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0.48115799999999997</v>
      </c>
      <c r="B44" s="1">
        <f>DATE(2010,5,1) + TIME(11,32,52)</f>
        <v>40299.481157407405</v>
      </c>
      <c r="C44">
        <v>90</v>
      </c>
      <c r="D44">
        <v>47.368328093999999</v>
      </c>
      <c r="E44">
        <v>30</v>
      </c>
      <c r="F44">
        <v>14.992856026</v>
      </c>
      <c r="G44">
        <v>1421.6606445</v>
      </c>
      <c r="H44">
        <v>1400.9536132999999</v>
      </c>
      <c r="I44">
        <v>1250.3282471</v>
      </c>
      <c r="J44">
        <v>1210.8919678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0.50019000000000002</v>
      </c>
      <c r="B45" s="1">
        <f>DATE(2010,5,1) + TIME(12,0,16)</f>
        <v>40299.500185185185</v>
      </c>
      <c r="C45">
        <v>90</v>
      </c>
      <c r="D45">
        <v>48.348152161000002</v>
      </c>
      <c r="E45">
        <v>30</v>
      </c>
      <c r="F45">
        <v>14.99288559</v>
      </c>
      <c r="G45">
        <v>1421.2106934000001</v>
      </c>
      <c r="H45">
        <v>1400.802124</v>
      </c>
      <c r="I45">
        <v>1250.3294678</v>
      </c>
      <c r="J45">
        <v>1210.8931885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0.51961400000000002</v>
      </c>
      <c r="B46" s="1">
        <f>DATE(2010,5,1) + TIME(12,28,14)</f>
        <v>40299.519606481481</v>
      </c>
      <c r="C46">
        <v>90</v>
      </c>
      <c r="D46">
        <v>49.327465056999998</v>
      </c>
      <c r="E46">
        <v>30</v>
      </c>
      <c r="F46">
        <v>14.992916106999999</v>
      </c>
      <c r="G46">
        <v>1420.7735596</v>
      </c>
      <c r="H46">
        <v>1400.6542969</v>
      </c>
      <c r="I46">
        <v>1250.3306885</v>
      </c>
      <c r="J46">
        <v>1210.8942870999999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0.53944899999999996</v>
      </c>
      <c r="B47" s="1">
        <f>DATE(2010,5,1) + TIME(12,56,48)</f>
        <v>40299.539444444446</v>
      </c>
      <c r="C47">
        <v>90</v>
      </c>
      <c r="D47">
        <v>50.306091309000003</v>
      </c>
      <c r="E47">
        <v>30</v>
      </c>
      <c r="F47">
        <v>14.992946625</v>
      </c>
      <c r="G47">
        <v>1420.3486327999999</v>
      </c>
      <c r="H47">
        <v>1400.5098877</v>
      </c>
      <c r="I47">
        <v>1250.3319091999999</v>
      </c>
      <c r="J47">
        <v>1210.8953856999999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0.55971700000000002</v>
      </c>
      <c r="B48" s="1">
        <f>DATE(2010,5,1) + TIME(13,25,59)</f>
        <v>40299.559710648151</v>
      </c>
      <c r="C48">
        <v>90</v>
      </c>
      <c r="D48">
        <v>51.283977509000003</v>
      </c>
      <c r="E48">
        <v>30</v>
      </c>
      <c r="F48">
        <v>14.992976189</v>
      </c>
      <c r="G48">
        <v>1419.9351807</v>
      </c>
      <c r="H48">
        <v>1400.3685303</v>
      </c>
      <c r="I48">
        <v>1250.3328856999999</v>
      </c>
      <c r="J48">
        <v>1210.8962402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0.58044300000000004</v>
      </c>
      <c r="B49" s="1">
        <f>DATE(2010,5,1) + TIME(13,55,50)</f>
        <v>40299.580439814818</v>
      </c>
      <c r="C49">
        <v>90</v>
      </c>
      <c r="D49">
        <v>52.261569977000001</v>
      </c>
      <c r="E49">
        <v>30</v>
      </c>
      <c r="F49">
        <v>14.993006705999999</v>
      </c>
      <c r="G49">
        <v>1419.5328368999999</v>
      </c>
      <c r="H49">
        <v>1400.2302245999999</v>
      </c>
      <c r="I49">
        <v>1250.3339844</v>
      </c>
      <c r="J49">
        <v>1210.8972168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0.60164399999999996</v>
      </c>
      <c r="B50" s="1">
        <f>DATE(2010,5,1) + TIME(14,26,22)</f>
        <v>40299.601643518516</v>
      </c>
      <c r="C50">
        <v>90</v>
      </c>
      <c r="D50">
        <v>53.238536834999998</v>
      </c>
      <c r="E50">
        <v>30</v>
      </c>
      <c r="F50">
        <v>14.993037224</v>
      </c>
      <c r="G50">
        <v>1419.1411132999999</v>
      </c>
      <c r="H50">
        <v>1400.0947266000001</v>
      </c>
      <c r="I50">
        <v>1250.3349608999999</v>
      </c>
      <c r="J50">
        <v>1210.8980713000001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0.62334500000000004</v>
      </c>
      <c r="B51" s="1">
        <f>DATE(2010,5,1) + TIME(14,57,37)</f>
        <v>40299.623344907406</v>
      </c>
      <c r="C51">
        <v>90</v>
      </c>
      <c r="D51">
        <v>54.214851379000002</v>
      </c>
      <c r="E51">
        <v>30</v>
      </c>
      <c r="F51">
        <v>14.993068695</v>
      </c>
      <c r="G51">
        <v>1418.7596435999999</v>
      </c>
      <c r="H51">
        <v>1399.9617920000001</v>
      </c>
      <c r="I51">
        <v>1250.3359375</v>
      </c>
      <c r="J51">
        <v>1210.8989257999999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0.64557299999999995</v>
      </c>
      <c r="B52" s="1">
        <f>DATE(2010,5,1) + TIME(15,29,37)</f>
        <v>40299.645567129628</v>
      </c>
      <c r="C52">
        <v>90</v>
      </c>
      <c r="D52">
        <v>55.190471649000003</v>
      </c>
      <c r="E52">
        <v>30</v>
      </c>
      <c r="F52">
        <v>14.993099213000001</v>
      </c>
      <c r="G52">
        <v>1418.3875731999999</v>
      </c>
      <c r="H52">
        <v>1399.8311768000001</v>
      </c>
      <c r="I52">
        <v>1250.3367920000001</v>
      </c>
      <c r="J52">
        <v>1210.8996582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0.66835599999999995</v>
      </c>
      <c r="B53" s="1">
        <f>DATE(2010,5,1) + TIME(16,2,25)</f>
        <v>40299.668344907404</v>
      </c>
      <c r="C53">
        <v>90</v>
      </c>
      <c r="D53">
        <v>56.165367126</v>
      </c>
      <c r="E53">
        <v>30</v>
      </c>
      <c r="F53">
        <v>14.99312973</v>
      </c>
      <c r="G53">
        <v>1418.0247803</v>
      </c>
      <c r="H53">
        <v>1399.7027588000001</v>
      </c>
      <c r="I53">
        <v>1250.3376464999999</v>
      </c>
      <c r="J53">
        <v>1210.9003906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0.69172500000000003</v>
      </c>
      <c r="B54" s="1">
        <f>DATE(2010,5,1) + TIME(16,36,5)</f>
        <v>40299.691724537035</v>
      </c>
      <c r="C54">
        <v>90</v>
      </c>
      <c r="D54">
        <v>57.139488219999997</v>
      </c>
      <c r="E54">
        <v>30</v>
      </c>
      <c r="F54">
        <v>14.993161200999999</v>
      </c>
      <c r="G54">
        <v>1417.6707764</v>
      </c>
      <c r="H54">
        <v>1399.5762939000001</v>
      </c>
      <c r="I54">
        <v>1250.338501</v>
      </c>
      <c r="J54">
        <v>1210.9011230000001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0.71571600000000002</v>
      </c>
      <c r="B55" s="1">
        <f>DATE(2010,5,1) + TIME(17,10,37)</f>
        <v>40299.71570601852</v>
      </c>
      <c r="C55">
        <v>90</v>
      </c>
      <c r="D55">
        <v>58.112796783</v>
      </c>
      <c r="E55">
        <v>30</v>
      </c>
      <c r="F55">
        <v>14.993192672999999</v>
      </c>
      <c r="G55">
        <v>1417.3249512</v>
      </c>
      <c r="H55">
        <v>1399.4514160000001</v>
      </c>
      <c r="I55">
        <v>1250.3393555</v>
      </c>
      <c r="J55">
        <v>1210.9017334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0.74036400000000002</v>
      </c>
      <c r="B56" s="1">
        <f>DATE(2010,5,1) + TIME(17,46,7)</f>
        <v>40299.740358796298</v>
      </c>
      <c r="C56">
        <v>90</v>
      </c>
      <c r="D56">
        <v>59.08523941</v>
      </c>
      <c r="E56">
        <v>30</v>
      </c>
      <c r="F56">
        <v>14.993224143999999</v>
      </c>
      <c r="G56">
        <v>1416.9869385</v>
      </c>
      <c r="H56">
        <v>1399.328125</v>
      </c>
      <c r="I56">
        <v>1250.3400879000001</v>
      </c>
      <c r="J56">
        <v>1210.9024658000001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0.76571100000000003</v>
      </c>
      <c r="B57" s="1">
        <f>DATE(2010,5,1) + TIME(18,22,37)</f>
        <v>40299.765706018516</v>
      </c>
      <c r="C57">
        <v>90</v>
      </c>
      <c r="D57">
        <v>60.056724547999998</v>
      </c>
      <c r="E57">
        <v>30</v>
      </c>
      <c r="F57">
        <v>14.993255615000001</v>
      </c>
      <c r="G57">
        <v>1416.6563721</v>
      </c>
      <c r="H57">
        <v>1399.2060547000001</v>
      </c>
      <c r="I57">
        <v>1250.3408202999999</v>
      </c>
      <c r="J57">
        <v>1210.9030762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0.79180200000000001</v>
      </c>
      <c r="B58" s="1">
        <f>DATE(2010,5,1) + TIME(19,0,11)</f>
        <v>40299.79179398148</v>
      </c>
      <c r="C58">
        <v>90</v>
      </c>
      <c r="D58">
        <v>61.026615143000001</v>
      </c>
      <c r="E58">
        <v>30</v>
      </c>
      <c r="F58">
        <v>14.993288039999999</v>
      </c>
      <c r="G58">
        <v>1416.3327637</v>
      </c>
      <c r="H58">
        <v>1399.0849608999999</v>
      </c>
      <c r="I58">
        <v>1250.3415527</v>
      </c>
      <c r="J58">
        <v>1210.9036865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0.81870299999999996</v>
      </c>
      <c r="B59" s="1">
        <f>DATE(2010,5,1) + TIME(19,38,55)</f>
        <v>40299.818692129629</v>
      </c>
      <c r="C59">
        <v>90</v>
      </c>
      <c r="D59">
        <v>61.996078490999999</v>
      </c>
      <c r="E59">
        <v>30</v>
      </c>
      <c r="F59">
        <v>14.993320465</v>
      </c>
      <c r="G59">
        <v>1416.015625</v>
      </c>
      <c r="H59">
        <v>1398.9647216999999</v>
      </c>
      <c r="I59">
        <v>1250.3422852000001</v>
      </c>
      <c r="J59">
        <v>1210.9042969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0.84645099999999995</v>
      </c>
      <c r="B60" s="1">
        <f>DATE(2010,5,1) + TIME(20,18,53)</f>
        <v>40299.846446759257</v>
      </c>
      <c r="C60">
        <v>90</v>
      </c>
      <c r="D60">
        <v>62.964431763</v>
      </c>
      <c r="E60">
        <v>30</v>
      </c>
      <c r="F60">
        <v>14.993352890000001</v>
      </c>
      <c r="G60">
        <v>1415.7048339999999</v>
      </c>
      <c r="H60">
        <v>1398.8450928</v>
      </c>
      <c r="I60">
        <v>1250.3430175999999</v>
      </c>
      <c r="J60">
        <v>1210.9047852000001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0.87510600000000005</v>
      </c>
      <c r="B61" s="1">
        <f>DATE(2010,5,1) + TIME(21,0,9)</f>
        <v>40299.875104166669</v>
      </c>
      <c r="C61">
        <v>90</v>
      </c>
      <c r="D61">
        <v>63.931598663000003</v>
      </c>
      <c r="E61">
        <v>30</v>
      </c>
      <c r="F61">
        <v>14.993386269</v>
      </c>
      <c r="G61">
        <v>1415.3999022999999</v>
      </c>
      <c r="H61">
        <v>1398.7260742000001</v>
      </c>
      <c r="I61">
        <v>1250.34375</v>
      </c>
      <c r="J61">
        <v>1210.9053954999999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0.90473400000000004</v>
      </c>
      <c r="B62" s="1">
        <f>DATE(2010,5,1) + TIME(21,42,49)</f>
        <v>40299.904733796298</v>
      </c>
      <c r="C62">
        <v>90</v>
      </c>
      <c r="D62">
        <v>64.897491454999994</v>
      </c>
      <c r="E62">
        <v>30</v>
      </c>
      <c r="F62">
        <v>14.993418694000001</v>
      </c>
      <c r="G62">
        <v>1415.1005858999999</v>
      </c>
      <c r="H62">
        <v>1398.6072998</v>
      </c>
      <c r="I62">
        <v>1250.3444824000001</v>
      </c>
      <c r="J62">
        <v>1210.9060059000001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0.93540800000000002</v>
      </c>
      <c r="B63" s="1">
        <f>DATE(2010,5,1) + TIME(22,26,59)</f>
        <v>40299.93540509259</v>
      </c>
      <c r="C63">
        <v>90</v>
      </c>
      <c r="D63">
        <v>65.862220764</v>
      </c>
      <c r="E63">
        <v>30</v>
      </c>
      <c r="F63">
        <v>14.993452072</v>
      </c>
      <c r="G63">
        <v>1414.8061522999999</v>
      </c>
      <c r="H63">
        <v>1398.4885254000001</v>
      </c>
      <c r="I63">
        <v>1250.3452147999999</v>
      </c>
      <c r="J63">
        <v>1210.9064940999999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0.96720300000000003</v>
      </c>
      <c r="B64" s="1">
        <f>DATE(2010,5,1) + TIME(23,12,46)</f>
        <v>40299.967199074075</v>
      </c>
      <c r="C64">
        <v>90</v>
      </c>
      <c r="D64">
        <v>66.825317382999998</v>
      </c>
      <c r="E64">
        <v>30</v>
      </c>
      <c r="F64">
        <v>14.993486404</v>
      </c>
      <c r="G64">
        <v>1414.5166016000001</v>
      </c>
      <c r="H64">
        <v>1398.3695068</v>
      </c>
      <c r="I64">
        <v>1250.3459473</v>
      </c>
      <c r="J64">
        <v>1210.9071045000001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1.0002169999999999</v>
      </c>
      <c r="B65" s="1">
        <f>DATE(2010,5,2) + TIME(0,0,18)</f>
        <v>40300.000208333331</v>
      </c>
      <c r="C65">
        <v>90</v>
      </c>
      <c r="D65">
        <v>67.786804199000002</v>
      </c>
      <c r="E65">
        <v>30</v>
      </c>
      <c r="F65">
        <v>14.993520737000001</v>
      </c>
      <c r="G65">
        <v>1414.2312012</v>
      </c>
      <c r="H65">
        <v>1398.2498779</v>
      </c>
      <c r="I65">
        <v>1250.3468018000001</v>
      </c>
      <c r="J65">
        <v>1210.9077147999999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1.0345530000000001</v>
      </c>
      <c r="B66" s="1">
        <f>DATE(2010,5,2) + TIME(0,49,45)</f>
        <v>40300.034548611111</v>
      </c>
      <c r="C66">
        <v>90</v>
      </c>
      <c r="D66">
        <v>68.746566771999994</v>
      </c>
      <c r="E66">
        <v>30</v>
      </c>
      <c r="F66">
        <v>14.993555068999999</v>
      </c>
      <c r="G66">
        <v>1413.949707</v>
      </c>
      <c r="H66">
        <v>1398.1295166</v>
      </c>
      <c r="I66">
        <v>1250.3475341999999</v>
      </c>
      <c r="J66">
        <v>1210.9083252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1.0703290000000001</v>
      </c>
      <c r="B67" s="1">
        <f>DATE(2010,5,2) + TIME(1,41,16)</f>
        <v>40300.070324074077</v>
      </c>
      <c r="C67">
        <v>90</v>
      </c>
      <c r="D67">
        <v>69.704467773000005</v>
      </c>
      <c r="E67">
        <v>30</v>
      </c>
      <c r="F67">
        <v>14.993590355</v>
      </c>
      <c r="G67">
        <v>1413.6715088000001</v>
      </c>
      <c r="H67">
        <v>1398.0079346</v>
      </c>
      <c r="I67">
        <v>1250.3483887</v>
      </c>
      <c r="J67">
        <v>1210.9089355000001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1.107677</v>
      </c>
      <c r="B68" s="1">
        <f>DATE(2010,5,2) + TIME(2,35,3)</f>
        <v>40300.107673611114</v>
      </c>
      <c r="C68">
        <v>90</v>
      </c>
      <c r="D68">
        <v>70.659843445000007</v>
      </c>
      <c r="E68">
        <v>30</v>
      </c>
      <c r="F68">
        <v>14.993626595</v>
      </c>
      <c r="G68">
        <v>1413.3963623</v>
      </c>
      <c r="H68">
        <v>1397.8847656</v>
      </c>
      <c r="I68">
        <v>1250.3491211</v>
      </c>
      <c r="J68">
        <v>1210.909668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1.1467689999999999</v>
      </c>
      <c r="B69" s="1">
        <f>DATE(2010,5,2) + TIME(3,31,20)</f>
        <v>40300.14675925926</v>
      </c>
      <c r="C69">
        <v>90</v>
      </c>
      <c r="D69">
        <v>71.613212584999999</v>
      </c>
      <c r="E69">
        <v>30</v>
      </c>
      <c r="F69">
        <v>14.993662834</v>
      </c>
      <c r="G69">
        <v>1413.1236572</v>
      </c>
      <c r="H69">
        <v>1397.7597656</v>
      </c>
      <c r="I69">
        <v>1250.3500977000001</v>
      </c>
      <c r="J69">
        <v>1210.9102783000001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1.1877740000000001</v>
      </c>
      <c r="B70" s="1">
        <f>DATE(2010,5,2) + TIME(4,30,23)</f>
        <v>40300.1877662037</v>
      </c>
      <c r="C70">
        <v>90</v>
      </c>
      <c r="D70">
        <v>72.564338684000006</v>
      </c>
      <c r="E70">
        <v>30</v>
      </c>
      <c r="F70">
        <v>14.993699074</v>
      </c>
      <c r="G70">
        <v>1412.8529053</v>
      </c>
      <c r="H70">
        <v>1397.6324463000001</v>
      </c>
      <c r="I70">
        <v>1250.3509521000001</v>
      </c>
      <c r="J70">
        <v>1210.9110106999999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1.230885</v>
      </c>
      <c r="B71" s="1">
        <f>DATE(2010,5,2) + TIME(5,32,28)</f>
        <v>40300.230879629627</v>
      </c>
      <c r="C71">
        <v>90</v>
      </c>
      <c r="D71">
        <v>73.512763977000006</v>
      </c>
      <c r="E71">
        <v>30</v>
      </c>
      <c r="F71">
        <v>14.993737221</v>
      </c>
      <c r="G71">
        <v>1412.5836182</v>
      </c>
      <c r="H71">
        <v>1397.5025635</v>
      </c>
      <c r="I71">
        <v>1250.3519286999999</v>
      </c>
      <c r="J71">
        <v>1210.9117432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1.2763409999999999</v>
      </c>
      <c r="B72" s="1">
        <f>DATE(2010,5,2) + TIME(6,37,55)</f>
        <v>40300.276331018518</v>
      </c>
      <c r="C72">
        <v>90</v>
      </c>
      <c r="D72">
        <v>74.458206176999994</v>
      </c>
      <c r="E72">
        <v>30</v>
      </c>
      <c r="F72">
        <v>14.993775368</v>
      </c>
      <c r="G72">
        <v>1412.3154297000001</v>
      </c>
      <c r="H72">
        <v>1397.3695068</v>
      </c>
      <c r="I72">
        <v>1250.3529053</v>
      </c>
      <c r="J72">
        <v>1210.9125977000001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1.3000100000000001</v>
      </c>
      <c r="B73" s="1">
        <f>DATE(2010,5,2) + TIME(7,12,0)</f>
        <v>40300.300000000003</v>
      </c>
      <c r="C73">
        <v>90</v>
      </c>
      <c r="D73">
        <v>74.936981200999995</v>
      </c>
      <c r="E73">
        <v>30</v>
      </c>
      <c r="F73">
        <v>14.993795394999999</v>
      </c>
      <c r="G73">
        <v>1412.1687012</v>
      </c>
      <c r="H73">
        <v>1397.2639160000001</v>
      </c>
      <c r="I73">
        <v>1250.3536377</v>
      </c>
      <c r="J73">
        <v>1210.9132079999999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1.3236779999999999</v>
      </c>
      <c r="B74" s="1">
        <f>DATE(2010,5,2) + TIME(7,46,5)</f>
        <v>40300.32366898148</v>
      </c>
      <c r="C74">
        <v>90</v>
      </c>
      <c r="D74">
        <v>75.401374817000004</v>
      </c>
      <c r="E74">
        <v>30</v>
      </c>
      <c r="F74">
        <v>14.993814468</v>
      </c>
      <c r="G74">
        <v>1412.0354004000001</v>
      </c>
      <c r="H74">
        <v>1397.1948242000001</v>
      </c>
      <c r="I74">
        <v>1250.3543701000001</v>
      </c>
      <c r="J74">
        <v>1210.9138184000001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1.3473470000000001</v>
      </c>
      <c r="B75" s="1">
        <f>DATE(2010,5,2) + TIME(8,20,10)</f>
        <v>40300.347337962965</v>
      </c>
      <c r="C75">
        <v>90</v>
      </c>
      <c r="D75">
        <v>75.852005004999995</v>
      </c>
      <c r="E75">
        <v>30</v>
      </c>
      <c r="F75">
        <v>14.993833542000001</v>
      </c>
      <c r="G75">
        <v>1411.9064940999999</v>
      </c>
      <c r="H75">
        <v>1397.1269531</v>
      </c>
      <c r="I75">
        <v>1250.3549805</v>
      </c>
      <c r="J75">
        <v>1210.9143065999999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1.3710150000000001</v>
      </c>
      <c r="B76" s="1">
        <f>DATE(2010,5,2) + TIME(8,54,15)</f>
        <v>40300.371006944442</v>
      </c>
      <c r="C76">
        <v>90</v>
      </c>
      <c r="D76">
        <v>76.289291382000002</v>
      </c>
      <c r="E76">
        <v>30</v>
      </c>
      <c r="F76">
        <v>14.993852615</v>
      </c>
      <c r="G76">
        <v>1411.7810059000001</v>
      </c>
      <c r="H76">
        <v>1397.0599365</v>
      </c>
      <c r="I76">
        <v>1250.3555908000001</v>
      </c>
      <c r="J76">
        <v>1210.9147949000001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1.394684</v>
      </c>
      <c r="B77" s="1">
        <f>DATE(2010,5,2) + TIME(9,28,20)</f>
        <v>40300.394675925927</v>
      </c>
      <c r="C77">
        <v>90</v>
      </c>
      <c r="D77">
        <v>76.713577271000005</v>
      </c>
      <c r="E77">
        <v>30</v>
      </c>
      <c r="F77">
        <v>14.993871689000001</v>
      </c>
      <c r="G77">
        <v>1411.6588135</v>
      </c>
      <c r="H77">
        <v>1396.9935303</v>
      </c>
      <c r="I77">
        <v>1250.3560791</v>
      </c>
      <c r="J77">
        <v>1210.9152832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1.418353</v>
      </c>
      <c r="B78" s="1">
        <f>DATE(2010,5,2) + TIME(10,2,25)</f>
        <v>40300.418344907404</v>
      </c>
      <c r="C78">
        <v>90</v>
      </c>
      <c r="D78">
        <v>77.125221252000003</v>
      </c>
      <c r="E78">
        <v>30</v>
      </c>
      <c r="F78">
        <v>14.993889809000001</v>
      </c>
      <c r="G78">
        <v>1411.5395507999999</v>
      </c>
      <c r="H78">
        <v>1396.9279785000001</v>
      </c>
      <c r="I78">
        <v>1250.3566894999999</v>
      </c>
      <c r="J78">
        <v>1210.9157714999999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1.442021</v>
      </c>
      <c r="B79" s="1">
        <f>DATE(2010,5,2) + TIME(10,36,30)</f>
        <v>40300.442013888889</v>
      </c>
      <c r="C79">
        <v>90</v>
      </c>
      <c r="D79">
        <v>77.524566649999997</v>
      </c>
      <c r="E79">
        <v>30</v>
      </c>
      <c r="F79">
        <v>14.993907928</v>
      </c>
      <c r="G79">
        <v>1411.4232178</v>
      </c>
      <c r="H79">
        <v>1396.8630370999999</v>
      </c>
      <c r="I79">
        <v>1250.3571777</v>
      </c>
      <c r="J79">
        <v>1210.9161377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1.4656899999999999</v>
      </c>
      <c r="B80" s="1">
        <f>DATE(2010,5,2) + TIME(11,10,35)</f>
        <v>40300.465682870374</v>
      </c>
      <c r="C80">
        <v>90</v>
      </c>
      <c r="D80">
        <v>77.911941528</v>
      </c>
      <c r="E80">
        <v>30</v>
      </c>
      <c r="F80">
        <v>14.993925095</v>
      </c>
      <c r="G80">
        <v>1411.3095702999999</v>
      </c>
      <c r="H80">
        <v>1396.7987060999999</v>
      </c>
      <c r="I80">
        <v>1250.3577881000001</v>
      </c>
      <c r="J80">
        <v>1210.916626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1.489358</v>
      </c>
      <c r="B81" s="1">
        <f>DATE(2010,5,2) + TIME(11,44,40)</f>
        <v>40300.489351851851</v>
      </c>
      <c r="C81">
        <v>90</v>
      </c>
      <c r="D81">
        <v>78.287666321000003</v>
      </c>
      <c r="E81">
        <v>30</v>
      </c>
      <c r="F81">
        <v>14.993942261000001</v>
      </c>
      <c r="G81">
        <v>1411.1986084</v>
      </c>
      <c r="H81">
        <v>1396.7349853999999</v>
      </c>
      <c r="I81">
        <v>1250.3582764</v>
      </c>
      <c r="J81">
        <v>1210.9171143000001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1.5130269999999999</v>
      </c>
      <c r="B82" s="1">
        <f>DATE(2010,5,2) + TIME(12,18,45)</f>
        <v>40300.513020833336</v>
      </c>
      <c r="C82">
        <v>90</v>
      </c>
      <c r="D82">
        <v>78.652076721</v>
      </c>
      <c r="E82">
        <v>30</v>
      </c>
      <c r="F82">
        <v>14.993959427</v>
      </c>
      <c r="G82">
        <v>1411.0900879000001</v>
      </c>
      <c r="H82">
        <v>1396.6717529</v>
      </c>
      <c r="I82">
        <v>1250.3587646000001</v>
      </c>
      <c r="J82">
        <v>1210.9174805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1.5366949999999999</v>
      </c>
      <c r="B83" s="1">
        <f>DATE(2010,5,2) + TIME(12,52,50)</f>
        <v>40300.536689814813</v>
      </c>
      <c r="C83">
        <v>90</v>
      </c>
      <c r="D83">
        <v>79.005470275999997</v>
      </c>
      <c r="E83">
        <v>30</v>
      </c>
      <c r="F83">
        <v>14.993976592999999</v>
      </c>
      <c r="G83">
        <v>1410.9840088000001</v>
      </c>
      <c r="H83">
        <v>1396.6092529</v>
      </c>
      <c r="I83">
        <v>1250.359375</v>
      </c>
      <c r="J83">
        <v>1210.9179687999999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1.5840320000000001</v>
      </c>
      <c r="B84" s="1">
        <f>DATE(2010,5,2) + TIME(14,1,0)</f>
        <v>40300.584027777775</v>
      </c>
      <c r="C84">
        <v>90</v>
      </c>
      <c r="D84">
        <v>79.669662475999999</v>
      </c>
      <c r="E84">
        <v>30</v>
      </c>
      <c r="F84">
        <v>14.994009018</v>
      </c>
      <c r="G84">
        <v>1410.8033447</v>
      </c>
      <c r="H84">
        <v>1396.5292969</v>
      </c>
      <c r="I84">
        <v>1250.3601074000001</v>
      </c>
      <c r="J84">
        <v>1210.9185791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1.631462</v>
      </c>
      <c r="B85" s="1">
        <f>DATE(2010,5,2) + TIME(15,9,18)</f>
        <v>40300.631458333337</v>
      </c>
      <c r="C85">
        <v>90</v>
      </c>
      <c r="D85">
        <v>80.295761107999994</v>
      </c>
      <c r="E85">
        <v>30</v>
      </c>
      <c r="F85">
        <v>14.994040489</v>
      </c>
      <c r="G85">
        <v>1410.6083983999999</v>
      </c>
      <c r="H85">
        <v>1396.4075928</v>
      </c>
      <c r="I85">
        <v>1250.3610839999999</v>
      </c>
      <c r="J85">
        <v>1210.9194336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1.679163</v>
      </c>
      <c r="B86" s="1">
        <f>DATE(2010,5,2) + TIME(16,17,59)</f>
        <v>40300.679155092592</v>
      </c>
      <c r="C86">
        <v>90</v>
      </c>
      <c r="D86">
        <v>80.887763977000006</v>
      </c>
      <c r="E86">
        <v>30</v>
      </c>
      <c r="F86">
        <v>14.994071007000001</v>
      </c>
      <c r="G86">
        <v>1410.4195557</v>
      </c>
      <c r="H86">
        <v>1396.2869873</v>
      </c>
      <c r="I86">
        <v>1250.3620605000001</v>
      </c>
      <c r="J86">
        <v>1210.9204102000001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1.7271860000000001</v>
      </c>
      <c r="B87" s="1">
        <f>DATE(2010,5,2) + TIME(17,27,8)</f>
        <v>40300.727175925924</v>
      </c>
      <c r="C87">
        <v>90</v>
      </c>
      <c r="D87">
        <v>81.447799683</v>
      </c>
      <c r="E87">
        <v>30</v>
      </c>
      <c r="F87">
        <v>14.994100571000001</v>
      </c>
      <c r="G87">
        <v>1410.2366943</v>
      </c>
      <c r="H87">
        <v>1396.1674805</v>
      </c>
      <c r="I87">
        <v>1250.3631591999999</v>
      </c>
      <c r="J87">
        <v>1210.9212646000001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1.7755879999999999</v>
      </c>
      <c r="B88" s="1">
        <f>DATE(2010,5,2) + TIME(18,36,50)</f>
        <v>40300.775578703702</v>
      </c>
      <c r="C88">
        <v>90</v>
      </c>
      <c r="D88">
        <v>81.977813721000004</v>
      </c>
      <c r="E88">
        <v>30</v>
      </c>
      <c r="F88">
        <v>14.994130135000001</v>
      </c>
      <c r="G88">
        <v>1410.0589600000001</v>
      </c>
      <c r="H88">
        <v>1396.0487060999999</v>
      </c>
      <c r="I88">
        <v>1250.3643798999999</v>
      </c>
      <c r="J88">
        <v>1210.9222411999999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1.824422</v>
      </c>
      <c r="B89" s="1">
        <f>DATE(2010,5,2) + TIME(19,47,10)</f>
        <v>40300.824421296296</v>
      </c>
      <c r="C89">
        <v>90</v>
      </c>
      <c r="D89">
        <v>82.479515075999998</v>
      </c>
      <c r="E89">
        <v>30</v>
      </c>
      <c r="F89">
        <v>14.994158745</v>
      </c>
      <c r="G89">
        <v>1409.8861084</v>
      </c>
      <c r="H89">
        <v>1395.9305420000001</v>
      </c>
      <c r="I89">
        <v>1250.3654785000001</v>
      </c>
      <c r="J89">
        <v>1210.9232178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1.873739</v>
      </c>
      <c r="B90" s="1">
        <f>DATE(2010,5,2) + TIME(20,58,11)</f>
        <v>40300.873738425929</v>
      </c>
      <c r="C90">
        <v>90</v>
      </c>
      <c r="D90">
        <v>82.954475403000004</v>
      </c>
      <c r="E90">
        <v>30</v>
      </c>
      <c r="F90">
        <v>14.994187354999999</v>
      </c>
      <c r="G90">
        <v>1409.7174072</v>
      </c>
      <c r="H90">
        <v>1395.8128661999999</v>
      </c>
      <c r="I90">
        <v>1250.3665771000001</v>
      </c>
      <c r="J90">
        <v>1210.9241943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1.923594</v>
      </c>
      <c r="B91" s="1">
        <f>DATE(2010,5,2) + TIME(22,9,58)</f>
        <v>40300.923587962963</v>
      </c>
      <c r="C91">
        <v>90</v>
      </c>
      <c r="D91">
        <v>83.404159546000002</v>
      </c>
      <c r="E91">
        <v>30</v>
      </c>
      <c r="F91">
        <v>14.994215012</v>
      </c>
      <c r="G91">
        <v>1409.5526123</v>
      </c>
      <c r="H91">
        <v>1395.6955565999999</v>
      </c>
      <c r="I91">
        <v>1250.3676757999999</v>
      </c>
      <c r="J91">
        <v>1210.9251709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1.9740409999999999</v>
      </c>
      <c r="B92" s="1">
        <f>DATE(2010,5,2) + TIME(23,22,37)</f>
        <v>40300.974039351851</v>
      </c>
      <c r="C92">
        <v>90</v>
      </c>
      <c r="D92">
        <v>83.829895019999995</v>
      </c>
      <c r="E92">
        <v>30</v>
      </c>
      <c r="F92">
        <v>14.994241713999999</v>
      </c>
      <c r="G92">
        <v>1409.3912353999999</v>
      </c>
      <c r="H92">
        <v>1395.5783690999999</v>
      </c>
      <c r="I92">
        <v>1250.3687743999999</v>
      </c>
      <c r="J92">
        <v>1210.9261475000001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2.0251350000000001</v>
      </c>
      <c r="B93" s="1">
        <f>DATE(2010,5,3) + TIME(0,36,11)</f>
        <v>40301.025127314817</v>
      </c>
      <c r="C93">
        <v>90</v>
      </c>
      <c r="D93">
        <v>84.232925414999997</v>
      </c>
      <c r="E93">
        <v>30</v>
      </c>
      <c r="F93">
        <v>14.994269371</v>
      </c>
      <c r="G93">
        <v>1409.2327881000001</v>
      </c>
      <c r="H93">
        <v>1395.4611815999999</v>
      </c>
      <c r="I93">
        <v>1250.3698730000001</v>
      </c>
      <c r="J93">
        <v>1210.9272461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2.0769350000000002</v>
      </c>
      <c r="B94" s="1">
        <f>DATE(2010,5,3) + TIME(1,50,47)</f>
        <v>40301.076932870368</v>
      </c>
      <c r="C94">
        <v>90</v>
      </c>
      <c r="D94">
        <v>84.614402771000002</v>
      </c>
      <c r="E94">
        <v>30</v>
      </c>
      <c r="F94">
        <v>14.99429512</v>
      </c>
      <c r="G94">
        <v>1409.0771483999999</v>
      </c>
      <c r="H94">
        <v>1395.3438721</v>
      </c>
      <c r="I94">
        <v>1250.3709716999999</v>
      </c>
      <c r="J94">
        <v>1210.9282227000001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2.129499</v>
      </c>
      <c r="B95" s="1">
        <f>DATE(2010,5,3) + TIME(3,6,28)</f>
        <v>40301.129490740743</v>
      </c>
      <c r="C95">
        <v>90</v>
      </c>
      <c r="D95">
        <v>84.975395203000005</v>
      </c>
      <c r="E95">
        <v>30</v>
      </c>
      <c r="F95">
        <v>14.994321823</v>
      </c>
      <c r="G95">
        <v>1408.9238281</v>
      </c>
      <c r="H95">
        <v>1395.2263184000001</v>
      </c>
      <c r="I95">
        <v>1250.3721923999999</v>
      </c>
      <c r="J95">
        <v>1210.9291992000001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2.1829019999999999</v>
      </c>
      <c r="B96" s="1">
        <f>DATE(2010,5,3) + TIME(4,23,22)</f>
        <v>40301.182893518519</v>
      </c>
      <c r="C96">
        <v>90</v>
      </c>
      <c r="D96">
        <v>85.316719054999993</v>
      </c>
      <c r="E96">
        <v>30</v>
      </c>
      <c r="F96">
        <v>14.994347572000001</v>
      </c>
      <c r="G96">
        <v>1408.7725829999999</v>
      </c>
      <c r="H96">
        <v>1395.1083983999999</v>
      </c>
      <c r="I96">
        <v>1250.3732910000001</v>
      </c>
      <c r="J96">
        <v>1210.9302978999999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2.2372100000000001</v>
      </c>
      <c r="B97" s="1">
        <f>DATE(2010,5,3) + TIME(5,41,34)</f>
        <v>40301.237199074072</v>
      </c>
      <c r="C97">
        <v>90</v>
      </c>
      <c r="D97">
        <v>85.639541625999996</v>
      </c>
      <c r="E97">
        <v>30</v>
      </c>
      <c r="F97">
        <v>14.994373322</v>
      </c>
      <c r="G97">
        <v>1408.6230469</v>
      </c>
      <c r="H97">
        <v>1394.9899902</v>
      </c>
      <c r="I97">
        <v>1250.3743896000001</v>
      </c>
      <c r="J97">
        <v>1210.9312743999999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2.292481</v>
      </c>
      <c r="B98" s="1">
        <f>DATE(2010,5,3) + TIME(7,1,10)</f>
        <v>40301.29247685185</v>
      </c>
      <c r="C98">
        <v>90</v>
      </c>
      <c r="D98">
        <v>85.944664001000007</v>
      </c>
      <c r="E98">
        <v>30</v>
      </c>
      <c r="F98">
        <v>14.994398116999999</v>
      </c>
      <c r="G98">
        <v>1408.4750977000001</v>
      </c>
      <c r="H98">
        <v>1394.8709716999999</v>
      </c>
      <c r="I98">
        <v>1250.3756103999999</v>
      </c>
      <c r="J98">
        <v>1210.9323730000001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2.348786</v>
      </c>
      <c r="B99" s="1">
        <f>DATE(2010,5,3) + TIME(8,22,15)</f>
        <v>40301.34878472222</v>
      </c>
      <c r="C99">
        <v>90</v>
      </c>
      <c r="D99">
        <v>86.232910156000003</v>
      </c>
      <c r="E99">
        <v>30</v>
      </c>
      <c r="F99">
        <v>14.994422912999999</v>
      </c>
      <c r="G99">
        <v>1408.3284911999999</v>
      </c>
      <c r="H99">
        <v>1394.7512207</v>
      </c>
      <c r="I99">
        <v>1250.3767089999999</v>
      </c>
      <c r="J99">
        <v>1210.9334716999999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2.4062039999999998</v>
      </c>
      <c r="B100" s="1">
        <f>DATE(2010,5,3) + TIME(9,44,56)</f>
        <v>40301.4062037037</v>
      </c>
      <c r="C100">
        <v>90</v>
      </c>
      <c r="D100">
        <v>86.505050659000005</v>
      </c>
      <c r="E100">
        <v>30</v>
      </c>
      <c r="F100">
        <v>14.994447707999999</v>
      </c>
      <c r="G100">
        <v>1408.1829834</v>
      </c>
      <c r="H100">
        <v>1394.6307373</v>
      </c>
      <c r="I100">
        <v>1250.3779297000001</v>
      </c>
      <c r="J100">
        <v>1210.9344481999999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2.464817</v>
      </c>
      <c r="B101" s="1">
        <f>DATE(2010,5,3) + TIME(11,9,20)</f>
        <v>40301.464814814812</v>
      </c>
      <c r="C101">
        <v>90</v>
      </c>
      <c r="D101">
        <v>86.761825561999999</v>
      </c>
      <c r="E101">
        <v>30</v>
      </c>
      <c r="F101">
        <v>14.994472504000001</v>
      </c>
      <c r="G101">
        <v>1408.0383300999999</v>
      </c>
      <c r="H101">
        <v>1394.5092772999999</v>
      </c>
      <c r="I101">
        <v>1250.3791504000001</v>
      </c>
      <c r="J101">
        <v>1210.9355469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2.5247109999999999</v>
      </c>
      <c r="B102" s="1">
        <f>DATE(2010,5,3) + TIME(12,35,35)</f>
        <v>40301.524710648147</v>
      </c>
      <c r="C102">
        <v>90</v>
      </c>
      <c r="D102">
        <v>87.00390625</v>
      </c>
      <c r="E102">
        <v>30</v>
      </c>
      <c r="F102">
        <v>14.994497299000001</v>
      </c>
      <c r="G102">
        <v>1407.8942870999999</v>
      </c>
      <c r="H102">
        <v>1394.3868408000001</v>
      </c>
      <c r="I102">
        <v>1250.380249</v>
      </c>
      <c r="J102">
        <v>1210.9366454999999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2.5859830000000001</v>
      </c>
      <c r="B103" s="1">
        <f>DATE(2010,5,3) + TIME(14,3,48)</f>
        <v>40301.585972222223</v>
      </c>
      <c r="C103">
        <v>90</v>
      </c>
      <c r="D103">
        <v>87.231948853000006</v>
      </c>
      <c r="E103">
        <v>30</v>
      </c>
      <c r="F103">
        <v>14.994521141</v>
      </c>
      <c r="G103">
        <v>1407.7508545000001</v>
      </c>
      <c r="H103">
        <v>1394.2633057</v>
      </c>
      <c r="I103">
        <v>1250.3814697</v>
      </c>
      <c r="J103">
        <v>1210.9377440999999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2.6487319999999999</v>
      </c>
      <c r="B104" s="1">
        <f>DATE(2010,5,3) + TIME(15,34,10)</f>
        <v>40301.648726851854</v>
      </c>
      <c r="C104">
        <v>90</v>
      </c>
      <c r="D104">
        <v>87.446571349999999</v>
      </c>
      <c r="E104">
        <v>30</v>
      </c>
      <c r="F104">
        <v>14.994545937</v>
      </c>
      <c r="G104">
        <v>1407.6075439000001</v>
      </c>
      <c r="H104">
        <v>1394.1385498</v>
      </c>
      <c r="I104">
        <v>1250.3826904</v>
      </c>
      <c r="J104">
        <v>1210.9389647999999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2.7130700000000001</v>
      </c>
      <c r="B105" s="1">
        <f>DATE(2010,5,3) + TIME(17,6,49)</f>
        <v>40301.713067129633</v>
      </c>
      <c r="C105">
        <v>90</v>
      </c>
      <c r="D105">
        <v>87.648361206000004</v>
      </c>
      <c r="E105">
        <v>30</v>
      </c>
      <c r="F105">
        <v>14.994569778000001</v>
      </c>
      <c r="G105">
        <v>1407.4642334</v>
      </c>
      <c r="H105">
        <v>1394.0124512</v>
      </c>
      <c r="I105">
        <v>1250.3840332</v>
      </c>
      <c r="J105">
        <v>1210.9400635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2.7791269999999999</v>
      </c>
      <c r="B106" s="1">
        <f>DATE(2010,5,3) + TIME(18,41,56)</f>
        <v>40301.779120370367</v>
      </c>
      <c r="C106">
        <v>90</v>
      </c>
      <c r="D106">
        <v>87.837890625</v>
      </c>
      <c r="E106">
        <v>30</v>
      </c>
      <c r="F106">
        <v>14.994594574000001</v>
      </c>
      <c r="G106">
        <v>1407.3208007999999</v>
      </c>
      <c r="H106">
        <v>1393.8848877</v>
      </c>
      <c r="I106">
        <v>1250.3852539</v>
      </c>
      <c r="J106">
        <v>1210.9412841999999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2.8470580000000001</v>
      </c>
      <c r="B107" s="1">
        <f>DATE(2010,5,3) + TIME(20,19,45)</f>
        <v>40301.847048611111</v>
      </c>
      <c r="C107">
        <v>90</v>
      </c>
      <c r="D107">
        <v>88.015754700000002</v>
      </c>
      <c r="E107">
        <v>30</v>
      </c>
      <c r="F107">
        <v>14.994618416</v>
      </c>
      <c r="G107">
        <v>1407.1770019999999</v>
      </c>
      <c r="H107">
        <v>1393.7556152</v>
      </c>
      <c r="I107">
        <v>1250.3864745999999</v>
      </c>
      <c r="J107">
        <v>1210.9425048999999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2.9169740000000002</v>
      </c>
      <c r="B108" s="1">
        <f>DATE(2010,5,3) + TIME(22,0,26)</f>
        <v>40301.916967592595</v>
      </c>
      <c r="C108">
        <v>90</v>
      </c>
      <c r="D108">
        <v>88.182373046999999</v>
      </c>
      <c r="E108">
        <v>30</v>
      </c>
      <c r="F108">
        <v>14.994643211</v>
      </c>
      <c r="G108">
        <v>1407.0325928</v>
      </c>
      <c r="H108">
        <v>1393.6246338000001</v>
      </c>
      <c r="I108">
        <v>1250.3878173999999</v>
      </c>
      <c r="J108">
        <v>1210.9437256000001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2.9890330000000001</v>
      </c>
      <c r="B109" s="1">
        <f>DATE(2010,5,3) + TIME(23,44,12)</f>
        <v>40301.989027777781</v>
      </c>
      <c r="C109">
        <v>90</v>
      </c>
      <c r="D109">
        <v>88.338218689000001</v>
      </c>
      <c r="E109">
        <v>30</v>
      </c>
      <c r="F109">
        <v>14.994667053000001</v>
      </c>
      <c r="G109">
        <v>1406.8874512</v>
      </c>
      <c r="H109">
        <v>1393.4916992000001</v>
      </c>
      <c r="I109">
        <v>1250.3891602000001</v>
      </c>
      <c r="J109">
        <v>1210.9449463000001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3.063062</v>
      </c>
      <c r="B110" s="1">
        <f>DATE(2010,5,4) + TIME(1,30,48)</f>
        <v>40302.063055555554</v>
      </c>
      <c r="C110">
        <v>90</v>
      </c>
      <c r="D110">
        <v>88.483146667</v>
      </c>
      <c r="E110">
        <v>30</v>
      </c>
      <c r="F110">
        <v>14.994691849000001</v>
      </c>
      <c r="G110">
        <v>1406.7414550999999</v>
      </c>
      <c r="H110">
        <v>1393.3568115</v>
      </c>
      <c r="I110">
        <v>1250.3905029</v>
      </c>
      <c r="J110">
        <v>1210.9462891000001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3.1391040000000001</v>
      </c>
      <c r="B111" s="1">
        <f>DATE(2010,5,4) + TIME(3,20,18)</f>
        <v>40302.139097222222</v>
      </c>
      <c r="C111">
        <v>90</v>
      </c>
      <c r="D111">
        <v>88.617553710999999</v>
      </c>
      <c r="E111">
        <v>30</v>
      </c>
      <c r="F111">
        <v>14.994715691</v>
      </c>
      <c r="G111">
        <v>1406.5948486</v>
      </c>
      <c r="H111">
        <v>1393.2204589999999</v>
      </c>
      <c r="I111">
        <v>1250.3918457</v>
      </c>
      <c r="J111">
        <v>1210.9475098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3.2173090000000002</v>
      </c>
      <c r="B112" s="1">
        <f>DATE(2010,5,4) + TIME(5,12,55)</f>
        <v>40302.217303240737</v>
      </c>
      <c r="C112">
        <v>90</v>
      </c>
      <c r="D112">
        <v>88.742012024000005</v>
      </c>
      <c r="E112">
        <v>30</v>
      </c>
      <c r="F112">
        <v>14.994740486</v>
      </c>
      <c r="G112">
        <v>1406.447876</v>
      </c>
      <c r="H112">
        <v>1393.0825195</v>
      </c>
      <c r="I112">
        <v>1250.3933105000001</v>
      </c>
      <c r="J112">
        <v>1210.9488524999999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3.2978200000000002</v>
      </c>
      <c r="B113" s="1">
        <f>DATE(2010,5,4) + TIME(7,8,51)</f>
        <v>40302.297812500001</v>
      </c>
      <c r="C113">
        <v>90</v>
      </c>
      <c r="D113">
        <v>88.857025145999998</v>
      </c>
      <c r="E113">
        <v>30</v>
      </c>
      <c r="F113">
        <v>14.994764328</v>
      </c>
      <c r="G113">
        <v>1406.3000488</v>
      </c>
      <c r="H113">
        <v>1392.9428711</v>
      </c>
      <c r="I113">
        <v>1250.3947754000001</v>
      </c>
      <c r="J113">
        <v>1210.9501952999999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3.3808029999999998</v>
      </c>
      <c r="B114" s="1">
        <f>DATE(2010,5,4) + TIME(9,8,21)</f>
        <v>40302.380798611113</v>
      </c>
      <c r="C114">
        <v>90</v>
      </c>
      <c r="D114">
        <v>88.963104247999993</v>
      </c>
      <c r="E114">
        <v>30</v>
      </c>
      <c r="F114">
        <v>14.994789124</v>
      </c>
      <c r="G114">
        <v>1406.1513672000001</v>
      </c>
      <c r="H114">
        <v>1392.8016356999999</v>
      </c>
      <c r="I114">
        <v>1250.3962402</v>
      </c>
      <c r="J114">
        <v>1210.9516602000001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3.4662980000000001</v>
      </c>
      <c r="B115" s="1">
        <f>DATE(2010,5,4) + TIME(11,11,28)</f>
        <v>40302.466296296298</v>
      </c>
      <c r="C115">
        <v>90</v>
      </c>
      <c r="D115">
        <v>89.060592650999993</v>
      </c>
      <c r="E115">
        <v>30</v>
      </c>
      <c r="F115">
        <v>14.994813919</v>
      </c>
      <c r="G115">
        <v>1406.0017089999999</v>
      </c>
      <c r="H115">
        <v>1392.6584473</v>
      </c>
      <c r="I115">
        <v>1250.3977050999999</v>
      </c>
      <c r="J115">
        <v>1210.9530029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3.5545070000000001</v>
      </c>
      <c r="B116" s="1">
        <f>DATE(2010,5,4) + TIME(13,18,29)</f>
        <v>40302.554502314815</v>
      </c>
      <c r="C116">
        <v>90</v>
      </c>
      <c r="D116">
        <v>89.150016785000005</v>
      </c>
      <c r="E116">
        <v>30</v>
      </c>
      <c r="F116">
        <v>14.994837760999999</v>
      </c>
      <c r="G116">
        <v>1405.8510742000001</v>
      </c>
      <c r="H116">
        <v>1392.5135498</v>
      </c>
      <c r="I116">
        <v>1250.3991699000001</v>
      </c>
      <c r="J116">
        <v>1210.9544678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3.6456400000000002</v>
      </c>
      <c r="B117" s="1">
        <f>DATE(2010,5,4) + TIME(15,29,43)</f>
        <v>40302.645636574074</v>
      </c>
      <c r="C117">
        <v>90</v>
      </c>
      <c r="D117">
        <v>89.231864928999997</v>
      </c>
      <c r="E117">
        <v>30</v>
      </c>
      <c r="F117">
        <v>14.994862555999999</v>
      </c>
      <c r="G117">
        <v>1405.6992187999999</v>
      </c>
      <c r="H117">
        <v>1392.3668213000001</v>
      </c>
      <c r="I117">
        <v>1250.4007568</v>
      </c>
      <c r="J117">
        <v>1210.9559326000001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3.7399360000000001</v>
      </c>
      <c r="B118" s="1">
        <f>DATE(2010,5,4) + TIME(17,45,30)</f>
        <v>40302.739930555559</v>
      </c>
      <c r="C118">
        <v>90</v>
      </c>
      <c r="D118">
        <v>89.306594849000007</v>
      </c>
      <c r="E118">
        <v>30</v>
      </c>
      <c r="F118">
        <v>14.994888306</v>
      </c>
      <c r="G118">
        <v>1405.5458983999999</v>
      </c>
      <c r="H118">
        <v>1392.2180175999999</v>
      </c>
      <c r="I118">
        <v>1250.4023437999999</v>
      </c>
      <c r="J118">
        <v>1210.9575195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3.8365100000000001</v>
      </c>
      <c r="B119" s="1">
        <f>DATE(2010,5,4) + TIME(20,4,34)</f>
        <v>40302.836504629631</v>
      </c>
      <c r="C119">
        <v>90</v>
      </c>
      <c r="D119">
        <v>89.373954772999994</v>
      </c>
      <c r="E119">
        <v>30</v>
      </c>
      <c r="F119">
        <v>14.994913101</v>
      </c>
      <c r="G119">
        <v>1405.3911132999999</v>
      </c>
      <c r="H119">
        <v>1392.0670166</v>
      </c>
      <c r="I119">
        <v>1250.4039307</v>
      </c>
      <c r="J119">
        <v>1210.9589844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3.9331969999999998</v>
      </c>
      <c r="B120" s="1">
        <f>DATE(2010,5,4) + TIME(22,23,48)</f>
        <v>40302.933194444442</v>
      </c>
      <c r="C120">
        <v>90</v>
      </c>
      <c r="D120">
        <v>89.433303832999997</v>
      </c>
      <c r="E120">
        <v>30</v>
      </c>
      <c r="F120">
        <v>14.994936943000001</v>
      </c>
      <c r="G120">
        <v>1405.2365723</v>
      </c>
      <c r="H120">
        <v>1391.9154053</v>
      </c>
      <c r="I120">
        <v>1250.4056396000001</v>
      </c>
      <c r="J120">
        <v>1210.9605713000001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4.0301400000000003</v>
      </c>
      <c r="B121" s="1">
        <f>DATE(2010,5,5) + TIME(0,43,24)</f>
        <v>40303.030138888891</v>
      </c>
      <c r="C121">
        <v>90</v>
      </c>
      <c r="D121">
        <v>89.485671996999997</v>
      </c>
      <c r="E121">
        <v>30</v>
      </c>
      <c r="F121">
        <v>14.994960785</v>
      </c>
      <c r="G121">
        <v>1405.0852050999999</v>
      </c>
      <c r="H121">
        <v>1391.7664795000001</v>
      </c>
      <c r="I121">
        <v>1250.4072266000001</v>
      </c>
      <c r="J121">
        <v>1210.9621582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4.1274649999999999</v>
      </c>
      <c r="B122" s="1">
        <f>DATE(2010,5,5) + TIME(3,3,32)</f>
        <v>40303.127453703702</v>
      </c>
      <c r="C122">
        <v>90</v>
      </c>
      <c r="D122">
        <v>89.531936646000005</v>
      </c>
      <c r="E122">
        <v>30</v>
      </c>
      <c r="F122">
        <v>14.994984626999999</v>
      </c>
      <c r="G122">
        <v>1404.9367675999999</v>
      </c>
      <c r="H122">
        <v>1391.6201172000001</v>
      </c>
      <c r="I122">
        <v>1250.4088135</v>
      </c>
      <c r="J122">
        <v>1210.9637451000001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4.2252989999999997</v>
      </c>
      <c r="B123" s="1">
        <f>DATE(2010,5,5) + TIME(5,24,25)</f>
        <v>40303.225289351853</v>
      </c>
      <c r="C123">
        <v>90</v>
      </c>
      <c r="D123">
        <v>89.572830199999999</v>
      </c>
      <c r="E123">
        <v>30</v>
      </c>
      <c r="F123">
        <v>14.995007514999999</v>
      </c>
      <c r="G123">
        <v>1404.7910156</v>
      </c>
      <c r="H123">
        <v>1391.4760742000001</v>
      </c>
      <c r="I123">
        <v>1250.4104004000001</v>
      </c>
      <c r="J123">
        <v>1210.9652100000001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4.3237769999999998</v>
      </c>
      <c r="B124" s="1">
        <f>DATE(2010,5,5) + TIME(7,46,14)</f>
        <v>40303.323773148149</v>
      </c>
      <c r="C124">
        <v>90</v>
      </c>
      <c r="D124">
        <v>89.609016417999996</v>
      </c>
      <c r="E124">
        <v>30</v>
      </c>
      <c r="F124">
        <v>14.995030402999999</v>
      </c>
      <c r="G124">
        <v>1404.6475829999999</v>
      </c>
      <c r="H124">
        <v>1391.3339844</v>
      </c>
      <c r="I124">
        <v>1250.4121094</v>
      </c>
      <c r="J124">
        <v>1210.9667969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4.4230219999999996</v>
      </c>
      <c r="B125" s="1">
        <f>DATE(2010,5,5) + TIME(10,9,9)</f>
        <v>40303.423020833332</v>
      </c>
      <c r="C125">
        <v>90</v>
      </c>
      <c r="D125">
        <v>89.641059874999996</v>
      </c>
      <c r="E125">
        <v>30</v>
      </c>
      <c r="F125">
        <v>14.995052338000001</v>
      </c>
      <c r="G125">
        <v>1404.5062256000001</v>
      </c>
      <c r="H125">
        <v>1391.1937256000001</v>
      </c>
      <c r="I125">
        <v>1250.4136963000001</v>
      </c>
      <c r="J125">
        <v>1210.9683838000001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4.5231560000000002</v>
      </c>
      <c r="B126" s="1">
        <f>DATE(2010,5,5) + TIME(12,33,20)</f>
        <v>40303.523148148146</v>
      </c>
      <c r="C126">
        <v>90</v>
      </c>
      <c r="D126">
        <v>89.669441223000007</v>
      </c>
      <c r="E126">
        <v>30</v>
      </c>
      <c r="F126">
        <v>14.995075226000001</v>
      </c>
      <c r="G126">
        <v>1404.3666992000001</v>
      </c>
      <c r="H126">
        <v>1391.0550536999999</v>
      </c>
      <c r="I126">
        <v>1250.4152832</v>
      </c>
      <c r="J126">
        <v>1210.9699707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4.6240240000000004</v>
      </c>
      <c r="B127" s="1">
        <f>DATE(2010,5,5) + TIME(14,58,35)</f>
        <v>40303.624016203707</v>
      </c>
      <c r="C127">
        <v>90</v>
      </c>
      <c r="D127">
        <v>89.694534301999994</v>
      </c>
      <c r="E127">
        <v>30</v>
      </c>
      <c r="F127">
        <v>14.99509716</v>
      </c>
      <c r="G127">
        <v>1404.2287598</v>
      </c>
      <c r="H127">
        <v>1390.9178466999999</v>
      </c>
      <c r="I127">
        <v>1250.4168701000001</v>
      </c>
      <c r="J127">
        <v>1210.9714355000001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4.7256320000000001</v>
      </c>
      <c r="B128" s="1">
        <f>DATE(2010,5,5) + TIME(17,24,54)</f>
        <v>40303.725624999999</v>
      </c>
      <c r="C128">
        <v>90</v>
      </c>
      <c r="D128">
        <v>89.716705321999996</v>
      </c>
      <c r="E128">
        <v>30</v>
      </c>
      <c r="F128">
        <v>14.995118141000001</v>
      </c>
      <c r="G128">
        <v>1404.0926514</v>
      </c>
      <c r="H128">
        <v>1390.7822266000001</v>
      </c>
      <c r="I128">
        <v>1250.4185791</v>
      </c>
      <c r="J128">
        <v>1210.9730225000001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4.8280890000000003</v>
      </c>
      <c r="B129" s="1">
        <f>DATE(2010,5,5) + TIME(19,52,26)</f>
        <v>40303.8280787037</v>
      </c>
      <c r="C129">
        <v>90</v>
      </c>
      <c r="D129">
        <v>89.736312866000006</v>
      </c>
      <c r="E129">
        <v>30</v>
      </c>
      <c r="F129">
        <v>14.995140076</v>
      </c>
      <c r="G129">
        <v>1403.9581298999999</v>
      </c>
      <c r="H129">
        <v>1390.6480713000001</v>
      </c>
      <c r="I129">
        <v>1250.4201660000001</v>
      </c>
      <c r="J129">
        <v>1210.9746094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4.9315030000000002</v>
      </c>
      <c r="B130" s="1">
        <f>DATE(2010,5,5) + TIME(22,21,21)</f>
        <v>40303.931493055556</v>
      </c>
      <c r="C130">
        <v>90</v>
      </c>
      <c r="D130">
        <v>89.753654479999994</v>
      </c>
      <c r="E130">
        <v>30</v>
      </c>
      <c r="F130">
        <v>14.995161057000001</v>
      </c>
      <c r="G130">
        <v>1403.8253173999999</v>
      </c>
      <c r="H130">
        <v>1390.5155029</v>
      </c>
      <c r="I130">
        <v>1250.4217529</v>
      </c>
      <c r="J130">
        <v>1210.9761963000001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5.0359870000000004</v>
      </c>
      <c r="B131" s="1">
        <f>DATE(2010,5,6) + TIME(0,51,49)</f>
        <v>40304.035983796297</v>
      </c>
      <c r="C131">
        <v>90</v>
      </c>
      <c r="D131">
        <v>89.768997192</v>
      </c>
      <c r="E131">
        <v>30</v>
      </c>
      <c r="F131">
        <v>14.995182036999999</v>
      </c>
      <c r="G131">
        <v>1403.6937256000001</v>
      </c>
      <c r="H131">
        <v>1390.3840332</v>
      </c>
      <c r="I131">
        <v>1250.4234618999999</v>
      </c>
      <c r="J131">
        <v>1210.9777832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5.1416529999999998</v>
      </c>
      <c r="B132" s="1">
        <f>DATE(2010,5,6) + TIME(3,23,58)</f>
        <v>40304.141643518517</v>
      </c>
      <c r="C132">
        <v>90</v>
      </c>
      <c r="D132">
        <v>89.782577515</v>
      </c>
      <c r="E132">
        <v>30</v>
      </c>
      <c r="F132">
        <v>14.995203018</v>
      </c>
      <c r="G132">
        <v>1403.5633545000001</v>
      </c>
      <c r="H132">
        <v>1390.2537841999999</v>
      </c>
      <c r="I132">
        <v>1250.4251709</v>
      </c>
      <c r="J132">
        <v>1210.9793701000001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5.2486610000000002</v>
      </c>
      <c r="B133" s="1">
        <f>DATE(2010,5,6) + TIME(5,58,4)</f>
        <v>40304.248657407406</v>
      </c>
      <c r="C133">
        <v>90</v>
      </c>
      <c r="D133">
        <v>89.794609070000007</v>
      </c>
      <c r="E133">
        <v>30</v>
      </c>
      <c r="F133">
        <v>14.995223044999999</v>
      </c>
      <c r="G133">
        <v>1403.4339600000001</v>
      </c>
      <c r="H133">
        <v>1390.1245117000001</v>
      </c>
      <c r="I133">
        <v>1250.4267577999999</v>
      </c>
      <c r="J133">
        <v>1210.980957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5.3571010000000001</v>
      </c>
      <c r="B134" s="1">
        <f>DATE(2010,5,6) + TIME(8,34,13)</f>
        <v>40304.357094907406</v>
      </c>
      <c r="C134">
        <v>90</v>
      </c>
      <c r="D134">
        <v>89.805267334000007</v>
      </c>
      <c r="E134">
        <v>30</v>
      </c>
      <c r="F134">
        <v>14.995244026</v>
      </c>
      <c r="G134">
        <v>1403.3054199000001</v>
      </c>
      <c r="H134">
        <v>1389.9959716999999</v>
      </c>
      <c r="I134">
        <v>1250.4284668</v>
      </c>
      <c r="J134">
        <v>1210.9826660000001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5.4670940000000003</v>
      </c>
      <c r="B135" s="1">
        <f>DATE(2010,5,6) + TIME(11,12,36)</f>
        <v>40304.467083333337</v>
      </c>
      <c r="C135">
        <v>90</v>
      </c>
      <c r="D135">
        <v>89.814704895000006</v>
      </c>
      <c r="E135">
        <v>30</v>
      </c>
      <c r="F135">
        <v>14.995264053</v>
      </c>
      <c r="G135">
        <v>1403.1777344</v>
      </c>
      <c r="H135">
        <v>1389.8681641000001</v>
      </c>
      <c r="I135">
        <v>1250.4301757999999</v>
      </c>
      <c r="J135">
        <v>1210.9842529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5.5787740000000001</v>
      </c>
      <c r="B136" s="1">
        <f>DATE(2010,5,6) + TIME(13,53,26)</f>
        <v>40304.578773148147</v>
      </c>
      <c r="C136">
        <v>90</v>
      </c>
      <c r="D136">
        <v>89.823066710999996</v>
      </c>
      <c r="E136">
        <v>30</v>
      </c>
      <c r="F136">
        <v>14.995285034</v>
      </c>
      <c r="G136">
        <v>1403.0504149999999</v>
      </c>
      <c r="H136">
        <v>1389.7409668</v>
      </c>
      <c r="I136">
        <v>1250.4318848</v>
      </c>
      <c r="J136">
        <v>1210.9859618999999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5.6922819999999996</v>
      </c>
      <c r="B137" s="1">
        <f>DATE(2010,5,6) + TIME(16,36,53)</f>
        <v>40304.692280092589</v>
      </c>
      <c r="C137">
        <v>90</v>
      </c>
      <c r="D137">
        <v>89.830474854000002</v>
      </c>
      <c r="E137">
        <v>30</v>
      </c>
      <c r="F137">
        <v>14.995305061</v>
      </c>
      <c r="G137">
        <v>1402.9237060999999</v>
      </c>
      <c r="H137">
        <v>1389.6141356999999</v>
      </c>
      <c r="I137">
        <v>1250.4335937999999</v>
      </c>
      <c r="J137">
        <v>1210.9875488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5.8077680000000003</v>
      </c>
      <c r="B138" s="1">
        <f>DATE(2010,5,6) + TIME(19,23,11)</f>
        <v>40304.807766203703</v>
      </c>
      <c r="C138">
        <v>90</v>
      </c>
      <c r="D138">
        <v>89.837051392000006</v>
      </c>
      <c r="E138">
        <v>30</v>
      </c>
      <c r="F138">
        <v>14.995325089</v>
      </c>
      <c r="G138">
        <v>1402.7972411999999</v>
      </c>
      <c r="H138">
        <v>1389.4875488</v>
      </c>
      <c r="I138">
        <v>1250.4354248</v>
      </c>
      <c r="J138">
        <v>1210.9892577999999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5.9253910000000003</v>
      </c>
      <c r="B139" s="1">
        <f>DATE(2010,5,6) + TIME(22,12,33)</f>
        <v>40304.925381944442</v>
      </c>
      <c r="C139">
        <v>90</v>
      </c>
      <c r="D139">
        <v>89.842872619999994</v>
      </c>
      <c r="E139">
        <v>30</v>
      </c>
      <c r="F139">
        <v>14.995346069</v>
      </c>
      <c r="G139">
        <v>1402.6708983999999</v>
      </c>
      <c r="H139">
        <v>1389.3612060999999</v>
      </c>
      <c r="I139">
        <v>1250.4371338000001</v>
      </c>
      <c r="J139">
        <v>1210.9910889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6.0453219999999996</v>
      </c>
      <c r="B140" s="1">
        <f>DATE(2010,5,7) + TIME(1,5,15)</f>
        <v>40305.045312499999</v>
      </c>
      <c r="C140">
        <v>90</v>
      </c>
      <c r="D140">
        <v>89.848037719999994</v>
      </c>
      <c r="E140">
        <v>30</v>
      </c>
      <c r="F140">
        <v>14.995366096</v>
      </c>
      <c r="G140">
        <v>1402.5446777</v>
      </c>
      <c r="H140">
        <v>1389.2349853999999</v>
      </c>
      <c r="I140">
        <v>1250.4389647999999</v>
      </c>
      <c r="J140">
        <v>1210.9927978999999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6.167745</v>
      </c>
      <c r="B141" s="1">
        <f>DATE(2010,5,7) + TIME(4,1,33)</f>
        <v>40305.167743055557</v>
      </c>
      <c r="C141">
        <v>90</v>
      </c>
      <c r="D141">
        <v>89.852622986</v>
      </c>
      <c r="E141">
        <v>30</v>
      </c>
      <c r="F141">
        <v>14.995387077</v>
      </c>
      <c r="G141">
        <v>1402.4182129000001</v>
      </c>
      <c r="H141">
        <v>1389.1086425999999</v>
      </c>
      <c r="I141">
        <v>1250.440918</v>
      </c>
      <c r="J141">
        <v>1210.9946289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6.2925380000000004</v>
      </c>
      <c r="B142" s="1">
        <f>DATE(2010,5,7) + TIME(7,1,15)</f>
        <v>40305.292534722219</v>
      </c>
      <c r="C142">
        <v>90</v>
      </c>
      <c r="D142">
        <v>89.856681824000006</v>
      </c>
      <c r="E142">
        <v>30</v>
      </c>
      <c r="F142">
        <v>14.995407104</v>
      </c>
      <c r="G142">
        <v>1402.291626</v>
      </c>
      <c r="H142">
        <v>1388.9820557</v>
      </c>
      <c r="I142">
        <v>1250.442749</v>
      </c>
      <c r="J142">
        <v>1210.9964600000001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6.4198680000000001</v>
      </c>
      <c r="B143" s="1">
        <f>DATE(2010,5,7) + TIME(10,4,36)</f>
        <v>40305.419861111113</v>
      </c>
      <c r="C143">
        <v>90</v>
      </c>
      <c r="D143">
        <v>89.860275268999999</v>
      </c>
      <c r="E143">
        <v>30</v>
      </c>
      <c r="F143">
        <v>14.995427132</v>
      </c>
      <c r="G143">
        <v>1402.1649170000001</v>
      </c>
      <c r="H143">
        <v>1388.8554687999999</v>
      </c>
      <c r="I143">
        <v>1250.4447021000001</v>
      </c>
      <c r="J143">
        <v>1210.9982910000001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6.5499429999999998</v>
      </c>
      <c r="B144" s="1">
        <f>DATE(2010,5,7) + TIME(13,11,55)</f>
        <v>40305.549942129626</v>
      </c>
      <c r="C144">
        <v>90</v>
      </c>
      <c r="D144">
        <v>89.863464355000005</v>
      </c>
      <c r="E144">
        <v>30</v>
      </c>
      <c r="F144">
        <v>14.995448112</v>
      </c>
      <c r="G144">
        <v>1402.0379639</v>
      </c>
      <c r="H144">
        <v>1388.7286377</v>
      </c>
      <c r="I144">
        <v>1250.4466553</v>
      </c>
      <c r="J144">
        <v>1211.0001221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6.6830439999999998</v>
      </c>
      <c r="B145" s="1">
        <f>DATE(2010,5,7) + TIME(16,23,35)</f>
        <v>40305.68304398148</v>
      </c>
      <c r="C145">
        <v>90</v>
      </c>
      <c r="D145">
        <v>89.866294861</v>
      </c>
      <c r="E145">
        <v>30</v>
      </c>
      <c r="F145">
        <v>14.995469093000001</v>
      </c>
      <c r="G145">
        <v>1401.9107666</v>
      </c>
      <c r="H145">
        <v>1388.6015625</v>
      </c>
      <c r="I145">
        <v>1250.4486084</v>
      </c>
      <c r="J145">
        <v>1211.0020752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6.8193289999999998</v>
      </c>
      <c r="B146" s="1">
        <f>DATE(2010,5,7) + TIME(19,39,50)</f>
        <v>40305.819328703707</v>
      </c>
      <c r="C146">
        <v>90</v>
      </c>
      <c r="D146">
        <v>89.868812560999999</v>
      </c>
      <c r="E146">
        <v>30</v>
      </c>
      <c r="F146">
        <v>14.99548912</v>
      </c>
      <c r="G146">
        <v>1401.7829589999999</v>
      </c>
      <c r="H146">
        <v>1388.4741211</v>
      </c>
      <c r="I146">
        <v>1250.4506836</v>
      </c>
      <c r="J146">
        <v>1211.0040283000001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6.9590560000000004</v>
      </c>
      <c r="B147" s="1">
        <f>DATE(2010,5,7) + TIME(23,1,2)</f>
        <v>40305.959050925929</v>
      </c>
      <c r="C147">
        <v>90</v>
      </c>
      <c r="D147">
        <v>89.871055603000002</v>
      </c>
      <c r="E147">
        <v>30</v>
      </c>
      <c r="F147">
        <v>14.995510101000001</v>
      </c>
      <c r="G147">
        <v>1401.6545410000001</v>
      </c>
      <c r="H147">
        <v>1388.3459473</v>
      </c>
      <c r="I147">
        <v>1250.4527588000001</v>
      </c>
      <c r="J147">
        <v>1211.0061035000001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7.1024390000000004</v>
      </c>
      <c r="B148" s="1">
        <f>DATE(2010,5,8) + TIME(2,27,30)</f>
        <v>40306.102430555555</v>
      </c>
      <c r="C148">
        <v>90</v>
      </c>
      <c r="D148">
        <v>89.873046875</v>
      </c>
      <c r="E148">
        <v>30</v>
      </c>
      <c r="F148">
        <v>14.995531081999999</v>
      </c>
      <c r="G148">
        <v>1401.5253906</v>
      </c>
      <c r="H148">
        <v>1388.2171631000001</v>
      </c>
      <c r="I148">
        <v>1250.4548339999999</v>
      </c>
      <c r="J148">
        <v>1211.0080565999999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7.2495440000000002</v>
      </c>
      <c r="B149" s="1">
        <f>DATE(2010,5,8) + TIME(5,59,20)</f>
        <v>40306.249537037038</v>
      </c>
      <c r="C149">
        <v>90</v>
      </c>
      <c r="D149">
        <v>89.874824524000005</v>
      </c>
      <c r="E149">
        <v>30</v>
      </c>
      <c r="F149">
        <v>14.995552063</v>
      </c>
      <c r="G149">
        <v>1401.3953856999999</v>
      </c>
      <c r="H149">
        <v>1388.0875243999999</v>
      </c>
      <c r="I149">
        <v>1250.4570312000001</v>
      </c>
      <c r="J149">
        <v>1211.0102539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7.4005179999999999</v>
      </c>
      <c r="B150" s="1">
        <f>DATE(2010,5,8) + TIME(9,36,44)</f>
        <v>40306.400509259256</v>
      </c>
      <c r="C150">
        <v>90</v>
      </c>
      <c r="D150">
        <v>89.876403808999996</v>
      </c>
      <c r="E150">
        <v>30</v>
      </c>
      <c r="F150">
        <v>14.995573996999999</v>
      </c>
      <c r="G150">
        <v>1401.2644043</v>
      </c>
      <c r="H150">
        <v>1387.9571533000001</v>
      </c>
      <c r="I150">
        <v>1250.4592285000001</v>
      </c>
      <c r="J150">
        <v>1211.0123291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7.555536</v>
      </c>
      <c r="B151" s="1">
        <f>DATE(2010,5,8) + TIME(13,19,58)</f>
        <v>40306.555532407408</v>
      </c>
      <c r="C151">
        <v>90</v>
      </c>
      <c r="D151">
        <v>89.877822875999996</v>
      </c>
      <c r="E151">
        <v>30</v>
      </c>
      <c r="F151">
        <v>14.995594978</v>
      </c>
      <c r="G151">
        <v>1401.1325684000001</v>
      </c>
      <c r="H151">
        <v>1387.8260498</v>
      </c>
      <c r="I151">
        <v>1250.4615478999999</v>
      </c>
      <c r="J151">
        <v>1211.0145264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7.6331420000000003</v>
      </c>
      <c r="B152" s="1">
        <f>DATE(2010,5,8) + TIME(15,11,43)</f>
        <v>40306.633136574077</v>
      </c>
      <c r="C152">
        <v>90</v>
      </c>
      <c r="D152">
        <v>89.878471375000004</v>
      </c>
      <c r="E152">
        <v>30</v>
      </c>
      <c r="F152">
        <v>14.995606422</v>
      </c>
      <c r="G152">
        <v>1400.9987793</v>
      </c>
      <c r="H152">
        <v>1387.6918945</v>
      </c>
      <c r="I152">
        <v>1250.4633789</v>
      </c>
      <c r="J152">
        <v>1211.0163574000001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7.7883529999999999</v>
      </c>
      <c r="B153" s="1">
        <f>DATE(2010,5,8) + TIME(18,55,13)</f>
        <v>40306.788344907407</v>
      </c>
      <c r="C153">
        <v>90</v>
      </c>
      <c r="D153">
        <v>89.879631042</v>
      </c>
      <c r="E153">
        <v>30</v>
      </c>
      <c r="F153">
        <v>14.995627403</v>
      </c>
      <c r="G153">
        <v>1400.9335937999999</v>
      </c>
      <c r="H153">
        <v>1387.6280518000001</v>
      </c>
      <c r="I153">
        <v>1250.4649658000001</v>
      </c>
      <c r="J153">
        <v>1211.0179443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7.9435750000000001</v>
      </c>
      <c r="B154" s="1">
        <f>DATE(2010,5,8) + TIME(22,38,44)</f>
        <v>40306.943564814814</v>
      </c>
      <c r="C154">
        <v>90</v>
      </c>
      <c r="D154">
        <v>89.880645752000007</v>
      </c>
      <c r="E154">
        <v>30</v>
      </c>
      <c r="F154">
        <v>14.995648384000001</v>
      </c>
      <c r="G154">
        <v>1400.8050536999999</v>
      </c>
      <c r="H154">
        <v>1387.5002440999999</v>
      </c>
      <c r="I154">
        <v>1250.4672852000001</v>
      </c>
      <c r="J154">
        <v>1211.0201416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8.0990649999999995</v>
      </c>
      <c r="B155" s="1">
        <f>DATE(2010,5,9) + TIME(2,22,39)</f>
        <v>40307.099062499998</v>
      </c>
      <c r="C155">
        <v>90</v>
      </c>
      <c r="D155">
        <v>89.881538391000007</v>
      </c>
      <c r="E155">
        <v>30</v>
      </c>
      <c r="F155">
        <v>14.995668411</v>
      </c>
      <c r="G155">
        <v>1400.6782227000001</v>
      </c>
      <c r="H155">
        <v>1387.3742675999999</v>
      </c>
      <c r="I155">
        <v>1250.4696045000001</v>
      </c>
      <c r="J155">
        <v>1211.0223389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8.2550089999999994</v>
      </c>
      <c r="B156" s="1">
        <f>DATE(2010,5,9) + TIME(6,7,12)</f>
        <v>40307.254999999997</v>
      </c>
      <c r="C156">
        <v>90</v>
      </c>
      <c r="D156">
        <v>89.882339478000006</v>
      </c>
      <c r="E156">
        <v>30</v>
      </c>
      <c r="F156">
        <v>14.995688438</v>
      </c>
      <c r="G156">
        <v>1400.5534668</v>
      </c>
      <c r="H156">
        <v>1387.2504882999999</v>
      </c>
      <c r="I156">
        <v>1250.4719238</v>
      </c>
      <c r="J156">
        <v>1211.0246582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8.4115870000000008</v>
      </c>
      <c r="B157" s="1">
        <f>DATE(2010,5,9) + TIME(9,52,41)</f>
        <v>40307.411585648151</v>
      </c>
      <c r="C157">
        <v>90</v>
      </c>
      <c r="D157">
        <v>89.883049010999997</v>
      </c>
      <c r="E157">
        <v>30</v>
      </c>
      <c r="F157">
        <v>14.995708466</v>
      </c>
      <c r="G157">
        <v>1400.4306641000001</v>
      </c>
      <c r="H157">
        <v>1387.1286620999999</v>
      </c>
      <c r="I157">
        <v>1250.4742432</v>
      </c>
      <c r="J157">
        <v>1211.0268555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8.5689799999999998</v>
      </c>
      <c r="B158" s="1">
        <f>DATE(2010,5,9) + TIME(13,39,19)</f>
        <v>40307.568969907406</v>
      </c>
      <c r="C158">
        <v>90</v>
      </c>
      <c r="D158">
        <v>89.883682250999996</v>
      </c>
      <c r="E158">
        <v>30</v>
      </c>
      <c r="F158">
        <v>14.995728493</v>
      </c>
      <c r="G158">
        <v>1400.3094481999999</v>
      </c>
      <c r="H158">
        <v>1387.0085449000001</v>
      </c>
      <c r="I158">
        <v>1250.4765625</v>
      </c>
      <c r="J158">
        <v>1211.0290527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8.7273650000000007</v>
      </c>
      <c r="B159" s="1">
        <f>DATE(2010,5,9) + TIME(17,27,24)</f>
        <v>40307.727361111109</v>
      </c>
      <c r="C159">
        <v>90</v>
      </c>
      <c r="D159">
        <v>89.884254455999994</v>
      </c>
      <c r="E159">
        <v>30</v>
      </c>
      <c r="F159">
        <v>14.995747566</v>
      </c>
      <c r="G159">
        <v>1400.1898193</v>
      </c>
      <c r="H159">
        <v>1386.8900146000001</v>
      </c>
      <c r="I159">
        <v>1250.4788818</v>
      </c>
      <c r="J159">
        <v>1211.0313721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8.8869209999999992</v>
      </c>
      <c r="B160" s="1">
        <f>DATE(2010,5,9) + TIME(21,17,9)</f>
        <v>40307.88690972222</v>
      </c>
      <c r="C160">
        <v>90</v>
      </c>
      <c r="D160">
        <v>89.884773253999995</v>
      </c>
      <c r="E160">
        <v>30</v>
      </c>
      <c r="F160">
        <v>14.995766639999999</v>
      </c>
      <c r="G160">
        <v>1400.0714111</v>
      </c>
      <c r="H160">
        <v>1386.7728271000001</v>
      </c>
      <c r="I160">
        <v>1250.4812012</v>
      </c>
      <c r="J160">
        <v>1211.0335693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9.0478280000000009</v>
      </c>
      <c r="B161" s="1">
        <f>DATE(2010,5,10) + TIME(1,8,52)</f>
        <v>40308.047824074078</v>
      </c>
      <c r="C161">
        <v>90</v>
      </c>
      <c r="D161">
        <v>89.885246276999993</v>
      </c>
      <c r="E161">
        <v>30</v>
      </c>
      <c r="F161">
        <v>14.995785713</v>
      </c>
      <c r="G161">
        <v>1399.9542236</v>
      </c>
      <c r="H161">
        <v>1386.6569824000001</v>
      </c>
      <c r="I161">
        <v>1250.4836425999999</v>
      </c>
      <c r="J161">
        <v>1211.0358887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9.2102760000000004</v>
      </c>
      <c r="B162" s="1">
        <f>DATE(2010,5,10) + TIME(5,2,47)</f>
        <v>40308.210266203707</v>
      </c>
      <c r="C162">
        <v>90</v>
      </c>
      <c r="D162">
        <v>89.885673522999994</v>
      </c>
      <c r="E162">
        <v>30</v>
      </c>
      <c r="F162">
        <v>14.995804787000001</v>
      </c>
      <c r="G162">
        <v>1399.8381348</v>
      </c>
      <c r="H162">
        <v>1386.5421143000001</v>
      </c>
      <c r="I162">
        <v>1250.4859618999999</v>
      </c>
      <c r="J162">
        <v>1211.0382079999999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9.3745119999999993</v>
      </c>
      <c r="B163" s="1">
        <f>DATE(2010,5,10) + TIME(8,59,17)</f>
        <v>40308.374502314815</v>
      </c>
      <c r="C163">
        <v>90</v>
      </c>
      <c r="D163">
        <v>89.886070251000007</v>
      </c>
      <c r="E163">
        <v>30</v>
      </c>
      <c r="F163">
        <v>14.99582386</v>
      </c>
      <c r="G163">
        <v>1399.7227783000001</v>
      </c>
      <c r="H163">
        <v>1386.4282227000001</v>
      </c>
      <c r="I163">
        <v>1250.4884033000001</v>
      </c>
      <c r="J163">
        <v>1211.0405272999999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9.5406689999999994</v>
      </c>
      <c r="B164" s="1">
        <f>DATE(2010,5,10) + TIME(12,58,33)</f>
        <v>40308.540659722225</v>
      </c>
      <c r="C164">
        <v>90</v>
      </c>
      <c r="D164">
        <v>89.886428832999997</v>
      </c>
      <c r="E164">
        <v>30</v>
      </c>
      <c r="F164">
        <v>14.995842934000001</v>
      </c>
      <c r="G164">
        <v>1399.6081543</v>
      </c>
      <c r="H164">
        <v>1386.3150635</v>
      </c>
      <c r="I164">
        <v>1250.4908447</v>
      </c>
      <c r="J164">
        <v>1211.0428466999999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9.7089499999999997</v>
      </c>
      <c r="B165" s="1">
        <f>DATE(2010,5,10) + TIME(17,0,53)</f>
        <v>40308.70894675926</v>
      </c>
      <c r="C165">
        <v>90</v>
      </c>
      <c r="D165">
        <v>89.886756896999998</v>
      </c>
      <c r="E165">
        <v>30</v>
      </c>
      <c r="F165">
        <v>14.995862006999999</v>
      </c>
      <c r="G165">
        <v>1399.4941406</v>
      </c>
      <c r="H165">
        <v>1386.2025146000001</v>
      </c>
      <c r="I165">
        <v>1250.4932861</v>
      </c>
      <c r="J165">
        <v>1211.0452881000001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9.8795669999999998</v>
      </c>
      <c r="B166" s="1">
        <f>DATE(2010,5,10) + TIME(21,6,34)</f>
        <v>40308.879560185182</v>
      </c>
      <c r="C166">
        <v>90</v>
      </c>
      <c r="D166">
        <v>89.887062072999996</v>
      </c>
      <c r="E166">
        <v>30</v>
      </c>
      <c r="F166">
        <v>14.995880127</v>
      </c>
      <c r="G166">
        <v>1399.3804932</v>
      </c>
      <c r="H166">
        <v>1386.0904541</v>
      </c>
      <c r="I166">
        <v>1250.4957274999999</v>
      </c>
      <c r="J166">
        <v>1211.0476074000001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10.052742</v>
      </c>
      <c r="B167" s="1">
        <f>DATE(2010,5,11) + TIME(1,15,56)</f>
        <v>40309.052731481483</v>
      </c>
      <c r="C167">
        <v>90</v>
      </c>
      <c r="D167">
        <v>89.88734436</v>
      </c>
      <c r="E167">
        <v>30</v>
      </c>
      <c r="F167">
        <v>14.9958992</v>
      </c>
      <c r="G167">
        <v>1399.2672118999999</v>
      </c>
      <c r="H167">
        <v>1385.9788818</v>
      </c>
      <c r="I167">
        <v>1250.4982910000001</v>
      </c>
      <c r="J167">
        <v>1211.0500488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10.228709</v>
      </c>
      <c r="B168" s="1">
        <f>DATE(2010,5,11) + TIME(5,29,20)</f>
        <v>40309.228703703702</v>
      </c>
      <c r="C168">
        <v>90</v>
      </c>
      <c r="D168">
        <v>89.887603760000005</v>
      </c>
      <c r="E168">
        <v>30</v>
      </c>
      <c r="F168">
        <v>14.995918273999999</v>
      </c>
      <c r="G168">
        <v>1399.1540527</v>
      </c>
      <c r="H168">
        <v>1385.8675536999999</v>
      </c>
      <c r="I168">
        <v>1250.5008545000001</v>
      </c>
      <c r="J168">
        <v>1211.0524902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10.40715</v>
      </c>
      <c r="B169" s="1">
        <f>DATE(2010,5,11) + TIME(9,46,17)</f>
        <v>40309.407141203701</v>
      </c>
      <c r="C169">
        <v>90</v>
      </c>
      <c r="D169">
        <v>89.887840271000002</v>
      </c>
      <c r="E169">
        <v>30</v>
      </c>
      <c r="F169">
        <v>14.995936393999999</v>
      </c>
      <c r="G169">
        <v>1399.0410156</v>
      </c>
      <c r="H169">
        <v>1385.7562256000001</v>
      </c>
      <c r="I169">
        <v>1250.503418</v>
      </c>
      <c r="J169">
        <v>1211.0550536999999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10.58822</v>
      </c>
      <c r="B170" s="1">
        <f>DATE(2010,5,11) + TIME(14,7,2)</f>
        <v>40309.588217592594</v>
      </c>
      <c r="C170">
        <v>90</v>
      </c>
      <c r="D170">
        <v>89.888061523000005</v>
      </c>
      <c r="E170">
        <v>30</v>
      </c>
      <c r="F170">
        <v>14.995955467</v>
      </c>
      <c r="G170">
        <v>1398.9282227000001</v>
      </c>
      <c r="H170">
        <v>1385.6453856999999</v>
      </c>
      <c r="I170">
        <v>1250.5059814000001</v>
      </c>
      <c r="J170">
        <v>1211.0574951000001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10.772156000000001</v>
      </c>
      <c r="B171" s="1">
        <f>DATE(2010,5,11) + TIME(18,31,54)</f>
        <v>40309.772152777776</v>
      </c>
      <c r="C171">
        <v>90</v>
      </c>
      <c r="D171">
        <v>89.888275145999998</v>
      </c>
      <c r="E171">
        <v>30</v>
      </c>
      <c r="F171">
        <v>14.995973587</v>
      </c>
      <c r="G171">
        <v>1398.8156738</v>
      </c>
      <c r="H171">
        <v>1385.5347899999999</v>
      </c>
      <c r="I171">
        <v>1250.5086670000001</v>
      </c>
      <c r="J171">
        <v>1211.0601807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10.959206999999999</v>
      </c>
      <c r="B172" s="1">
        <f>DATE(2010,5,11) + TIME(23,1,15)</f>
        <v>40309.959201388891</v>
      </c>
      <c r="C172">
        <v>90</v>
      </c>
      <c r="D172">
        <v>89.888465881000002</v>
      </c>
      <c r="E172">
        <v>30</v>
      </c>
      <c r="F172">
        <v>14.995992661000001</v>
      </c>
      <c r="G172">
        <v>1398.703125</v>
      </c>
      <c r="H172">
        <v>1385.4243164</v>
      </c>
      <c r="I172">
        <v>1250.5113524999999</v>
      </c>
      <c r="J172">
        <v>1211.0627440999999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11.149639000000001</v>
      </c>
      <c r="B173" s="1">
        <f>DATE(2010,5,12) + TIME(3,35,28)</f>
        <v>40310.149629629632</v>
      </c>
      <c r="C173">
        <v>90</v>
      </c>
      <c r="D173">
        <v>89.888641356999997</v>
      </c>
      <c r="E173">
        <v>30</v>
      </c>
      <c r="F173">
        <v>14.996011734</v>
      </c>
      <c r="G173">
        <v>1398.5905762</v>
      </c>
      <c r="H173">
        <v>1385.3138428</v>
      </c>
      <c r="I173">
        <v>1250.5141602000001</v>
      </c>
      <c r="J173">
        <v>1211.0654297000001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11.343724999999999</v>
      </c>
      <c r="B174" s="1">
        <f>DATE(2010,5,12) + TIME(8,14,57)</f>
        <v>40310.343715277777</v>
      </c>
      <c r="C174">
        <v>90</v>
      </c>
      <c r="D174">
        <v>89.888809203999998</v>
      </c>
      <c r="E174">
        <v>30</v>
      </c>
      <c r="F174">
        <v>14.996029854</v>
      </c>
      <c r="G174">
        <v>1398.4779053</v>
      </c>
      <c r="H174">
        <v>1385.2033690999999</v>
      </c>
      <c r="I174">
        <v>1250.5169678</v>
      </c>
      <c r="J174">
        <v>1211.0681152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11.541899000000001</v>
      </c>
      <c r="B175" s="1">
        <f>DATE(2010,5,12) + TIME(13,0,20)</f>
        <v>40310.541898148149</v>
      </c>
      <c r="C175">
        <v>90</v>
      </c>
      <c r="D175">
        <v>89.888969420999999</v>
      </c>
      <c r="E175">
        <v>30</v>
      </c>
      <c r="F175">
        <v>14.996048927</v>
      </c>
      <c r="G175">
        <v>1398.3649902</v>
      </c>
      <c r="H175">
        <v>1385.0926514</v>
      </c>
      <c r="I175">
        <v>1250.5197754000001</v>
      </c>
      <c r="J175">
        <v>1211.0708007999999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11.744301999999999</v>
      </c>
      <c r="B176" s="1">
        <f>DATE(2010,5,12) + TIME(17,51,47)</f>
        <v>40310.744293981479</v>
      </c>
      <c r="C176">
        <v>90</v>
      </c>
      <c r="D176">
        <v>89.889114379999995</v>
      </c>
      <c r="E176">
        <v>30</v>
      </c>
      <c r="F176">
        <v>14.996068000999999</v>
      </c>
      <c r="G176">
        <v>1398.2514647999999</v>
      </c>
      <c r="H176">
        <v>1384.9814452999999</v>
      </c>
      <c r="I176">
        <v>1250.5227050999999</v>
      </c>
      <c r="J176">
        <v>1211.0736084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11.950993</v>
      </c>
      <c r="B177" s="1">
        <f>DATE(2010,5,12) + TIME(22,49,25)</f>
        <v>40310.950983796298</v>
      </c>
      <c r="C177">
        <v>90</v>
      </c>
      <c r="D177">
        <v>89.889251709000007</v>
      </c>
      <c r="E177">
        <v>30</v>
      </c>
      <c r="F177">
        <v>14.996087074</v>
      </c>
      <c r="G177">
        <v>1398.1374512</v>
      </c>
      <c r="H177">
        <v>1384.8698730000001</v>
      </c>
      <c r="I177">
        <v>1250.5257568</v>
      </c>
      <c r="J177">
        <v>1211.0765381000001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12.161992</v>
      </c>
      <c r="B178" s="1">
        <f>DATE(2010,5,13) + TIME(3,53,16)</f>
        <v>40311.161990740744</v>
      </c>
      <c r="C178">
        <v>90</v>
      </c>
      <c r="D178">
        <v>89.889373778999996</v>
      </c>
      <c r="E178">
        <v>30</v>
      </c>
      <c r="F178">
        <v>14.996106148000001</v>
      </c>
      <c r="G178">
        <v>1398.0229492000001</v>
      </c>
      <c r="H178">
        <v>1384.7579346</v>
      </c>
      <c r="I178">
        <v>1250.5286865</v>
      </c>
      <c r="J178">
        <v>1211.0794678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12.375432999999999</v>
      </c>
      <c r="B179" s="1">
        <f>DATE(2010,5,13) + TIME(9,0,37)</f>
        <v>40311.375428240739</v>
      </c>
      <c r="C179">
        <v>90</v>
      </c>
      <c r="D179">
        <v>89.889495850000003</v>
      </c>
      <c r="E179">
        <v>30</v>
      </c>
      <c r="F179">
        <v>14.996125221</v>
      </c>
      <c r="G179">
        <v>1397.9079589999999</v>
      </c>
      <c r="H179">
        <v>1384.6455077999999</v>
      </c>
      <c r="I179">
        <v>1250.5318603999999</v>
      </c>
      <c r="J179">
        <v>1211.0823975000001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12.588922</v>
      </c>
      <c r="B180" s="1">
        <f>DATE(2010,5,13) + TIME(14,8,2)</f>
        <v>40311.588912037034</v>
      </c>
      <c r="C180">
        <v>90</v>
      </c>
      <c r="D180">
        <v>89.889602660999998</v>
      </c>
      <c r="E180">
        <v>30</v>
      </c>
      <c r="F180">
        <v>14.996143341</v>
      </c>
      <c r="G180">
        <v>1397.7935791</v>
      </c>
      <c r="H180">
        <v>1384.5336914</v>
      </c>
      <c r="I180">
        <v>1250.5349120999999</v>
      </c>
      <c r="J180">
        <v>1211.0854492000001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12.802727000000001</v>
      </c>
      <c r="B181" s="1">
        <f>DATE(2010,5,13) + TIME(19,15,55)</f>
        <v>40311.802719907406</v>
      </c>
      <c r="C181">
        <v>90</v>
      </c>
      <c r="D181">
        <v>89.889701842999997</v>
      </c>
      <c r="E181">
        <v>30</v>
      </c>
      <c r="F181">
        <v>14.996162415000001</v>
      </c>
      <c r="G181">
        <v>1397.6809082</v>
      </c>
      <c r="H181">
        <v>1384.4238281</v>
      </c>
      <c r="I181">
        <v>1250.5380858999999</v>
      </c>
      <c r="J181">
        <v>1211.0883789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13.017111999999999</v>
      </c>
      <c r="B182" s="1">
        <f>DATE(2010,5,14) + TIME(0,24,38)</f>
        <v>40312.017106481479</v>
      </c>
      <c r="C182">
        <v>90</v>
      </c>
      <c r="D182">
        <v>89.889793396000002</v>
      </c>
      <c r="E182">
        <v>30</v>
      </c>
      <c r="F182">
        <v>14.996180534000001</v>
      </c>
      <c r="G182">
        <v>1397.5699463000001</v>
      </c>
      <c r="H182">
        <v>1384.3155518000001</v>
      </c>
      <c r="I182">
        <v>1250.5411377</v>
      </c>
      <c r="J182">
        <v>1211.0914307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13.232335000000001</v>
      </c>
      <c r="B183" s="1">
        <f>DATE(2010,5,14) + TIME(5,34,33)</f>
        <v>40312.23232638889</v>
      </c>
      <c r="C183">
        <v>90</v>
      </c>
      <c r="D183">
        <v>89.889877318999993</v>
      </c>
      <c r="E183">
        <v>30</v>
      </c>
      <c r="F183">
        <v>14.996198654000001</v>
      </c>
      <c r="G183">
        <v>1397.4604492000001</v>
      </c>
      <c r="H183">
        <v>1384.2087402</v>
      </c>
      <c r="I183">
        <v>1250.5443115</v>
      </c>
      <c r="J183">
        <v>1211.0944824000001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13.448651999999999</v>
      </c>
      <c r="B184" s="1">
        <f>DATE(2010,5,14) + TIME(10,46,3)</f>
        <v>40312.448645833334</v>
      </c>
      <c r="C184">
        <v>90</v>
      </c>
      <c r="D184">
        <v>89.889961243000002</v>
      </c>
      <c r="E184">
        <v>30</v>
      </c>
      <c r="F184">
        <v>14.996216774000001</v>
      </c>
      <c r="G184">
        <v>1397.3522949000001</v>
      </c>
      <c r="H184">
        <v>1384.1033935999999</v>
      </c>
      <c r="I184">
        <v>1250.5474853999999</v>
      </c>
      <c r="J184">
        <v>1211.0974120999999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13.666314</v>
      </c>
      <c r="B185" s="1">
        <f>DATE(2010,5,14) + TIME(15,59,29)</f>
        <v>40312.666307870371</v>
      </c>
      <c r="C185">
        <v>90</v>
      </c>
      <c r="D185">
        <v>89.890029906999999</v>
      </c>
      <c r="E185">
        <v>30</v>
      </c>
      <c r="F185">
        <v>14.996234894000001</v>
      </c>
      <c r="G185">
        <v>1397.2452393000001</v>
      </c>
      <c r="H185">
        <v>1383.9991454999999</v>
      </c>
      <c r="I185">
        <v>1250.5506591999999</v>
      </c>
      <c r="J185">
        <v>1211.1004639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13.885577</v>
      </c>
      <c r="B186" s="1">
        <f>DATE(2010,5,14) + TIME(21,15,13)</f>
        <v>40312.885567129626</v>
      </c>
      <c r="C186">
        <v>90</v>
      </c>
      <c r="D186">
        <v>89.890098571999999</v>
      </c>
      <c r="E186">
        <v>30</v>
      </c>
      <c r="F186">
        <v>14.99625206</v>
      </c>
      <c r="G186">
        <v>1397.1391602000001</v>
      </c>
      <c r="H186">
        <v>1383.895874</v>
      </c>
      <c r="I186">
        <v>1250.5538329999999</v>
      </c>
      <c r="J186">
        <v>1211.1036377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14.106738</v>
      </c>
      <c r="B187" s="1">
        <f>DATE(2010,5,15) + TIME(2,33,42)</f>
        <v>40313.106736111113</v>
      </c>
      <c r="C187">
        <v>90</v>
      </c>
      <c r="D187">
        <v>89.890167235999996</v>
      </c>
      <c r="E187">
        <v>30</v>
      </c>
      <c r="F187">
        <v>14.99627018</v>
      </c>
      <c r="G187">
        <v>1397.0339355000001</v>
      </c>
      <c r="H187">
        <v>1383.7935791</v>
      </c>
      <c r="I187">
        <v>1250.5570068</v>
      </c>
      <c r="J187">
        <v>1211.1066894999999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14.330095999999999</v>
      </c>
      <c r="B188" s="1">
        <f>DATE(2010,5,15) + TIME(7,55,20)</f>
        <v>40313.330092592594</v>
      </c>
      <c r="C188">
        <v>90</v>
      </c>
      <c r="D188">
        <v>89.890228270999998</v>
      </c>
      <c r="E188">
        <v>30</v>
      </c>
      <c r="F188">
        <v>14.996287346000001</v>
      </c>
      <c r="G188">
        <v>1396.9294434000001</v>
      </c>
      <c r="H188">
        <v>1383.6918945</v>
      </c>
      <c r="I188">
        <v>1250.5603027</v>
      </c>
      <c r="J188">
        <v>1211.1098632999999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14.555864</v>
      </c>
      <c r="B189" s="1">
        <f>DATE(2010,5,15) + TIME(13,20,26)</f>
        <v>40313.555856481478</v>
      </c>
      <c r="C189">
        <v>90</v>
      </c>
      <c r="D189">
        <v>89.890281677000004</v>
      </c>
      <c r="E189">
        <v>30</v>
      </c>
      <c r="F189">
        <v>14.996304512</v>
      </c>
      <c r="G189">
        <v>1396.8254394999999</v>
      </c>
      <c r="H189">
        <v>1383.5909423999999</v>
      </c>
      <c r="I189">
        <v>1250.5635986</v>
      </c>
      <c r="J189">
        <v>1211.1129149999999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14.784329</v>
      </c>
      <c r="B190" s="1">
        <f>DATE(2010,5,15) + TIME(18,49,26)</f>
        <v>40313.784328703703</v>
      </c>
      <c r="C190">
        <v>90</v>
      </c>
      <c r="D190">
        <v>89.890335082999997</v>
      </c>
      <c r="E190">
        <v>30</v>
      </c>
      <c r="F190">
        <v>14.996322632</v>
      </c>
      <c r="G190">
        <v>1396.7218018000001</v>
      </c>
      <c r="H190">
        <v>1383.4903564000001</v>
      </c>
      <c r="I190">
        <v>1250.5668945</v>
      </c>
      <c r="J190">
        <v>1211.1162108999999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15.015787</v>
      </c>
      <c r="B191" s="1">
        <f>DATE(2010,5,16) + TIME(0,22,44)</f>
        <v>40314.015787037039</v>
      </c>
      <c r="C191">
        <v>90</v>
      </c>
      <c r="D191">
        <v>89.890388489000003</v>
      </c>
      <c r="E191">
        <v>30</v>
      </c>
      <c r="F191">
        <v>14.996339797999999</v>
      </c>
      <c r="G191">
        <v>1396.6186522999999</v>
      </c>
      <c r="H191">
        <v>1383.3902588000001</v>
      </c>
      <c r="I191">
        <v>1250.5703125</v>
      </c>
      <c r="J191">
        <v>1211.1193848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15.250031999999999</v>
      </c>
      <c r="B192" s="1">
        <f>DATE(2010,5,16) + TIME(6,0,2)</f>
        <v>40314.250023148146</v>
      </c>
      <c r="C192">
        <v>90</v>
      </c>
      <c r="D192">
        <v>89.890434264999996</v>
      </c>
      <c r="E192">
        <v>30</v>
      </c>
      <c r="F192">
        <v>14.996356964</v>
      </c>
      <c r="G192">
        <v>1396.515625</v>
      </c>
      <c r="H192">
        <v>1383.2904053</v>
      </c>
      <c r="I192">
        <v>1250.5736084</v>
      </c>
      <c r="J192">
        <v>1211.1226807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15.486774</v>
      </c>
      <c r="B193" s="1">
        <f>DATE(2010,5,16) + TIME(11,40,57)</f>
        <v>40314.486770833333</v>
      </c>
      <c r="C193">
        <v>90</v>
      </c>
      <c r="D193">
        <v>89.890480041999993</v>
      </c>
      <c r="E193">
        <v>30</v>
      </c>
      <c r="F193">
        <v>14.99637413</v>
      </c>
      <c r="G193">
        <v>1396.4128418</v>
      </c>
      <c r="H193">
        <v>1383.1907959</v>
      </c>
      <c r="I193">
        <v>1250.5771483999999</v>
      </c>
      <c r="J193">
        <v>1211.1259766000001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15.726297000000001</v>
      </c>
      <c r="B194" s="1">
        <f>DATE(2010,5,16) + TIME(17,25,52)</f>
        <v>40314.7262962963</v>
      </c>
      <c r="C194">
        <v>90</v>
      </c>
      <c r="D194">
        <v>89.890525818</v>
      </c>
      <c r="E194">
        <v>30</v>
      </c>
      <c r="F194">
        <v>14.996391296000001</v>
      </c>
      <c r="G194">
        <v>1396.3105469</v>
      </c>
      <c r="H194">
        <v>1383.0916748</v>
      </c>
      <c r="I194">
        <v>1250.5805664</v>
      </c>
      <c r="J194">
        <v>1211.1292725000001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15.968890999999999</v>
      </c>
      <c r="B195" s="1">
        <f>DATE(2010,5,16) + TIME(23,15,12)</f>
        <v>40314.968888888892</v>
      </c>
      <c r="C195">
        <v>90</v>
      </c>
      <c r="D195">
        <v>89.890571593999994</v>
      </c>
      <c r="E195">
        <v>30</v>
      </c>
      <c r="F195">
        <v>14.996408463</v>
      </c>
      <c r="G195">
        <v>1396.2084961</v>
      </c>
      <c r="H195">
        <v>1382.9930420000001</v>
      </c>
      <c r="I195">
        <v>1250.5841064000001</v>
      </c>
      <c r="J195">
        <v>1211.1326904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16.214865</v>
      </c>
      <c r="B196" s="1">
        <f>DATE(2010,5,17) + TIME(5,9,24)</f>
        <v>40315.214861111112</v>
      </c>
      <c r="C196">
        <v>90</v>
      </c>
      <c r="D196">
        <v>89.890609741000006</v>
      </c>
      <c r="E196">
        <v>30</v>
      </c>
      <c r="F196">
        <v>14.996425629000001</v>
      </c>
      <c r="G196">
        <v>1396.1066894999999</v>
      </c>
      <c r="H196">
        <v>1382.8945312000001</v>
      </c>
      <c r="I196">
        <v>1250.5876464999999</v>
      </c>
      <c r="J196">
        <v>1211.1361084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16.464542999999999</v>
      </c>
      <c r="B197" s="1">
        <f>DATE(2010,5,17) + TIME(11,8,56)</f>
        <v>40315.464537037034</v>
      </c>
      <c r="C197">
        <v>90</v>
      </c>
      <c r="D197">
        <v>89.890647888000004</v>
      </c>
      <c r="E197">
        <v>30</v>
      </c>
      <c r="F197">
        <v>14.996442795</v>
      </c>
      <c r="G197">
        <v>1396.0048827999999</v>
      </c>
      <c r="H197">
        <v>1382.7962646000001</v>
      </c>
      <c r="I197">
        <v>1250.5913086</v>
      </c>
      <c r="J197">
        <v>1211.1396483999999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16.718263</v>
      </c>
      <c r="B198" s="1">
        <f>DATE(2010,5,17) + TIME(17,14,17)</f>
        <v>40315.718252314815</v>
      </c>
      <c r="C198">
        <v>90</v>
      </c>
      <c r="D198">
        <v>89.890686035000002</v>
      </c>
      <c r="E198">
        <v>30</v>
      </c>
      <c r="F198">
        <v>14.996459960999999</v>
      </c>
      <c r="G198">
        <v>1395.9031981999999</v>
      </c>
      <c r="H198">
        <v>1382.6979980000001</v>
      </c>
      <c r="I198">
        <v>1250.5949707</v>
      </c>
      <c r="J198">
        <v>1211.1431885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16.976368999999998</v>
      </c>
      <c r="B199" s="1">
        <f>DATE(2010,5,17) + TIME(23,25,58)</f>
        <v>40315.976365740738</v>
      </c>
      <c r="C199">
        <v>90</v>
      </c>
      <c r="D199">
        <v>89.890724182</v>
      </c>
      <c r="E199">
        <v>30</v>
      </c>
      <c r="F199">
        <v>14.996477127</v>
      </c>
      <c r="G199">
        <v>1395.8012695</v>
      </c>
      <c r="H199">
        <v>1382.5996094</v>
      </c>
      <c r="I199">
        <v>1250.5987548999999</v>
      </c>
      <c r="J199">
        <v>1211.1467285000001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17.239374000000002</v>
      </c>
      <c r="B200" s="1">
        <f>DATE(2010,5,18) + TIME(5,44,41)</f>
        <v>40316.239363425928</v>
      </c>
      <c r="C200">
        <v>90</v>
      </c>
      <c r="D200">
        <v>89.890762328999998</v>
      </c>
      <c r="E200">
        <v>30</v>
      </c>
      <c r="F200">
        <v>14.996494293</v>
      </c>
      <c r="G200">
        <v>1395.6990966999999</v>
      </c>
      <c r="H200">
        <v>1382.5010986</v>
      </c>
      <c r="I200">
        <v>1250.6026611</v>
      </c>
      <c r="J200">
        <v>1211.1505127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17.507476</v>
      </c>
      <c r="B201" s="1">
        <f>DATE(2010,5,18) + TIME(12,10,45)</f>
        <v>40316.507465277777</v>
      </c>
      <c r="C201">
        <v>90</v>
      </c>
      <c r="D201">
        <v>89.890792847</v>
      </c>
      <c r="E201">
        <v>30</v>
      </c>
      <c r="F201">
        <v>14.996512413</v>
      </c>
      <c r="G201">
        <v>1395.5965576000001</v>
      </c>
      <c r="H201">
        <v>1382.4020995999999</v>
      </c>
      <c r="I201">
        <v>1250.6064452999999</v>
      </c>
      <c r="J201">
        <v>1211.1541748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17.780441</v>
      </c>
      <c r="B202" s="1">
        <f>DATE(2010,5,18) + TIME(18,43,50)</f>
        <v>40316.780439814815</v>
      </c>
      <c r="C202">
        <v>90</v>
      </c>
      <c r="D202">
        <v>89.890830993999998</v>
      </c>
      <c r="E202">
        <v>30</v>
      </c>
      <c r="F202">
        <v>14.996529579000001</v>
      </c>
      <c r="G202">
        <v>1395.4935303</v>
      </c>
      <c r="H202">
        <v>1382.3028564000001</v>
      </c>
      <c r="I202">
        <v>1250.6104736</v>
      </c>
      <c r="J202">
        <v>1211.1579589999999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18.055050000000001</v>
      </c>
      <c r="B203" s="1">
        <f>DATE(2010,5,19) + TIME(1,19,16)</f>
        <v>40317.055046296293</v>
      </c>
      <c r="C203">
        <v>90</v>
      </c>
      <c r="D203">
        <v>89.890861510999997</v>
      </c>
      <c r="E203">
        <v>30</v>
      </c>
      <c r="F203">
        <v>14.996546745</v>
      </c>
      <c r="G203">
        <v>1395.3901367000001</v>
      </c>
      <c r="H203">
        <v>1382.2033690999999</v>
      </c>
      <c r="I203">
        <v>1250.6145019999999</v>
      </c>
      <c r="J203">
        <v>1211.1618652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18.329891</v>
      </c>
      <c r="B204" s="1">
        <f>DATE(2010,5,19) + TIME(7,55,2)</f>
        <v>40317.329884259256</v>
      </c>
      <c r="C204">
        <v>90</v>
      </c>
      <c r="D204">
        <v>89.890892029</v>
      </c>
      <c r="E204">
        <v>30</v>
      </c>
      <c r="F204">
        <v>14.996563911000001</v>
      </c>
      <c r="G204">
        <v>1395.2875977000001</v>
      </c>
      <c r="H204">
        <v>1382.1046143000001</v>
      </c>
      <c r="I204">
        <v>1250.6186522999999</v>
      </c>
      <c r="J204">
        <v>1211.1657714999999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18.605315999999998</v>
      </c>
      <c r="B205" s="1">
        <f>DATE(2010,5,19) + TIME(14,31,39)</f>
        <v>40317.605312500003</v>
      </c>
      <c r="C205">
        <v>90</v>
      </c>
      <c r="D205">
        <v>89.890922545999999</v>
      </c>
      <c r="E205">
        <v>30</v>
      </c>
      <c r="F205">
        <v>14.996581078</v>
      </c>
      <c r="G205">
        <v>1395.1865233999999</v>
      </c>
      <c r="H205">
        <v>1382.0074463000001</v>
      </c>
      <c r="I205">
        <v>1250.6226807</v>
      </c>
      <c r="J205">
        <v>1211.1696777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18.881675000000001</v>
      </c>
      <c r="B206" s="1">
        <f>DATE(2010,5,19) + TIME(21,9,36)</f>
        <v>40317.881666666668</v>
      </c>
      <c r="C206">
        <v>90</v>
      </c>
      <c r="D206">
        <v>89.890953064000001</v>
      </c>
      <c r="E206">
        <v>30</v>
      </c>
      <c r="F206">
        <v>14.996598243999999</v>
      </c>
      <c r="G206">
        <v>1395.0866699000001</v>
      </c>
      <c r="H206">
        <v>1381.9113769999999</v>
      </c>
      <c r="I206">
        <v>1250.6267089999999</v>
      </c>
      <c r="J206">
        <v>1211.1735839999999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19.159310000000001</v>
      </c>
      <c r="B207" s="1">
        <f>DATE(2010,5,20) + TIME(3,49,24)</f>
        <v>40318.159305555557</v>
      </c>
      <c r="C207">
        <v>90</v>
      </c>
      <c r="D207">
        <v>89.890983582000004</v>
      </c>
      <c r="E207">
        <v>30</v>
      </c>
      <c r="F207">
        <v>14.996614456</v>
      </c>
      <c r="G207">
        <v>1394.987793</v>
      </c>
      <c r="H207">
        <v>1381.8164062000001</v>
      </c>
      <c r="I207">
        <v>1250.6308594</v>
      </c>
      <c r="J207">
        <v>1211.1776123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19.438564</v>
      </c>
      <c r="B208" s="1">
        <f>DATE(2010,5,20) + TIME(10,31,31)</f>
        <v>40318.43855324074</v>
      </c>
      <c r="C208">
        <v>90</v>
      </c>
      <c r="D208">
        <v>89.891014099000003</v>
      </c>
      <c r="E208">
        <v>30</v>
      </c>
      <c r="F208">
        <v>14.996631622000001</v>
      </c>
      <c r="G208">
        <v>1394.8898925999999</v>
      </c>
      <c r="H208">
        <v>1381.7224120999999</v>
      </c>
      <c r="I208">
        <v>1250.6350098</v>
      </c>
      <c r="J208">
        <v>1211.1815185999999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19.71978</v>
      </c>
      <c r="B209" s="1">
        <f>DATE(2010,5,20) + TIME(17,16,29)</f>
        <v>40318.719780092593</v>
      </c>
      <c r="C209">
        <v>90</v>
      </c>
      <c r="D209">
        <v>89.891036987000007</v>
      </c>
      <c r="E209">
        <v>30</v>
      </c>
      <c r="F209">
        <v>14.996647834999999</v>
      </c>
      <c r="G209">
        <v>1394.7928466999999</v>
      </c>
      <c r="H209">
        <v>1381.6292725000001</v>
      </c>
      <c r="I209">
        <v>1250.6391602000001</v>
      </c>
      <c r="J209">
        <v>1211.1855469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20.003377</v>
      </c>
      <c r="B210" s="1">
        <f>DATE(2010,5,21) + TIME(0,4,51)</f>
        <v>40319.003368055557</v>
      </c>
      <c r="C210">
        <v>90</v>
      </c>
      <c r="D210">
        <v>89.891067504999995</v>
      </c>
      <c r="E210">
        <v>30</v>
      </c>
      <c r="F210">
        <v>14.996664046999999</v>
      </c>
      <c r="G210">
        <v>1394.6964111</v>
      </c>
      <c r="H210">
        <v>1381.5367432</v>
      </c>
      <c r="I210">
        <v>1250.6433105000001</v>
      </c>
      <c r="J210">
        <v>1211.1895752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20.289698000000001</v>
      </c>
      <c r="B211" s="1">
        <f>DATE(2010,5,21) + TIME(6,57,9)</f>
        <v>40319.289687500001</v>
      </c>
      <c r="C211">
        <v>90</v>
      </c>
      <c r="D211">
        <v>89.891098021999994</v>
      </c>
      <c r="E211">
        <v>30</v>
      </c>
      <c r="F211">
        <v>14.99668026</v>
      </c>
      <c r="G211">
        <v>1394.6004639</v>
      </c>
      <c r="H211">
        <v>1381.4448242000001</v>
      </c>
      <c r="I211">
        <v>1250.6475829999999</v>
      </c>
      <c r="J211">
        <v>1211.1936035000001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20.579058</v>
      </c>
      <c r="B212" s="1">
        <f>DATE(2010,5,21) + TIME(13,53,50)</f>
        <v>40319.579050925924</v>
      </c>
      <c r="C212">
        <v>90</v>
      </c>
      <c r="D212">
        <v>89.891120911000002</v>
      </c>
      <c r="E212">
        <v>30</v>
      </c>
      <c r="F212">
        <v>14.996697426000001</v>
      </c>
      <c r="G212">
        <v>1394.5050048999999</v>
      </c>
      <c r="H212">
        <v>1381.3532714999999</v>
      </c>
      <c r="I212">
        <v>1250.6518555</v>
      </c>
      <c r="J212">
        <v>1211.1977539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20.871683000000001</v>
      </c>
      <c r="B213" s="1">
        <f>DATE(2010,5,21) + TIME(20,55,13)</f>
        <v>40319.871678240743</v>
      </c>
      <c r="C213">
        <v>90</v>
      </c>
      <c r="D213">
        <v>89.891151428000001</v>
      </c>
      <c r="E213">
        <v>30</v>
      </c>
      <c r="F213">
        <v>14.996713637999999</v>
      </c>
      <c r="G213">
        <v>1394.409668</v>
      </c>
      <c r="H213">
        <v>1381.2620850000001</v>
      </c>
      <c r="I213">
        <v>1250.65625</v>
      </c>
      <c r="J213">
        <v>1211.2019043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21.166477</v>
      </c>
      <c r="B214" s="1">
        <f>DATE(2010,5,22) + TIME(3,59,43)</f>
        <v>40320.16646990741</v>
      </c>
      <c r="C214">
        <v>90</v>
      </c>
      <c r="D214">
        <v>89.891181946000003</v>
      </c>
      <c r="E214">
        <v>30</v>
      </c>
      <c r="F214">
        <v>14.996729851</v>
      </c>
      <c r="G214">
        <v>1394.3146973</v>
      </c>
      <c r="H214">
        <v>1381.1711425999999</v>
      </c>
      <c r="I214">
        <v>1250.6606445</v>
      </c>
      <c r="J214">
        <v>1211.2060547000001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21.463726999999999</v>
      </c>
      <c r="B215" s="1">
        <f>DATE(2010,5,22) + TIME(11,7,45)</f>
        <v>40320.46371527778</v>
      </c>
      <c r="C215">
        <v>90</v>
      </c>
      <c r="D215">
        <v>89.891212463000002</v>
      </c>
      <c r="E215">
        <v>30</v>
      </c>
      <c r="F215">
        <v>14.996745110000001</v>
      </c>
      <c r="G215">
        <v>1394.2202147999999</v>
      </c>
      <c r="H215">
        <v>1381.0808105000001</v>
      </c>
      <c r="I215">
        <v>1250.6650391000001</v>
      </c>
      <c r="J215">
        <v>1211.2103271000001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21.763774000000002</v>
      </c>
      <c r="B216" s="1">
        <f>DATE(2010,5,22) + TIME(18,19,50)</f>
        <v>40320.763773148145</v>
      </c>
      <c r="C216">
        <v>90</v>
      </c>
      <c r="D216">
        <v>89.891235351999995</v>
      </c>
      <c r="E216">
        <v>30</v>
      </c>
      <c r="F216">
        <v>14.996761321999999</v>
      </c>
      <c r="G216">
        <v>1394.1263428</v>
      </c>
      <c r="H216">
        <v>1380.9909668</v>
      </c>
      <c r="I216">
        <v>1250.6695557</v>
      </c>
      <c r="J216">
        <v>1211.2145995999999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22.066973000000001</v>
      </c>
      <c r="B217" s="1">
        <f>DATE(2010,5,23) + TIME(1,36,26)</f>
        <v>40321.066967592589</v>
      </c>
      <c r="C217">
        <v>90</v>
      </c>
      <c r="D217">
        <v>89.891265868999994</v>
      </c>
      <c r="E217">
        <v>30</v>
      </c>
      <c r="F217">
        <v>14.996777534</v>
      </c>
      <c r="G217">
        <v>1394.0327147999999</v>
      </c>
      <c r="H217">
        <v>1380.9014893000001</v>
      </c>
      <c r="I217">
        <v>1250.6740723</v>
      </c>
      <c r="J217">
        <v>1211.2188721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22.373691000000001</v>
      </c>
      <c r="B218" s="1">
        <f>DATE(2010,5,23) + TIME(8,58,6)</f>
        <v>40321.373680555553</v>
      </c>
      <c r="C218">
        <v>90</v>
      </c>
      <c r="D218">
        <v>89.891296386999997</v>
      </c>
      <c r="E218">
        <v>30</v>
      </c>
      <c r="F218">
        <v>14.996793747</v>
      </c>
      <c r="G218">
        <v>1393.9393310999999</v>
      </c>
      <c r="H218">
        <v>1380.8123779</v>
      </c>
      <c r="I218">
        <v>1250.6785889</v>
      </c>
      <c r="J218">
        <v>1211.2232666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22.684308000000001</v>
      </c>
      <c r="B219" s="1">
        <f>DATE(2010,5,23) + TIME(16,25,24)</f>
        <v>40321.684305555558</v>
      </c>
      <c r="C219">
        <v>90</v>
      </c>
      <c r="D219">
        <v>89.891319275000001</v>
      </c>
      <c r="E219">
        <v>30</v>
      </c>
      <c r="F219">
        <v>14.996809959</v>
      </c>
      <c r="G219">
        <v>1393.8461914</v>
      </c>
      <c r="H219">
        <v>1380.7233887</v>
      </c>
      <c r="I219">
        <v>1250.6832274999999</v>
      </c>
      <c r="J219">
        <v>1211.2276611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22.999227000000001</v>
      </c>
      <c r="B220" s="1">
        <f>DATE(2010,5,23) + TIME(23,58,53)</f>
        <v>40321.999224537038</v>
      </c>
      <c r="C220">
        <v>90</v>
      </c>
      <c r="D220">
        <v>89.891349792</v>
      </c>
      <c r="E220">
        <v>30</v>
      </c>
      <c r="F220">
        <v>14.996825218</v>
      </c>
      <c r="G220">
        <v>1393.7530518000001</v>
      </c>
      <c r="H220">
        <v>1380.6345214999999</v>
      </c>
      <c r="I220">
        <v>1250.6879882999999</v>
      </c>
      <c r="J220">
        <v>1211.2321777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23.318860999999998</v>
      </c>
      <c r="B221" s="1">
        <f>DATE(2010,5,24) + TIME(7,39,9)</f>
        <v>40322.318854166668</v>
      </c>
      <c r="C221">
        <v>90</v>
      </c>
      <c r="D221">
        <v>89.891380310000002</v>
      </c>
      <c r="E221">
        <v>30</v>
      </c>
      <c r="F221">
        <v>14.996841431</v>
      </c>
      <c r="G221">
        <v>1393.6599120999999</v>
      </c>
      <c r="H221">
        <v>1380.5456543</v>
      </c>
      <c r="I221">
        <v>1250.692749</v>
      </c>
      <c r="J221">
        <v>1211.2366943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23.643623999999999</v>
      </c>
      <c r="B222" s="1">
        <f>DATE(2010,5,24) + TIME(15,26,49)</f>
        <v>40322.643622685187</v>
      </c>
      <c r="C222">
        <v>90</v>
      </c>
      <c r="D222">
        <v>89.891410828000005</v>
      </c>
      <c r="E222">
        <v>30</v>
      </c>
      <c r="F222">
        <v>14.996857643</v>
      </c>
      <c r="G222">
        <v>1393.5665283000001</v>
      </c>
      <c r="H222">
        <v>1380.4567870999999</v>
      </c>
      <c r="I222">
        <v>1250.6975098</v>
      </c>
      <c r="J222">
        <v>1211.2413329999999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23.974112000000002</v>
      </c>
      <c r="B223" s="1">
        <f>DATE(2010,5,24) + TIME(23,22,43)</f>
        <v>40322.974108796298</v>
      </c>
      <c r="C223">
        <v>90</v>
      </c>
      <c r="D223">
        <v>89.891441345000004</v>
      </c>
      <c r="E223">
        <v>30</v>
      </c>
      <c r="F223">
        <v>14.996873856000001</v>
      </c>
      <c r="G223">
        <v>1393.4730225000001</v>
      </c>
      <c r="H223">
        <v>1380.3676757999999</v>
      </c>
      <c r="I223">
        <v>1250.7025146000001</v>
      </c>
      <c r="J223">
        <v>1211.2460937999999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24.310642000000001</v>
      </c>
      <c r="B224" s="1">
        <f>DATE(2010,5,25) + TIME(7,27,19)</f>
        <v>40323.310636574075</v>
      </c>
      <c r="C224">
        <v>90</v>
      </c>
      <c r="D224">
        <v>89.891471863000007</v>
      </c>
      <c r="E224">
        <v>30</v>
      </c>
      <c r="F224">
        <v>14.996890068000001</v>
      </c>
      <c r="G224">
        <v>1393.3790283000001</v>
      </c>
      <c r="H224">
        <v>1380.2781981999999</v>
      </c>
      <c r="I224">
        <v>1250.7075195</v>
      </c>
      <c r="J224">
        <v>1211.2508545000001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24.651667</v>
      </c>
      <c r="B225" s="1">
        <f>DATE(2010,5,25) + TIME(15,38,24)</f>
        <v>40323.651666666665</v>
      </c>
      <c r="C225">
        <v>90</v>
      </c>
      <c r="D225">
        <v>89.891502380000006</v>
      </c>
      <c r="E225">
        <v>30</v>
      </c>
      <c r="F225">
        <v>14.996906280999999</v>
      </c>
      <c r="G225">
        <v>1393.284668</v>
      </c>
      <c r="H225">
        <v>1380.1883545000001</v>
      </c>
      <c r="I225">
        <v>1250.7126464999999</v>
      </c>
      <c r="J225">
        <v>1211.2557373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24.993174</v>
      </c>
      <c r="B226" s="1">
        <f>DATE(2010,5,25) + TIME(23,50,10)</f>
        <v>40323.993171296293</v>
      </c>
      <c r="C226">
        <v>90</v>
      </c>
      <c r="D226">
        <v>89.891532897999994</v>
      </c>
      <c r="E226">
        <v>30</v>
      </c>
      <c r="F226">
        <v>14.996922493</v>
      </c>
      <c r="G226">
        <v>1393.1901855000001</v>
      </c>
      <c r="H226">
        <v>1380.0985106999999</v>
      </c>
      <c r="I226">
        <v>1250.7178954999999</v>
      </c>
      <c r="J226">
        <v>1211.2607422000001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25.335616999999999</v>
      </c>
      <c r="B227" s="1">
        <f>DATE(2010,5,26) + TIME(8,3,17)</f>
        <v>40324.335613425923</v>
      </c>
      <c r="C227">
        <v>90</v>
      </c>
      <c r="D227">
        <v>89.891563415999997</v>
      </c>
      <c r="E227">
        <v>30</v>
      </c>
      <c r="F227">
        <v>14.996938705</v>
      </c>
      <c r="G227">
        <v>1393.0968018000001</v>
      </c>
      <c r="H227">
        <v>1380.0097656</v>
      </c>
      <c r="I227">
        <v>1250.7230225000001</v>
      </c>
      <c r="J227">
        <v>1211.2657471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25.679445000000001</v>
      </c>
      <c r="B228" s="1">
        <f>DATE(2010,5,26) + TIME(16,18,24)</f>
        <v>40324.679444444446</v>
      </c>
      <c r="C228">
        <v>90</v>
      </c>
      <c r="D228">
        <v>89.891593932999996</v>
      </c>
      <c r="E228">
        <v>30</v>
      </c>
      <c r="F228">
        <v>14.996953963999999</v>
      </c>
      <c r="G228">
        <v>1393.0045166</v>
      </c>
      <c r="H228">
        <v>1379.9219971</v>
      </c>
      <c r="I228">
        <v>1250.7282714999999</v>
      </c>
      <c r="J228">
        <v>1211.2707519999999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26.025099999999998</v>
      </c>
      <c r="B229" s="1">
        <f>DATE(2010,5,27) + TIME(0,36,8)</f>
        <v>40325.025092592594</v>
      </c>
      <c r="C229">
        <v>90</v>
      </c>
      <c r="D229">
        <v>89.891624450999998</v>
      </c>
      <c r="E229">
        <v>30</v>
      </c>
      <c r="F229">
        <v>14.996970177</v>
      </c>
      <c r="G229">
        <v>1392.9129639</v>
      </c>
      <c r="H229">
        <v>1379.8350829999999</v>
      </c>
      <c r="I229">
        <v>1250.7336425999999</v>
      </c>
      <c r="J229">
        <v>1211.2757568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26.373025999999999</v>
      </c>
      <c r="B230" s="1">
        <f>DATE(2010,5,27) + TIME(8,57,9)</f>
        <v>40325.373020833336</v>
      </c>
      <c r="C230">
        <v>90</v>
      </c>
      <c r="D230">
        <v>89.891654967999997</v>
      </c>
      <c r="E230">
        <v>30</v>
      </c>
      <c r="F230">
        <v>14.996985434999999</v>
      </c>
      <c r="G230">
        <v>1392.8221435999999</v>
      </c>
      <c r="H230">
        <v>1379.7487793</v>
      </c>
      <c r="I230">
        <v>1250.7388916</v>
      </c>
      <c r="J230">
        <v>1211.2808838000001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26.723704000000001</v>
      </c>
      <c r="B231" s="1">
        <f>DATE(2010,5,27) + TIME(17,22,8)</f>
        <v>40325.723703703705</v>
      </c>
      <c r="C231">
        <v>90</v>
      </c>
      <c r="D231">
        <v>89.891685486</v>
      </c>
      <c r="E231">
        <v>30</v>
      </c>
      <c r="F231">
        <v>14.997001647999999</v>
      </c>
      <c r="G231">
        <v>1392.7318115</v>
      </c>
      <c r="H231">
        <v>1379.6632079999999</v>
      </c>
      <c r="I231">
        <v>1250.7442627</v>
      </c>
      <c r="J231">
        <v>1211.2860106999999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27.077694999999999</v>
      </c>
      <c r="B232" s="1">
        <f>DATE(2010,5,28) + TIME(1,51,52)</f>
        <v>40326.077685185184</v>
      </c>
      <c r="C232">
        <v>90</v>
      </c>
      <c r="D232">
        <v>89.891723632999998</v>
      </c>
      <c r="E232">
        <v>30</v>
      </c>
      <c r="F232">
        <v>14.997016907000001</v>
      </c>
      <c r="G232">
        <v>1392.6419678</v>
      </c>
      <c r="H232">
        <v>1379.5780029</v>
      </c>
      <c r="I232">
        <v>1250.7497559000001</v>
      </c>
      <c r="J232">
        <v>1211.2911377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27.434785999999999</v>
      </c>
      <c r="B233" s="1">
        <f>DATE(2010,5,28) + TIME(10,26,5)</f>
        <v>40326.43478009259</v>
      </c>
      <c r="C233">
        <v>90</v>
      </c>
      <c r="D233">
        <v>89.891754149999997</v>
      </c>
      <c r="E233">
        <v>30</v>
      </c>
      <c r="F233">
        <v>14.997032166</v>
      </c>
      <c r="G233">
        <v>1392.5524902</v>
      </c>
      <c r="H233">
        <v>1379.4930420000001</v>
      </c>
      <c r="I233">
        <v>1250.755249</v>
      </c>
      <c r="J233">
        <v>1211.2963867000001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27.793571</v>
      </c>
      <c r="B234" s="1">
        <f>DATE(2010,5,28) + TIME(19,2,44)</f>
        <v>40326.793564814812</v>
      </c>
      <c r="C234">
        <v>90</v>
      </c>
      <c r="D234">
        <v>89.891784668</v>
      </c>
      <c r="E234">
        <v>30</v>
      </c>
      <c r="F234">
        <v>14.997048378000001</v>
      </c>
      <c r="G234">
        <v>1392.4632568</v>
      </c>
      <c r="H234">
        <v>1379.4085693</v>
      </c>
      <c r="I234">
        <v>1250.7607422000001</v>
      </c>
      <c r="J234">
        <v>1211.3016356999999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28.154596999999999</v>
      </c>
      <c r="B235" s="1">
        <f>DATE(2010,5,29) + TIME(3,42,37)</f>
        <v>40327.154594907406</v>
      </c>
      <c r="C235">
        <v>90</v>
      </c>
      <c r="D235">
        <v>89.891815186000002</v>
      </c>
      <c r="E235">
        <v>30</v>
      </c>
      <c r="F235">
        <v>14.997063637</v>
      </c>
      <c r="G235">
        <v>1392.3747559000001</v>
      </c>
      <c r="H235">
        <v>1379.324707</v>
      </c>
      <c r="I235">
        <v>1250.7663574000001</v>
      </c>
      <c r="J235">
        <v>1211.3070068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28.518173999999998</v>
      </c>
      <c r="B236" s="1">
        <f>DATE(2010,5,29) + TIME(12,26,10)</f>
        <v>40327.518171296295</v>
      </c>
      <c r="C236">
        <v>90</v>
      </c>
      <c r="D236">
        <v>89.891853333</v>
      </c>
      <c r="E236">
        <v>30</v>
      </c>
      <c r="F236">
        <v>14.997078896</v>
      </c>
      <c r="G236">
        <v>1392.2867432</v>
      </c>
      <c r="H236">
        <v>1379.2414550999999</v>
      </c>
      <c r="I236">
        <v>1250.7719727000001</v>
      </c>
      <c r="J236">
        <v>1211.3123779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28.884695000000001</v>
      </c>
      <c r="B237" s="1">
        <f>DATE(2010,5,29) + TIME(21,13,57)</f>
        <v>40327.884687500002</v>
      </c>
      <c r="C237">
        <v>90</v>
      </c>
      <c r="D237">
        <v>89.891883849999999</v>
      </c>
      <c r="E237">
        <v>30</v>
      </c>
      <c r="F237">
        <v>14.997094153999999</v>
      </c>
      <c r="G237">
        <v>1392.1992187999999</v>
      </c>
      <c r="H237">
        <v>1379.1585693</v>
      </c>
      <c r="I237">
        <v>1250.7777100000001</v>
      </c>
      <c r="J237">
        <v>1211.317749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29.254588999999999</v>
      </c>
      <c r="B238" s="1">
        <f>DATE(2010,5,30) + TIME(6,6,36)</f>
        <v>40328.254583333335</v>
      </c>
      <c r="C238">
        <v>90</v>
      </c>
      <c r="D238">
        <v>89.891921996999997</v>
      </c>
      <c r="E238">
        <v>30</v>
      </c>
      <c r="F238">
        <v>14.997109413</v>
      </c>
      <c r="G238">
        <v>1392.1120605000001</v>
      </c>
      <c r="H238">
        <v>1379.0761719</v>
      </c>
      <c r="I238">
        <v>1250.7834473</v>
      </c>
      <c r="J238">
        <v>1211.3232422000001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29.628297</v>
      </c>
      <c r="B239" s="1">
        <f>DATE(2010,5,30) + TIME(15,4,44)</f>
        <v>40328.628287037034</v>
      </c>
      <c r="C239">
        <v>90</v>
      </c>
      <c r="D239">
        <v>89.891952515</v>
      </c>
      <c r="E239">
        <v>30</v>
      </c>
      <c r="F239">
        <v>14.997123717999999</v>
      </c>
      <c r="G239">
        <v>1392.0251464999999</v>
      </c>
      <c r="H239">
        <v>1378.9940185999999</v>
      </c>
      <c r="I239">
        <v>1250.7893065999999</v>
      </c>
      <c r="J239">
        <v>1211.3288574000001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30.00628</v>
      </c>
      <c r="B240" s="1">
        <f>DATE(2010,5,31) + TIME(0,9,2)</f>
        <v>40329.006273148145</v>
      </c>
      <c r="C240">
        <v>90</v>
      </c>
      <c r="D240">
        <v>89.891990661999998</v>
      </c>
      <c r="E240">
        <v>30</v>
      </c>
      <c r="F240">
        <v>14.997138977000001</v>
      </c>
      <c r="G240">
        <v>1391.9384766000001</v>
      </c>
      <c r="H240">
        <v>1378.9121094</v>
      </c>
      <c r="I240">
        <v>1250.7951660000001</v>
      </c>
      <c r="J240">
        <v>1211.3344727000001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30.389019999999999</v>
      </c>
      <c r="B241" s="1">
        <f>DATE(2010,5,31) + TIME(9,20,11)</f>
        <v>40329.389016203706</v>
      </c>
      <c r="C241">
        <v>90</v>
      </c>
      <c r="D241">
        <v>89.892028808999996</v>
      </c>
      <c r="E241">
        <v>30</v>
      </c>
      <c r="F241">
        <v>14.997154236</v>
      </c>
      <c r="G241">
        <v>1391.8518065999999</v>
      </c>
      <c r="H241">
        <v>1378.8302002</v>
      </c>
      <c r="I241">
        <v>1250.8011475000001</v>
      </c>
      <c r="J241">
        <v>1211.3400879000001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30.777014999999999</v>
      </c>
      <c r="B242" s="1">
        <f>DATE(2010,5,31) + TIME(18,38,54)</f>
        <v>40329.777013888888</v>
      </c>
      <c r="C242">
        <v>90</v>
      </c>
      <c r="D242">
        <v>89.892066955999994</v>
      </c>
      <c r="E242">
        <v>30</v>
      </c>
      <c r="F242">
        <v>14.997169495</v>
      </c>
      <c r="G242">
        <v>1391.7651367000001</v>
      </c>
      <c r="H242">
        <v>1378.7482910000001</v>
      </c>
      <c r="I242">
        <v>1250.807251</v>
      </c>
      <c r="J242">
        <v>1211.3459473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31</v>
      </c>
      <c r="B243" s="1">
        <f>DATE(2010,6,1) + TIME(0,0,0)</f>
        <v>40330</v>
      </c>
      <c r="C243">
        <v>90</v>
      </c>
      <c r="D243">
        <v>89.892074585000003</v>
      </c>
      <c r="E243">
        <v>30</v>
      </c>
      <c r="F243">
        <v>14.997179985000001</v>
      </c>
      <c r="G243">
        <v>1391.6778564000001</v>
      </c>
      <c r="H243">
        <v>1378.6658935999999</v>
      </c>
      <c r="I243">
        <v>1250.8129882999999</v>
      </c>
      <c r="J243">
        <v>1211.3513184000001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31.393704</v>
      </c>
      <c r="B244" s="1">
        <f>DATE(2010,6,1) + TIME(9,26,56)</f>
        <v>40330.393703703703</v>
      </c>
      <c r="C244">
        <v>90</v>
      </c>
      <c r="D244">
        <v>89.892120360999996</v>
      </c>
      <c r="E244">
        <v>30</v>
      </c>
      <c r="F244">
        <v>14.997194289999999</v>
      </c>
      <c r="G244">
        <v>1391.628418</v>
      </c>
      <c r="H244">
        <v>1378.6192627</v>
      </c>
      <c r="I244">
        <v>1250.8170166</v>
      </c>
      <c r="J244">
        <v>1211.3552245999999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31.797643000000001</v>
      </c>
      <c r="B245" s="1">
        <f>DATE(2010,6,1) + TIME(19,8,36)</f>
        <v>40330.797638888886</v>
      </c>
      <c r="C245">
        <v>90</v>
      </c>
      <c r="D245">
        <v>89.892158507999994</v>
      </c>
      <c r="E245">
        <v>30</v>
      </c>
      <c r="F245">
        <v>14.997209549000001</v>
      </c>
      <c r="G245">
        <v>1391.5424805</v>
      </c>
      <c r="H245">
        <v>1378.5382079999999</v>
      </c>
      <c r="I245">
        <v>1250.8232422000001</v>
      </c>
      <c r="J245">
        <v>1211.3610839999999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32.203893000000001</v>
      </c>
      <c r="B246" s="1">
        <f>DATE(2010,6,2) + TIME(4,53,36)</f>
        <v>40331.203888888886</v>
      </c>
      <c r="C246">
        <v>90</v>
      </c>
      <c r="D246">
        <v>89.892196655000006</v>
      </c>
      <c r="E246">
        <v>30</v>
      </c>
      <c r="F246">
        <v>14.997223854</v>
      </c>
      <c r="G246">
        <v>1391.4548339999999</v>
      </c>
      <c r="H246">
        <v>1378.4555664</v>
      </c>
      <c r="I246">
        <v>1250.8297118999999</v>
      </c>
      <c r="J246">
        <v>1211.3673096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32.611403000000003</v>
      </c>
      <c r="B247" s="1">
        <f>DATE(2010,6,2) + TIME(14,40,25)</f>
        <v>40331.611400462964</v>
      </c>
      <c r="C247">
        <v>90</v>
      </c>
      <c r="D247">
        <v>89.892234802000004</v>
      </c>
      <c r="E247">
        <v>30</v>
      </c>
      <c r="F247">
        <v>14.997239112999999</v>
      </c>
      <c r="G247">
        <v>1391.3677978999999</v>
      </c>
      <c r="H247">
        <v>1378.3735352000001</v>
      </c>
      <c r="I247">
        <v>1250.8361815999999</v>
      </c>
      <c r="J247">
        <v>1211.3734131000001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33.020721999999999</v>
      </c>
      <c r="B248" s="1">
        <f>DATE(2010,6,3) + TIME(0,29,50)</f>
        <v>40332.02071759259</v>
      </c>
      <c r="C248">
        <v>90</v>
      </c>
      <c r="D248">
        <v>89.892280579000001</v>
      </c>
      <c r="E248">
        <v>30</v>
      </c>
      <c r="F248">
        <v>14.997254372</v>
      </c>
      <c r="G248">
        <v>1391.2814940999999</v>
      </c>
      <c r="H248">
        <v>1378.2922363</v>
      </c>
      <c r="I248">
        <v>1250.8427733999999</v>
      </c>
      <c r="J248">
        <v>1211.3796387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33.432402000000003</v>
      </c>
      <c r="B249" s="1">
        <f>DATE(2010,6,3) + TIME(10,22,39)</f>
        <v>40332.432395833333</v>
      </c>
      <c r="C249">
        <v>90</v>
      </c>
      <c r="D249">
        <v>89.892318725999999</v>
      </c>
      <c r="E249">
        <v>30</v>
      </c>
      <c r="F249">
        <v>14.99726963</v>
      </c>
      <c r="G249">
        <v>1391.1959228999999</v>
      </c>
      <c r="H249">
        <v>1378.2116699000001</v>
      </c>
      <c r="I249">
        <v>1250.8493652</v>
      </c>
      <c r="J249">
        <v>1211.3859863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33.846991000000003</v>
      </c>
      <c r="B250" s="1">
        <f>DATE(2010,6,3) + TIME(20,19,40)</f>
        <v>40332.846990740742</v>
      </c>
      <c r="C250">
        <v>90</v>
      </c>
      <c r="D250">
        <v>89.892356872999997</v>
      </c>
      <c r="E250">
        <v>30</v>
      </c>
      <c r="F250">
        <v>14.997283936000001</v>
      </c>
      <c r="G250">
        <v>1391.1107178</v>
      </c>
      <c r="H250">
        <v>1378.1314697</v>
      </c>
      <c r="I250">
        <v>1250.8560791</v>
      </c>
      <c r="J250">
        <v>1211.3923339999999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34.2652</v>
      </c>
      <c r="B251" s="1">
        <f>DATE(2010,6,4) + TIME(6,21,53)</f>
        <v>40333.265196759261</v>
      </c>
      <c r="C251">
        <v>90</v>
      </c>
      <c r="D251">
        <v>89.892395019999995</v>
      </c>
      <c r="E251">
        <v>30</v>
      </c>
      <c r="F251">
        <v>14.997299194</v>
      </c>
      <c r="G251">
        <v>1391.0261230000001</v>
      </c>
      <c r="H251">
        <v>1378.0517577999999</v>
      </c>
      <c r="I251">
        <v>1250.862793</v>
      </c>
      <c r="J251">
        <v>1211.3986815999999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34.686069000000003</v>
      </c>
      <c r="B252" s="1">
        <f>DATE(2010,6,4) + TIME(16,27,56)</f>
        <v>40333.686064814814</v>
      </c>
      <c r="C252">
        <v>90</v>
      </c>
      <c r="D252">
        <v>89.892440796000002</v>
      </c>
      <c r="E252">
        <v>30</v>
      </c>
      <c r="F252">
        <v>14.997313499000001</v>
      </c>
      <c r="G252">
        <v>1390.9416504000001</v>
      </c>
      <c r="H252">
        <v>1377.9724120999999</v>
      </c>
      <c r="I252">
        <v>1250.8696289</v>
      </c>
      <c r="J252">
        <v>1211.4051514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35.108108999999999</v>
      </c>
      <c r="B253" s="1">
        <f>DATE(2010,6,5) + TIME(2,35,40)</f>
        <v>40334.108101851853</v>
      </c>
      <c r="C253">
        <v>90</v>
      </c>
      <c r="D253">
        <v>89.892478943</v>
      </c>
      <c r="E253">
        <v>30</v>
      </c>
      <c r="F253">
        <v>14.997328758</v>
      </c>
      <c r="G253">
        <v>1390.8576660000001</v>
      </c>
      <c r="H253">
        <v>1377.8934326000001</v>
      </c>
      <c r="I253">
        <v>1250.8764647999999</v>
      </c>
      <c r="J253">
        <v>1211.4117432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35.53181</v>
      </c>
      <c r="B254" s="1">
        <f>DATE(2010,6,5) + TIME(12,45,48)</f>
        <v>40334.531805555554</v>
      </c>
      <c r="C254">
        <v>90</v>
      </c>
      <c r="D254">
        <v>89.892524718999994</v>
      </c>
      <c r="E254">
        <v>30</v>
      </c>
      <c r="F254">
        <v>14.997343063000001</v>
      </c>
      <c r="G254">
        <v>1390.7744141000001</v>
      </c>
      <c r="H254">
        <v>1377.8150635</v>
      </c>
      <c r="I254">
        <v>1250.8834228999999</v>
      </c>
      <c r="J254">
        <v>1211.4182129000001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35.957838000000002</v>
      </c>
      <c r="B255" s="1">
        <f>DATE(2010,6,5) + TIME(22,59,17)</f>
        <v>40334.957835648151</v>
      </c>
      <c r="C255">
        <v>90</v>
      </c>
      <c r="D255">
        <v>89.892562866000006</v>
      </c>
      <c r="E255">
        <v>30</v>
      </c>
      <c r="F255">
        <v>14.997358322</v>
      </c>
      <c r="G255">
        <v>1390.6917725000001</v>
      </c>
      <c r="H255">
        <v>1377.7374268000001</v>
      </c>
      <c r="I255">
        <v>1250.8903809000001</v>
      </c>
      <c r="J255">
        <v>1211.4248047000001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36.38653</v>
      </c>
      <c r="B256" s="1">
        <f>DATE(2010,6,6) + TIME(9,16,36)</f>
        <v>40335.38652777778</v>
      </c>
      <c r="C256">
        <v>90</v>
      </c>
      <c r="D256">
        <v>89.892608643000003</v>
      </c>
      <c r="E256">
        <v>30</v>
      </c>
      <c r="F256">
        <v>14.997372627000001</v>
      </c>
      <c r="G256">
        <v>1390.6096190999999</v>
      </c>
      <c r="H256">
        <v>1377.6602783000001</v>
      </c>
      <c r="I256">
        <v>1250.8973389</v>
      </c>
      <c r="J256">
        <v>1211.4315185999999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36.818368999999997</v>
      </c>
      <c r="B257" s="1">
        <f>DATE(2010,6,6) + TIME(19,38,27)</f>
        <v>40335.818368055552</v>
      </c>
      <c r="C257">
        <v>90</v>
      </c>
      <c r="D257">
        <v>89.892646790000001</v>
      </c>
      <c r="E257">
        <v>30</v>
      </c>
      <c r="F257">
        <v>14.997386932</v>
      </c>
      <c r="G257">
        <v>1390.527832</v>
      </c>
      <c r="H257">
        <v>1377.5836182</v>
      </c>
      <c r="I257">
        <v>1250.9044189000001</v>
      </c>
      <c r="J257">
        <v>1211.4382324000001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37.253850999999997</v>
      </c>
      <c r="B258" s="1">
        <f>DATE(2010,6,7) + TIME(6,5,32)</f>
        <v>40336.253842592596</v>
      </c>
      <c r="C258">
        <v>90</v>
      </c>
      <c r="D258">
        <v>89.892692565999994</v>
      </c>
      <c r="E258">
        <v>30</v>
      </c>
      <c r="F258">
        <v>14.997401237</v>
      </c>
      <c r="G258">
        <v>1390.4465332</v>
      </c>
      <c r="H258">
        <v>1377.5072021000001</v>
      </c>
      <c r="I258">
        <v>1250.9116211</v>
      </c>
      <c r="J258">
        <v>1211.4450684000001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37.6935</v>
      </c>
      <c r="B259" s="1">
        <f>DATE(2010,6,7) + TIME(16,38,38)</f>
        <v>40336.693495370368</v>
      </c>
      <c r="C259">
        <v>90</v>
      </c>
      <c r="D259">
        <v>89.892738342000001</v>
      </c>
      <c r="E259">
        <v>30</v>
      </c>
      <c r="F259">
        <v>14.997415543000001</v>
      </c>
      <c r="G259">
        <v>1390.3653564000001</v>
      </c>
      <c r="H259">
        <v>1377.4310303</v>
      </c>
      <c r="I259">
        <v>1250.9189452999999</v>
      </c>
      <c r="J259">
        <v>1211.4519043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38.137861000000001</v>
      </c>
      <c r="B260" s="1">
        <f>DATE(2010,6,8) + TIME(3,18,31)</f>
        <v>40337.137858796297</v>
      </c>
      <c r="C260">
        <v>90</v>
      </c>
      <c r="D260">
        <v>89.892784118999998</v>
      </c>
      <c r="E260">
        <v>30</v>
      </c>
      <c r="F260">
        <v>14.997429847999999</v>
      </c>
      <c r="G260">
        <v>1390.2843018000001</v>
      </c>
      <c r="H260">
        <v>1377.3549805</v>
      </c>
      <c r="I260">
        <v>1250.9262695</v>
      </c>
      <c r="J260">
        <v>1211.4588623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38.587499000000001</v>
      </c>
      <c r="B261" s="1">
        <f>DATE(2010,6,8) + TIME(14,5,59)</f>
        <v>40337.587488425925</v>
      </c>
      <c r="C261">
        <v>90</v>
      </c>
      <c r="D261">
        <v>89.892829895000006</v>
      </c>
      <c r="E261">
        <v>30</v>
      </c>
      <c r="F261">
        <v>14.997444153</v>
      </c>
      <c r="G261">
        <v>1390.2032471</v>
      </c>
      <c r="H261">
        <v>1377.2790527</v>
      </c>
      <c r="I261">
        <v>1250.9337158000001</v>
      </c>
      <c r="J261">
        <v>1211.4659423999999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39.043008999999998</v>
      </c>
      <c r="B262" s="1">
        <f>DATE(2010,6,9) + TIME(1,1,55)</f>
        <v>40338.042997685188</v>
      </c>
      <c r="C262">
        <v>90</v>
      </c>
      <c r="D262">
        <v>89.892875670999999</v>
      </c>
      <c r="E262">
        <v>30</v>
      </c>
      <c r="F262">
        <v>14.997458458000001</v>
      </c>
      <c r="G262">
        <v>1390.1221923999999</v>
      </c>
      <c r="H262">
        <v>1377.203125</v>
      </c>
      <c r="I262">
        <v>1250.9412841999999</v>
      </c>
      <c r="J262">
        <v>1211.4731445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39.504916000000001</v>
      </c>
      <c r="B263" s="1">
        <f>DATE(2010,6,9) + TIME(12,7,4)</f>
        <v>40338.504907407405</v>
      </c>
      <c r="C263">
        <v>90</v>
      </c>
      <c r="D263">
        <v>89.892921447999996</v>
      </c>
      <c r="E263">
        <v>30</v>
      </c>
      <c r="F263">
        <v>14.997473717</v>
      </c>
      <c r="G263">
        <v>1390.0410156</v>
      </c>
      <c r="H263">
        <v>1377.1270752</v>
      </c>
      <c r="I263">
        <v>1250.9489745999999</v>
      </c>
      <c r="J263">
        <v>1211.4803466999999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39.973855</v>
      </c>
      <c r="B264" s="1">
        <f>DATE(2010,6,9) + TIME(23,22,21)</f>
        <v>40338.973854166667</v>
      </c>
      <c r="C264">
        <v>90</v>
      </c>
      <c r="D264">
        <v>89.892967224000003</v>
      </c>
      <c r="E264">
        <v>30</v>
      </c>
      <c r="F264">
        <v>14.997488022000001</v>
      </c>
      <c r="G264">
        <v>1389.9597168</v>
      </c>
      <c r="H264">
        <v>1377.0507812000001</v>
      </c>
      <c r="I264">
        <v>1250.9567870999999</v>
      </c>
      <c r="J264">
        <v>1211.487793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40.449092999999998</v>
      </c>
      <c r="B265" s="1">
        <f>DATE(2010,6,10) + TIME(10,46,41)</f>
        <v>40339.44908564815</v>
      </c>
      <c r="C265">
        <v>90</v>
      </c>
      <c r="D265">
        <v>89.893020629999995</v>
      </c>
      <c r="E265">
        <v>30</v>
      </c>
      <c r="F265">
        <v>14.997502326999999</v>
      </c>
      <c r="G265">
        <v>1389.8779297000001</v>
      </c>
      <c r="H265">
        <v>1376.9742432</v>
      </c>
      <c r="I265">
        <v>1250.9647216999999</v>
      </c>
      <c r="J265">
        <v>1211.4953613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40.926347999999997</v>
      </c>
      <c r="B266" s="1">
        <f>DATE(2010,6,10) + TIME(22,13,56)</f>
        <v>40339.926342592589</v>
      </c>
      <c r="C266">
        <v>90</v>
      </c>
      <c r="D266">
        <v>89.893066406000003</v>
      </c>
      <c r="E266">
        <v>30</v>
      </c>
      <c r="F266">
        <v>14.997516632</v>
      </c>
      <c r="G266">
        <v>1389.7960204999999</v>
      </c>
      <c r="H266">
        <v>1376.8975829999999</v>
      </c>
      <c r="I266">
        <v>1250.9729004000001</v>
      </c>
      <c r="J266">
        <v>1211.5030518000001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41.406295999999998</v>
      </c>
      <c r="B267" s="1">
        <f>DATE(2010,6,11) + TIME(9,45,3)</f>
        <v>40340.406284722223</v>
      </c>
      <c r="C267">
        <v>90</v>
      </c>
      <c r="D267">
        <v>89.893119811999995</v>
      </c>
      <c r="E267">
        <v>30</v>
      </c>
      <c r="F267">
        <v>14.997530937000001</v>
      </c>
      <c r="G267">
        <v>1389.7147216999999</v>
      </c>
      <c r="H267">
        <v>1376.8214111</v>
      </c>
      <c r="I267">
        <v>1250.9810791</v>
      </c>
      <c r="J267">
        <v>1211.5107422000001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41.889605000000003</v>
      </c>
      <c r="B268" s="1">
        <f>DATE(2010,6,11) + TIME(21,21,1)</f>
        <v>40340.889594907407</v>
      </c>
      <c r="C268">
        <v>90</v>
      </c>
      <c r="D268">
        <v>89.893165588000002</v>
      </c>
      <c r="E268">
        <v>30</v>
      </c>
      <c r="F268">
        <v>14.997546196</v>
      </c>
      <c r="G268">
        <v>1389.6337891000001</v>
      </c>
      <c r="H268">
        <v>1376.7457274999999</v>
      </c>
      <c r="I268">
        <v>1250.9892577999999</v>
      </c>
      <c r="J268">
        <v>1211.5185547000001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42.375615000000003</v>
      </c>
      <c r="B269" s="1">
        <f>DATE(2010,6,12) + TIME(9,0,53)</f>
        <v>40341.375613425924</v>
      </c>
      <c r="C269">
        <v>90</v>
      </c>
      <c r="D269">
        <v>89.893218993999994</v>
      </c>
      <c r="E269">
        <v>30</v>
      </c>
      <c r="F269">
        <v>14.997560501000001</v>
      </c>
      <c r="G269">
        <v>1389.5532227000001</v>
      </c>
      <c r="H269">
        <v>1376.6704102000001</v>
      </c>
      <c r="I269">
        <v>1250.9976807</v>
      </c>
      <c r="J269">
        <v>1211.5263672000001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42.861879000000002</v>
      </c>
      <c r="B270" s="1">
        <f>DATE(2010,6,12) + TIME(20,41,6)</f>
        <v>40341.861875000002</v>
      </c>
      <c r="C270">
        <v>90</v>
      </c>
      <c r="D270">
        <v>89.893272400000001</v>
      </c>
      <c r="E270">
        <v>30</v>
      </c>
      <c r="F270">
        <v>14.997574805999999</v>
      </c>
      <c r="G270">
        <v>1389.4730225000001</v>
      </c>
      <c r="H270">
        <v>1376.5954589999999</v>
      </c>
      <c r="I270">
        <v>1251.0061035000001</v>
      </c>
      <c r="J270">
        <v>1211.5344238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43.348979999999997</v>
      </c>
      <c r="B271" s="1">
        <f>DATE(2010,6,13) + TIME(8,22,31)</f>
        <v>40342.348969907405</v>
      </c>
      <c r="C271">
        <v>90</v>
      </c>
      <c r="D271">
        <v>89.893318175999994</v>
      </c>
      <c r="E271">
        <v>30</v>
      </c>
      <c r="F271">
        <v>14.997589111</v>
      </c>
      <c r="G271">
        <v>1389.3936768000001</v>
      </c>
      <c r="H271">
        <v>1376.5212402</v>
      </c>
      <c r="I271">
        <v>1251.0145264</v>
      </c>
      <c r="J271">
        <v>1211.5423584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43.837497999999997</v>
      </c>
      <c r="B272" s="1">
        <f>DATE(2010,6,13) + TIME(20,5,59)</f>
        <v>40342.837488425925</v>
      </c>
      <c r="C272">
        <v>90</v>
      </c>
      <c r="D272">
        <v>89.893371582</v>
      </c>
      <c r="E272">
        <v>30</v>
      </c>
      <c r="F272">
        <v>14.997602463</v>
      </c>
      <c r="G272">
        <v>1389.3150635</v>
      </c>
      <c r="H272">
        <v>1376.4477539</v>
      </c>
      <c r="I272">
        <v>1251.0229492000001</v>
      </c>
      <c r="J272">
        <v>1211.5504149999999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44.328090000000003</v>
      </c>
      <c r="B273" s="1">
        <f>DATE(2010,6,14) + TIME(7,52,27)</f>
        <v>40343.328090277777</v>
      </c>
      <c r="C273">
        <v>90</v>
      </c>
      <c r="D273">
        <v>89.893424988000007</v>
      </c>
      <c r="E273">
        <v>30</v>
      </c>
      <c r="F273">
        <v>14.997616768</v>
      </c>
      <c r="G273">
        <v>1389.2371826000001</v>
      </c>
      <c r="H273">
        <v>1376.3748779</v>
      </c>
      <c r="I273">
        <v>1251.0316161999999</v>
      </c>
      <c r="J273">
        <v>1211.5584716999999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44.821389000000003</v>
      </c>
      <c r="B274" s="1">
        <f>DATE(2010,6,14) + TIME(19,42,47)</f>
        <v>40343.821377314816</v>
      </c>
      <c r="C274">
        <v>90</v>
      </c>
      <c r="D274">
        <v>89.893478393999999</v>
      </c>
      <c r="E274">
        <v>30</v>
      </c>
      <c r="F274">
        <v>14.997631073000001</v>
      </c>
      <c r="G274">
        <v>1389.159668</v>
      </c>
      <c r="H274">
        <v>1376.3024902</v>
      </c>
      <c r="I274">
        <v>1251.0401611</v>
      </c>
      <c r="J274">
        <v>1211.5666504000001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45.317839999999997</v>
      </c>
      <c r="B275" s="1">
        <f>DATE(2010,6,15) + TIME(7,37,41)</f>
        <v>40344.317835648151</v>
      </c>
      <c r="C275">
        <v>90</v>
      </c>
      <c r="D275">
        <v>89.893531799000002</v>
      </c>
      <c r="E275">
        <v>30</v>
      </c>
      <c r="F275">
        <v>14.997644424000001</v>
      </c>
      <c r="G275">
        <v>1389.0825195</v>
      </c>
      <c r="H275">
        <v>1376.2304687999999</v>
      </c>
      <c r="I275">
        <v>1251.0489502</v>
      </c>
      <c r="J275">
        <v>1211.5748291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45.818030999999998</v>
      </c>
      <c r="B276" s="1">
        <f>DATE(2010,6,15) + TIME(19,37,57)</f>
        <v>40344.818020833336</v>
      </c>
      <c r="C276">
        <v>90</v>
      </c>
      <c r="D276">
        <v>89.893585204999994</v>
      </c>
      <c r="E276">
        <v>30</v>
      </c>
      <c r="F276">
        <v>14.997658729999999</v>
      </c>
      <c r="G276">
        <v>1389.0057373</v>
      </c>
      <c r="H276">
        <v>1376.1588135</v>
      </c>
      <c r="I276">
        <v>1251.0577393000001</v>
      </c>
      <c r="J276">
        <v>1211.5831298999999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46.322552000000002</v>
      </c>
      <c r="B277" s="1">
        <f>DATE(2010,6,16) + TIME(7,44,28)</f>
        <v>40345.322546296295</v>
      </c>
      <c r="C277">
        <v>90</v>
      </c>
      <c r="D277">
        <v>89.893638611</v>
      </c>
      <c r="E277">
        <v>30</v>
      </c>
      <c r="F277">
        <v>14.997672080999999</v>
      </c>
      <c r="G277">
        <v>1388.9291992000001</v>
      </c>
      <c r="H277">
        <v>1376.0872803</v>
      </c>
      <c r="I277">
        <v>1251.0666504000001</v>
      </c>
      <c r="J277">
        <v>1211.5915527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46.832016000000003</v>
      </c>
      <c r="B278" s="1">
        <f>DATE(2010,6,16) + TIME(19,58,6)</f>
        <v>40345.832013888888</v>
      </c>
      <c r="C278">
        <v>90</v>
      </c>
      <c r="D278">
        <v>89.893692017000006</v>
      </c>
      <c r="E278">
        <v>30</v>
      </c>
      <c r="F278">
        <v>14.997686386</v>
      </c>
      <c r="G278">
        <v>1388.8526611</v>
      </c>
      <c r="H278">
        <v>1376.0159911999999</v>
      </c>
      <c r="I278">
        <v>1251.0756836</v>
      </c>
      <c r="J278">
        <v>1211.6000977000001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47.347064000000003</v>
      </c>
      <c r="B279" s="1">
        <f>DATE(2010,6,17) + TIME(8,19,46)</f>
        <v>40346.347060185188</v>
      </c>
      <c r="C279">
        <v>90</v>
      </c>
      <c r="D279">
        <v>89.893753051999994</v>
      </c>
      <c r="E279">
        <v>30</v>
      </c>
      <c r="F279">
        <v>14.997699738</v>
      </c>
      <c r="G279">
        <v>1388.7762451000001</v>
      </c>
      <c r="H279">
        <v>1375.9447021000001</v>
      </c>
      <c r="I279">
        <v>1251.0848389</v>
      </c>
      <c r="J279">
        <v>1211.6086425999999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47.868367999999997</v>
      </c>
      <c r="B280" s="1">
        <f>DATE(2010,6,17) + TIME(20,50,27)</f>
        <v>40346.868368055555</v>
      </c>
      <c r="C280">
        <v>90</v>
      </c>
      <c r="D280">
        <v>89.893806458</v>
      </c>
      <c r="E280">
        <v>30</v>
      </c>
      <c r="F280">
        <v>14.997714043</v>
      </c>
      <c r="G280">
        <v>1388.6998291</v>
      </c>
      <c r="H280">
        <v>1375.8734131000001</v>
      </c>
      <c r="I280">
        <v>1251.0941161999999</v>
      </c>
      <c r="J280">
        <v>1211.6174315999999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48.396568000000002</v>
      </c>
      <c r="B281" s="1">
        <f>DATE(2010,6,18) + TIME(9,31,3)</f>
        <v>40347.396562499998</v>
      </c>
      <c r="C281">
        <v>90</v>
      </c>
      <c r="D281">
        <v>89.893867493000002</v>
      </c>
      <c r="E281">
        <v>30</v>
      </c>
      <c r="F281">
        <v>14.997727394</v>
      </c>
      <c r="G281">
        <v>1388.6232910000001</v>
      </c>
      <c r="H281">
        <v>1375.802124</v>
      </c>
      <c r="I281">
        <v>1251.1035156</v>
      </c>
      <c r="J281">
        <v>1211.6263428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48.932310000000001</v>
      </c>
      <c r="B282" s="1">
        <f>DATE(2010,6,18) + TIME(22,22,31)</f>
        <v>40347.932303240741</v>
      </c>
      <c r="C282">
        <v>90</v>
      </c>
      <c r="D282">
        <v>89.893920898000005</v>
      </c>
      <c r="E282">
        <v>30</v>
      </c>
      <c r="F282">
        <v>14.997741699000001</v>
      </c>
      <c r="G282">
        <v>1388.5465088000001</v>
      </c>
      <c r="H282">
        <v>1375.7304687999999</v>
      </c>
      <c r="I282">
        <v>1251.1131591999999</v>
      </c>
      <c r="J282">
        <v>1211.635376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49.476495</v>
      </c>
      <c r="B283" s="1">
        <f>DATE(2010,6,19) + TIME(11,26,9)</f>
        <v>40348.476493055554</v>
      </c>
      <c r="C283">
        <v>90</v>
      </c>
      <c r="D283">
        <v>89.893981933999996</v>
      </c>
      <c r="E283">
        <v>30</v>
      </c>
      <c r="F283">
        <v>14.997756003999999</v>
      </c>
      <c r="G283">
        <v>1388.4694824000001</v>
      </c>
      <c r="H283">
        <v>1375.6586914</v>
      </c>
      <c r="I283">
        <v>1251.1229248</v>
      </c>
      <c r="J283">
        <v>1211.6446533000001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50.027507999999997</v>
      </c>
      <c r="B284" s="1">
        <f>DATE(2010,6,20) + TIME(0,39,36)</f>
        <v>40349.027499999997</v>
      </c>
      <c r="C284">
        <v>90</v>
      </c>
      <c r="D284">
        <v>89.894042968999997</v>
      </c>
      <c r="E284">
        <v>30</v>
      </c>
      <c r="F284">
        <v>14.997769355999999</v>
      </c>
      <c r="G284">
        <v>1388.3919678</v>
      </c>
      <c r="H284">
        <v>1375.5865478999999</v>
      </c>
      <c r="I284">
        <v>1251.1329346</v>
      </c>
      <c r="J284">
        <v>1211.6540527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50.304622000000002</v>
      </c>
      <c r="B285" s="1">
        <f>DATE(2010,6,20) + TIME(7,18,39)</f>
        <v>40349.304618055554</v>
      </c>
      <c r="C285">
        <v>90</v>
      </c>
      <c r="D285">
        <v>89.894065857000001</v>
      </c>
      <c r="E285">
        <v>30</v>
      </c>
      <c r="F285">
        <v>14.997778893</v>
      </c>
      <c r="G285">
        <v>1388.3138428</v>
      </c>
      <c r="H285">
        <v>1375.5136719</v>
      </c>
      <c r="I285">
        <v>1251.1425781</v>
      </c>
      <c r="J285">
        <v>1211.6629639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50.581736999999997</v>
      </c>
      <c r="B286" s="1">
        <f>DATE(2010,6,20) + TIME(13,57,42)</f>
        <v>40349.581736111111</v>
      </c>
      <c r="C286">
        <v>90</v>
      </c>
      <c r="D286">
        <v>89.894088745000005</v>
      </c>
      <c r="E286">
        <v>30</v>
      </c>
      <c r="F286">
        <v>14.997787475999999</v>
      </c>
      <c r="G286">
        <v>1388.2742920000001</v>
      </c>
      <c r="H286">
        <v>1375.4766846</v>
      </c>
      <c r="I286">
        <v>1251.1478271000001</v>
      </c>
      <c r="J286">
        <v>1211.6679687999999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50.858851000000001</v>
      </c>
      <c r="B287" s="1">
        <f>DATE(2010,6,20) + TIME(20,36,44)</f>
        <v>40349.858842592592</v>
      </c>
      <c r="C287">
        <v>90</v>
      </c>
      <c r="D287">
        <v>89.894119262999993</v>
      </c>
      <c r="E287">
        <v>30</v>
      </c>
      <c r="F287">
        <v>14.997795105</v>
      </c>
      <c r="G287">
        <v>1388.2355957</v>
      </c>
      <c r="H287">
        <v>1375.4406738</v>
      </c>
      <c r="I287">
        <v>1251.1529541</v>
      </c>
      <c r="J287">
        <v>1211.6728516000001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51.135966000000003</v>
      </c>
      <c r="B288" s="1">
        <f>DATE(2010,6,21) + TIME(3,15,47)</f>
        <v>40350.135960648149</v>
      </c>
      <c r="C288">
        <v>90</v>
      </c>
      <c r="D288">
        <v>89.894149780000006</v>
      </c>
      <c r="E288">
        <v>30</v>
      </c>
      <c r="F288">
        <v>14.997802734</v>
      </c>
      <c r="G288">
        <v>1388.1972656</v>
      </c>
      <c r="H288">
        <v>1375.4049072</v>
      </c>
      <c r="I288">
        <v>1251.1582031</v>
      </c>
      <c r="J288">
        <v>1211.6777344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51.413080000000001</v>
      </c>
      <c r="B289" s="1">
        <f>DATE(2010,6,21) + TIME(9,54,50)</f>
        <v>40350.413078703707</v>
      </c>
      <c r="C289">
        <v>90</v>
      </c>
      <c r="D289">
        <v>89.894180297999995</v>
      </c>
      <c r="E289">
        <v>30</v>
      </c>
      <c r="F289">
        <v>14.997810363999999</v>
      </c>
      <c r="G289">
        <v>1388.1590576000001</v>
      </c>
      <c r="H289">
        <v>1375.3692627</v>
      </c>
      <c r="I289">
        <v>1251.1633300999999</v>
      </c>
      <c r="J289">
        <v>1211.6824951000001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51.690195000000003</v>
      </c>
      <c r="B290" s="1">
        <f>DATE(2010,6,21) + TIME(16,33,52)</f>
        <v>40350.690185185187</v>
      </c>
      <c r="C290">
        <v>90</v>
      </c>
      <c r="D290">
        <v>89.894210814999994</v>
      </c>
      <c r="E290">
        <v>30</v>
      </c>
      <c r="F290">
        <v>14.997817993</v>
      </c>
      <c r="G290">
        <v>1388.1210937999999</v>
      </c>
      <c r="H290">
        <v>1375.3338623</v>
      </c>
      <c r="I290">
        <v>1251.1685791</v>
      </c>
      <c r="J290">
        <v>1211.6873779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51.967309</v>
      </c>
      <c r="B291" s="1">
        <f>DATE(2010,6,21) + TIME(23,12,55)</f>
        <v>40350.967303240737</v>
      </c>
      <c r="C291">
        <v>90</v>
      </c>
      <c r="D291">
        <v>89.894241332999997</v>
      </c>
      <c r="E291">
        <v>30</v>
      </c>
      <c r="F291">
        <v>14.997824669</v>
      </c>
      <c r="G291">
        <v>1388.0832519999999</v>
      </c>
      <c r="H291">
        <v>1375.2987060999999</v>
      </c>
      <c r="I291">
        <v>1251.1737060999999</v>
      </c>
      <c r="J291">
        <v>1211.6923827999999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52.244424000000002</v>
      </c>
      <c r="B292" s="1">
        <f>DATE(2010,6,22) + TIME(5,51,58)</f>
        <v>40351.244421296295</v>
      </c>
      <c r="C292">
        <v>90</v>
      </c>
      <c r="D292">
        <v>89.894271850999999</v>
      </c>
      <c r="E292">
        <v>30</v>
      </c>
      <c r="F292">
        <v>14.997832298000001</v>
      </c>
      <c r="G292">
        <v>1388.0456543</v>
      </c>
      <c r="H292">
        <v>1375.2636719</v>
      </c>
      <c r="I292">
        <v>1251.1789550999999</v>
      </c>
      <c r="J292">
        <v>1211.6972656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52.521538</v>
      </c>
      <c r="B293" s="1">
        <f>DATE(2010,6,22) + TIME(12,31,0)</f>
        <v>40351.521527777775</v>
      </c>
      <c r="C293">
        <v>90</v>
      </c>
      <c r="D293">
        <v>89.894302367999998</v>
      </c>
      <c r="E293">
        <v>30</v>
      </c>
      <c r="F293">
        <v>14.997838974</v>
      </c>
      <c r="G293">
        <v>1388.0083007999999</v>
      </c>
      <c r="H293">
        <v>1375.2287598</v>
      </c>
      <c r="I293">
        <v>1251.1842041</v>
      </c>
      <c r="J293">
        <v>1211.7021483999999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52.798653000000002</v>
      </c>
      <c r="B294" s="1">
        <f>DATE(2010,6,22) + TIME(19,10,3)</f>
        <v>40351.798645833333</v>
      </c>
      <c r="C294">
        <v>90</v>
      </c>
      <c r="D294">
        <v>89.894332886000001</v>
      </c>
      <c r="E294">
        <v>30</v>
      </c>
      <c r="F294">
        <v>14.99784565</v>
      </c>
      <c r="G294">
        <v>1387.9710693</v>
      </c>
      <c r="H294">
        <v>1375.1940918</v>
      </c>
      <c r="I294">
        <v>1251.1894531</v>
      </c>
      <c r="J294">
        <v>1211.7070312000001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53.352882000000001</v>
      </c>
      <c r="B295" s="1">
        <f>DATE(2010,6,23) + TIME(8,28,9)</f>
        <v>40352.352881944447</v>
      </c>
      <c r="C295">
        <v>90</v>
      </c>
      <c r="D295">
        <v>89.894409179999997</v>
      </c>
      <c r="E295">
        <v>30</v>
      </c>
      <c r="F295">
        <v>14.997857094</v>
      </c>
      <c r="G295">
        <v>1387.9348144999999</v>
      </c>
      <c r="H295">
        <v>1375.1604004000001</v>
      </c>
      <c r="I295">
        <v>1251.1951904</v>
      </c>
      <c r="J295">
        <v>1211.7124022999999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53.908149999999999</v>
      </c>
      <c r="B296" s="1">
        <f>DATE(2010,6,23) + TIME(21,47,44)</f>
        <v>40352.908148148148</v>
      </c>
      <c r="C296">
        <v>90</v>
      </c>
      <c r="D296">
        <v>89.894470214999998</v>
      </c>
      <c r="E296">
        <v>30</v>
      </c>
      <c r="F296">
        <v>14.997868538000001</v>
      </c>
      <c r="G296">
        <v>1387.8616943</v>
      </c>
      <c r="H296">
        <v>1375.0925293</v>
      </c>
      <c r="I296">
        <v>1251.2055664</v>
      </c>
      <c r="J296">
        <v>1211.7222899999999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54.466701999999998</v>
      </c>
      <c r="B297" s="1">
        <f>DATE(2010,6,24) + TIME(11,12,3)</f>
        <v>40353.46670138889</v>
      </c>
      <c r="C297">
        <v>90</v>
      </c>
      <c r="D297">
        <v>89.894538878999995</v>
      </c>
      <c r="E297">
        <v>30</v>
      </c>
      <c r="F297">
        <v>14.997880936</v>
      </c>
      <c r="G297">
        <v>1387.7888184000001</v>
      </c>
      <c r="H297">
        <v>1375.0246582</v>
      </c>
      <c r="I297">
        <v>1251.2161865</v>
      </c>
      <c r="J297">
        <v>1211.7321777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55.029083999999997</v>
      </c>
      <c r="B298" s="1">
        <f>DATE(2010,6,25) + TIME(0,41,52)</f>
        <v>40354.029074074075</v>
      </c>
      <c r="C298">
        <v>90</v>
      </c>
      <c r="D298">
        <v>89.894599915000001</v>
      </c>
      <c r="E298">
        <v>30</v>
      </c>
      <c r="F298">
        <v>14.997893333</v>
      </c>
      <c r="G298">
        <v>1387.7161865</v>
      </c>
      <c r="H298">
        <v>1374.9570312000001</v>
      </c>
      <c r="I298">
        <v>1251.2269286999999</v>
      </c>
      <c r="J298">
        <v>1211.7421875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55.595953000000002</v>
      </c>
      <c r="B299" s="1">
        <f>DATE(2010,6,25) + TIME(14,18,10)</f>
        <v>40354.595949074072</v>
      </c>
      <c r="C299">
        <v>90</v>
      </c>
      <c r="D299">
        <v>89.894668578999998</v>
      </c>
      <c r="E299">
        <v>30</v>
      </c>
      <c r="F299">
        <v>14.997906685</v>
      </c>
      <c r="G299">
        <v>1387.6437988</v>
      </c>
      <c r="H299">
        <v>1374.8896483999999</v>
      </c>
      <c r="I299">
        <v>1251.2376709</v>
      </c>
      <c r="J299">
        <v>1211.7523193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56.167985000000002</v>
      </c>
      <c r="B300" s="1">
        <f>DATE(2010,6,26) + TIME(4,1,53)</f>
        <v>40355.167974537035</v>
      </c>
      <c r="C300">
        <v>90</v>
      </c>
      <c r="D300">
        <v>89.894737243999998</v>
      </c>
      <c r="E300">
        <v>30</v>
      </c>
      <c r="F300">
        <v>14.997920036</v>
      </c>
      <c r="G300">
        <v>1387.5714111</v>
      </c>
      <c r="H300">
        <v>1374.8225098</v>
      </c>
      <c r="I300">
        <v>1251.2486572</v>
      </c>
      <c r="J300">
        <v>1211.7626952999999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56.745866999999997</v>
      </c>
      <c r="B301" s="1">
        <f>DATE(2010,6,26) + TIME(17,54,2)</f>
        <v>40355.745856481481</v>
      </c>
      <c r="C301">
        <v>90</v>
      </c>
      <c r="D301">
        <v>89.894798279</v>
      </c>
      <c r="E301">
        <v>30</v>
      </c>
      <c r="F301">
        <v>14.997933388</v>
      </c>
      <c r="G301">
        <v>1387.4991454999999</v>
      </c>
      <c r="H301">
        <v>1374.755249</v>
      </c>
      <c r="I301">
        <v>1251.2597656</v>
      </c>
      <c r="J301">
        <v>1211.7730713000001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57.330326999999997</v>
      </c>
      <c r="B302" s="1">
        <f>DATE(2010,6,27) + TIME(7,55,40)</f>
        <v>40356.330324074072</v>
      </c>
      <c r="C302">
        <v>90</v>
      </c>
      <c r="D302">
        <v>89.894866942999997</v>
      </c>
      <c r="E302">
        <v>30</v>
      </c>
      <c r="F302">
        <v>14.997946739</v>
      </c>
      <c r="G302">
        <v>1387.4268798999999</v>
      </c>
      <c r="H302">
        <v>1374.6879882999999</v>
      </c>
      <c r="I302">
        <v>1251.2711182</v>
      </c>
      <c r="J302">
        <v>1211.7835693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57.922125999999999</v>
      </c>
      <c r="B303" s="1">
        <f>DATE(2010,6,27) + TIME(22,7,51)</f>
        <v>40356.922118055554</v>
      </c>
      <c r="C303">
        <v>90</v>
      </c>
      <c r="D303">
        <v>89.894935607999997</v>
      </c>
      <c r="E303">
        <v>30</v>
      </c>
      <c r="F303">
        <v>14.997960090999999</v>
      </c>
      <c r="G303">
        <v>1387.3543701000001</v>
      </c>
      <c r="H303">
        <v>1374.6207274999999</v>
      </c>
      <c r="I303">
        <v>1251.2825928</v>
      </c>
      <c r="J303">
        <v>1211.7944336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58.521909000000001</v>
      </c>
      <c r="B304" s="1">
        <f>DATE(2010,6,28) + TIME(12,31,32)</f>
        <v>40357.521898148145</v>
      </c>
      <c r="C304">
        <v>90</v>
      </c>
      <c r="D304">
        <v>89.895004271999994</v>
      </c>
      <c r="E304">
        <v>30</v>
      </c>
      <c r="F304">
        <v>14.997973441999999</v>
      </c>
      <c r="G304">
        <v>1387.2817382999999</v>
      </c>
      <c r="H304">
        <v>1374.5532227000001</v>
      </c>
      <c r="I304">
        <v>1251.2941894999999</v>
      </c>
      <c r="J304">
        <v>1211.8052978999999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59.130495000000003</v>
      </c>
      <c r="B305" s="1">
        <f>DATE(2010,6,29) + TIME(3,7,54)</f>
        <v>40358.130486111113</v>
      </c>
      <c r="C305">
        <v>90</v>
      </c>
      <c r="D305">
        <v>89.895072936999995</v>
      </c>
      <c r="E305">
        <v>30</v>
      </c>
      <c r="F305">
        <v>14.997986793999999</v>
      </c>
      <c r="G305">
        <v>1387.2088623</v>
      </c>
      <c r="H305">
        <v>1374.4854736</v>
      </c>
      <c r="I305">
        <v>1251.3061522999999</v>
      </c>
      <c r="J305">
        <v>1211.8164062000001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59.748252000000001</v>
      </c>
      <c r="B306" s="1">
        <f>DATE(2010,6,29) + TIME(17,57,28)</f>
        <v>40358.748240740744</v>
      </c>
      <c r="C306">
        <v>90</v>
      </c>
      <c r="D306">
        <v>89.895149231000005</v>
      </c>
      <c r="E306">
        <v>30</v>
      </c>
      <c r="F306">
        <v>14.998000145000001</v>
      </c>
      <c r="G306">
        <v>1387.1354980000001</v>
      </c>
      <c r="H306">
        <v>1374.4173584</v>
      </c>
      <c r="I306">
        <v>1251.3182373</v>
      </c>
      <c r="J306">
        <v>1211.8277588000001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60.059424</v>
      </c>
      <c r="B307" s="1">
        <f>DATE(2010,6,30) + TIME(1,25,34)</f>
        <v>40359.059421296297</v>
      </c>
      <c r="C307">
        <v>90</v>
      </c>
      <c r="D307">
        <v>89.895172118999994</v>
      </c>
      <c r="E307">
        <v>30</v>
      </c>
      <c r="F307">
        <v>14.998009681999999</v>
      </c>
      <c r="G307">
        <v>1387.0614014</v>
      </c>
      <c r="H307">
        <v>1374.3483887</v>
      </c>
      <c r="I307">
        <v>1251.3302002</v>
      </c>
      <c r="J307">
        <v>1211.8388672000001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60.370595000000002</v>
      </c>
      <c r="B308" s="1">
        <f>DATE(2010,6,30) + TIME(8,53,39)</f>
        <v>40359.37059027778</v>
      </c>
      <c r="C308">
        <v>90</v>
      </c>
      <c r="D308">
        <v>89.895202636999997</v>
      </c>
      <c r="E308">
        <v>30</v>
      </c>
      <c r="F308">
        <v>14.998017311</v>
      </c>
      <c r="G308">
        <v>1387.0238036999999</v>
      </c>
      <c r="H308">
        <v>1374.3133545000001</v>
      </c>
      <c r="I308">
        <v>1251.3365478999999</v>
      </c>
      <c r="J308">
        <v>1211.8448486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60.685298000000003</v>
      </c>
      <c r="B309" s="1">
        <f>DATE(2010,6,30) + TIME(16,26,49)</f>
        <v>40359.685289351852</v>
      </c>
      <c r="C309">
        <v>90</v>
      </c>
      <c r="D309">
        <v>89.895240783999995</v>
      </c>
      <c r="E309">
        <v>30</v>
      </c>
      <c r="F309">
        <v>14.998024940000001</v>
      </c>
      <c r="G309">
        <v>1386.9870605000001</v>
      </c>
      <c r="H309">
        <v>1374.2791748</v>
      </c>
      <c r="I309">
        <v>1251.3428954999999</v>
      </c>
      <c r="J309">
        <v>1211.8507079999999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61</v>
      </c>
      <c r="B310" s="1">
        <f>DATE(2010,7,1) + TIME(0,0,0)</f>
        <v>40360</v>
      </c>
      <c r="C310">
        <v>90</v>
      </c>
      <c r="D310">
        <v>89.895271300999994</v>
      </c>
      <c r="E310">
        <v>30</v>
      </c>
      <c r="F310">
        <v>14.998032569999999</v>
      </c>
      <c r="G310">
        <v>1386.9501952999999</v>
      </c>
      <c r="H310">
        <v>1374.2449951000001</v>
      </c>
      <c r="I310">
        <v>1251.3492432</v>
      </c>
      <c r="J310">
        <v>1211.8566894999999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61.311565000000002</v>
      </c>
      <c r="B311" s="1">
        <f>DATE(2010,7,1) + TIME(7,28,39)</f>
        <v>40360.311562499999</v>
      </c>
      <c r="C311">
        <v>90</v>
      </c>
      <c r="D311">
        <v>89.895309448000006</v>
      </c>
      <c r="E311">
        <v>30</v>
      </c>
      <c r="F311">
        <v>14.998040199</v>
      </c>
      <c r="G311">
        <v>1386.9133300999999</v>
      </c>
      <c r="H311">
        <v>1374.2106934000001</v>
      </c>
      <c r="I311">
        <v>1251.3557129000001</v>
      </c>
      <c r="J311">
        <v>1211.8626709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61.623131000000001</v>
      </c>
      <c r="B312" s="1">
        <f>DATE(2010,7,1) + TIME(14,57,18)</f>
        <v>40360.623124999998</v>
      </c>
      <c r="C312">
        <v>90</v>
      </c>
      <c r="D312">
        <v>89.895347595000004</v>
      </c>
      <c r="E312">
        <v>30</v>
      </c>
      <c r="F312">
        <v>14.998046875</v>
      </c>
      <c r="G312">
        <v>1386.8770752</v>
      </c>
      <c r="H312">
        <v>1374.1770019999999</v>
      </c>
      <c r="I312">
        <v>1251.3620605000001</v>
      </c>
      <c r="J312">
        <v>1211.8686522999999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61.934696000000002</v>
      </c>
      <c r="B313" s="1">
        <f>DATE(2010,7,1) + TIME(22,25,57)</f>
        <v>40360.934687499997</v>
      </c>
      <c r="C313">
        <v>90</v>
      </c>
      <c r="D313">
        <v>89.895378113000007</v>
      </c>
      <c r="E313">
        <v>30</v>
      </c>
      <c r="F313">
        <v>14.998054504000001</v>
      </c>
      <c r="G313">
        <v>1386.8409423999999</v>
      </c>
      <c r="H313">
        <v>1374.1435547000001</v>
      </c>
      <c r="I313">
        <v>1251.3684082</v>
      </c>
      <c r="J313">
        <v>1211.8746338000001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62.246262000000002</v>
      </c>
      <c r="B314" s="1">
        <f>DATE(2010,7,2) + TIME(5,54,37)</f>
        <v>40361.246261574073</v>
      </c>
      <c r="C314">
        <v>90</v>
      </c>
      <c r="D314">
        <v>89.895416260000005</v>
      </c>
      <c r="E314">
        <v>30</v>
      </c>
      <c r="F314">
        <v>14.998061180000001</v>
      </c>
      <c r="G314">
        <v>1386.8050536999999</v>
      </c>
      <c r="H314">
        <v>1374.1101074000001</v>
      </c>
      <c r="I314">
        <v>1251.3748779</v>
      </c>
      <c r="J314">
        <v>1211.8806152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62.557827000000003</v>
      </c>
      <c r="B315" s="1">
        <f>DATE(2010,7,2) + TIME(13,23,16)</f>
        <v>40361.557824074072</v>
      </c>
      <c r="C315">
        <v>90</v>
      </c>
      <c r="D315">
        <v>89.895454407000003</v>
      </c>
      <c r="E315">
        <v>30</v>
      </c>
      <c r="F315">
        <v>14.998067856</v>
      </c>
      <c r="G315">
        <v>1386.7694091999999</v>
      </c>
      <c r="H315">
        <v>1374.0769043</v>
      </c>
      <c r="I315">
        <v>1251.3812256000001</v>
      </c>
      <c r="J315">
        <v>1211.8865966999999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62.869393000000002</v>
      </c>
      <c r="B316" s="1">
        <f>DATE(2010,7,2) + TIME(20,51,55)</f>
        <v>40361.869386574072</v>
      </c>
      <c r="C316">
        <v>90</v>
      </c>
      <c r="D316">
        <v>89.895492554</v>
      </c>
      <c r="E316">
        <v>30</v>
      </c>
      <c r="F316">
        <v>14.998074532</v>
      </c>
      <c r="G316">
        <v>1386.7337646000001</v>
      </c>
      <c r="H316">
        <v>1374.0439452999999</v>
      </c>
      <c r="I316">
        <v>1251.3876952999999</v>
      </c>
      <c r="J316">
        <v>1211.8925781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63.492524000000003</v>
      </c>
      <c r="B317" s="1">
        <f>DATE(2010,7,3) + TIME(11,49,14)</f>
        <v>40362.492523148147</v>
      </c>
      <c r="C317">
        <v>90</v>
      </c>
      <c r="D317">
        <v>89.895576477000006</v>
      </c>
      <c r="E317">
        <v>30</v>
      </c>
      <c r="F317">
        <v>14.998085022</v>
      </c>
      <c r="G317">
        <v>1386.6992187999999</v>
      </c>
      <c r="H317">
        <v>1374.0118408000001</v>
      </c>
      <c r="I317">
        <v>1251.3946533000001</v>
      </c>
      <c r="J317">
        <v>1211.8990478999999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64.116026000000005</v>
      </c>
      <c r="B318" s="1">
        <f>DATE(2010,7,4) + TIME(2,47,4)</f>
        <v>40363.116018518522</v>
      </c>
      <c r="C318">
        <v>90</v>
      </c>
      <c r="D318">
        <v>89.895652771000002</v>
      </c>
      <c r="E318">
        <v>30</v>
      </c>
      <c r="F318">
        <v>14.998096466</v>
      </c>
      <c r="G318">
        <v>1386.6292725000001</v>
      </c>
      <c r="H318">
        <v>1373.9470214999999</v>
      </c>
      <c r="I318">
        <v>1251.4074707</v>
      </c>
      <c r="J318">
        <v>1211.9110106999999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64.743088</v>
      </c>
      <c r="B319" s="1">
        <f>DATE(2010,7,4) + TIME(17,50,2)</f>
        <v>40363.743078703701</v>
      </c>
      <c r="C319">
        <v>90</v>
      </c>
      <c r="D319">
        <v>89.895729064999998</v>
      </c>
      <c r="E319">
        <v>30</v>
      </c>
      <c r="F319">
        <v>14.998108864000001</v>
      </c>
      <c r="G319">
        <v>1386.5596923999999</v>
      </c>
      <c r="H319">
        <v>1373.8823242000001</v>
      </c>
      <c r="I319">
        <v>1251.4205322</v>
      </c>
      <c r="J319">
        <v>1211.9232178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65.374395000000007</v>
      </c>
      <c r="B320" s="1">
        <f>DATE(2010,7,5) + TIME(8,59,7)</f>
        <v>40364.374386574076</v>
      </c>
      <c r="C320">
        <v>90</v>
      </c>
      <c r="D320">
        <v>89.895805358999993</v>
      </c>
      <c r="E320">
        <v>30</v>
      </c>
      <c r="F320">
        <v>14.998121262</v>
      </c>
      <c r="G320">
        <v>1386.4902344</v>
      </c>
      <c r="H320">
        <v>1373.8179932</v>
      </c>
      <c r="I320">
        <v>1251.4337158000001</v>
      </c>
      <c r="J320">
        <v>1211.9354248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66.010705999999999</v>
      </c>
      <c r="B321" s="1">
        <f>DATE(2010,7,6) + TIME(0,15,24)</f>
        <v>40365.010694444441</v>
      </c>
      <c r="C321">
        <v>90</v>
      </c>
      <c r="D321">
        <v>89.895881653000004</v>
      </c>
      <c r="E321">
        <v>30</v>
      </c>
      <c r="F321">
        <v>14.998133659000001</v>
      </c>
      <c r="G321">
        <v>1386.4210204999999</v>
      </c>
      <c r="H321">
        <v>1373.7536620999999</v>
      </c>
      <c r="I321">
        <v>1251.4470214999999</v>
      </c>
      <c r="J321">
        <v>1211.947876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66.652799999999999</v>
      </c>
      <c r="B322" s="1">
        <f>DATE(2010,7,6) + TIME(15,40,1)</f>
        <v>40365.652789351851</v>
      </c>
      <c r="C322">
        <v>90</v>
      </c>
      <c r="D322">
        <v>89.895957946999999</v>
      </c>
      <c r="E322">
        <v>30</v>
      </c>
      <c r="F322">
        <v>14.998147011</v>
      </c>
      <c r="G322">
        <v>1386.3518065999999</v>
      </c>
      <c r="H322">
        <v>1373.6894531</v>
      </c>
      <c r="I322">
        <v>1251.4605713000001</v>
      </c>
      <c r="J322">
        <v>1211.9604492000001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67.301477000000006</v>
      </c>
      <c r="B323" s="1">
        <f>DATE(2010,7,7) + TIME(7,14,7)</f>
        <v>40366.301469907405</v>
      </c>
      <c r="C323">
        <v>90</v>
      </c>
      <c r="D323">
        <v>89.896034240999995</v>
      </c>
      <c r="E323">
        <v>30</v>
      </c>
      <c r="F323">
        <v>14.998160362</v>
      </c>
      <c r="G323">
        <v>1386.2825928</v>
      </c>
      <c r="H323">
        <v>1373.6252440999999</v>
      </c>
      <c r="I323">
        <v>1251.4742432</v>
      </c>
      <c r="J323">
        <v>1211.9732666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67.957561999999996</v>
      </c>
      <c r="B324" s="1">
        <f>DATE(2010,7,7) + TIME(22,58,53)</f>
        <v>40366.957557870373</v>
      </c>
      <c r="C324">
        <v>90</v>
      </c>
      <c r="D324">
        <v>89.896110535000005</v>
      </c>
      <c r="E324">
        <v>30</v>
      </c>
      <c r="F324">
        <v>14.998172759999999</v>
      </c>
      <c r="G324">
        <v>1386.2133789</v>
      </c>
      <c r="H324">
        <v>1373.5610352000001</v>
      </c>
      <c r="I324">
        <v>1251.4882812000001</v>
      </c>
      <c r="J324">
        <v>1211.9862060999999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68.621550999999997</v>
      </c>
      <c r="B325" s="1">
        <f>DATE(2010,7,8) + TIME(14,55,1)</f>
        <v>40367.621539351851</v>
      </c>
      <c r="C325">
        <v>90</v>
      </c>
      <c r="D325">
        <v>89.896186829000001</v>
      </c>
      <c r="E325">
        <v>30</v>
      </c>
      <c r="F325">
        <v>14.998186111000001</v>
      </c>
      <c r="G325">
        <v>1386.1439209</v>
      </c>
      <c r="H325">
        <v>1373.496582</v>
      </c>
      <c r="I325">
        <v>1251.5024414</v>
      </c>
      <c r="J325">
        <v>1211.9993896000001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69.288470000000004</v>
      </c>
      <c r="B326" s="1">
        <f>DATE(2010,7,9) + TIME(6,55,23)</f>
        <v>40368.288460648146</v>
      </c>
      <c r="C326">
        <v>90</v>
      </c>
      <c r="D326">
        <v>89.896270752000007</v>
      </c>
      <c r="E326">
        <v>30</v>
      </c>
      <c r="F326">
        <v>14.998199463000001</v>
      </c>
      <c r="G326">
        <v>1386.0742187999999</v>
      </c>
      <c r="H326">
        <v>1373.4318848</v>
      </c>
      <c r="I326">
        <v>1251.5169678</v>
      </c>
      <c r="J326">
        <v>1212.0128173999999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69.959166999999994</v>
      </c>
      <c r="B327" s="1">
        <f>DATE(2010,7,9) + TIME(23,1,12)</f>
        <v>40368.959166666667</v>
      </c>
      <c r="C327">
        <v>90</v>
      </c>
      <c r="D327">
        <v>89.896347046000002</v>
      </c>
      <c r="E327">
        <v>30</v>
      </c>
      <c r="F327">
        <v>14.998212814</v>
      </c>
      <c r="G327">
        <v>1386.0047606999999</v>
      </c>
      <c r="H327">
        <v>1373.3675536999999</v>
      </c>
      <c r="I327">
        <v>1251.5314940999999</v>
      </c>
      <c r="J327">
        <v>1212.0263672000001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70.634758000000005</v>
      </c>
      <c r="B328" s="1">
        <f>DATE(2010,7,10) + TIME(15,14,3)</f>
        <v>40369.634756944448</v>
      </c>
      <c r="C328">
        <v>90</v>
      </c>
      <c r="D328">
        <v>89.896430968999994</v>
      </c>
      <c r="E328">
        <v>30</v>
      </c>
      <c r="F328">
        <v>14.998226166</v>
      </c>
      <c r="G328">
        <v>1385.9356689000001</v>
      </c>
      <c r="H328">
        <v>1373.3034668</v>
      </c>
      <c r="I328">
        <v>1251.5462646000001</v>
      </c>
      <c r="J328">
        <v>1212.0401611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71.315831000000003</v>
      </c>
      <c r="B329" s="1">
        <f>DATE(2010,7,11) + TIME(7,34,47)</f>
        <v>40370.315821759257</v>
      </c>
      <c r="C329">
        <v>90</v>
      </c>
      <c r="D329">
        <v>89.896514893000003</v>
      </c>
      <c r="E329">
        <v>30</v>
      </c>
      <c r="F329">
        <v>14.998239517</v>
      </c>
      <c r="G329">
        <v>1385.8665771000001</v>
      </c>
      <c r="H329">
        <v>1373.2393798999999</v>
      </c>
      <c r="I329">
        <v>1251.5612793</v>
      </c>
      <c r="J329">
        <v>1212.0540771000001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72.002927</v>
      </c>
      <c r="B330" s="1">
        <f>DATE(2010,7,12) + TIME(0,4,12)</f>
        <v>40371.002916666665</v>
      </c>
      <c r="C330">
        <v>90</v>
      </c>
      <c r="D330">
        <v>89.896591186999999</v>
      </c>
      <c r="E330">
        <v>30</v>
      </c>
      <c r="F330">
        <v>14.998251915000001</v>
      </c>
      <c r="G330">
        <v>1385.7976074000001</v>
      </c>
      <c r="H330">
        <v>1373.1754149999999</v>
      </c>
      <c r="I330">
        <v>1251.5765381000001</v>
      </c>
      <c r="J330">
        <v>1212.0681152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72.690150000000003</v>
      </c>
      <c r="B331" s="1">
        <f>DATE(2010,7,12) + TIME(16,33,48)</f>
        <v>40371.690138888887</v>
      </c>
      <c r="C331">
        <v>90</v>
      </c>
      <c r="D331">
        <v>89.896675110000004</v>
      </c>
      <c r="E331">
        <v>30</v>
      </c>
      <c r="F331">
        <v>14.998265266000001</v>
      </c>
      <c r="G331">
        <v>1385.7286377</v>
      </c>
      <c r="H331">
        <v>1373.1114502</v>
      </c>
      <c r="I331">
        <v>1251.5920410000001</v>
      </c>
      <c r="J331">
        <v>1212.0825195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73.378376000000003</v>
      </c>
      <c r="B332" s="1">
        <f>DATE(2010,7,13) + TIME(9,4,51)</f>
        <v>40372.378368055557</v>
      </c>
      <c r="C332">
        <v>90</v>
      </c>
      <c r="D332">
        <v>89.896759032999995</v>
      </c>
      <c r="E332">
        <v>30</v>
      </c>
      <c r="F332">
        <v>14.998278618000001</v>
      </c>
      <c r="G332">
        <v>1385.6601562000001</v>
      </c>
      <c r="H332">
        <v>1373.0479736</v>
      </c>
      <c r="I332">
        <v>1251.6075439000001</v>
      </c>
      <c r="J332">
        <v>1212.0969238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74.068369000000004</v>
      </c>
      <c r="B333" s="1">
        <f>DATE(2010,7,14) + TIME(1,38,27)</f>
        <v>40373.068368055552</v>
      </c>
      <c r="C333">
        <v>90</v>
      </c>
      <c r="D333">
        <v>89.896842957000004</v>
      </c>
      <c r="E333">
        <v>30</v>
      </c>
      <c r="F333">
        <v>14.998291969</v>
      </c>
      <c r="G333">
        <v>1385.5922852000001</v>
      </c>
      <c r="H333">
        <v>1372.9849853999999</v>
      </c>
      <c r="I333">
        <v>1251.6232910000001</v>
      </c>
      <c r="J333">
        <v>1212.1114502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74.761233000000004</v>
      </c>
      <c r="B334" s="1">
        <f>DATE(2010,7,14) + TIME(18,16,10)</f>
        <v>40373.76122685185</v>
      </c>
      <c r="C334">
        <v>90</v>
      </c>
      <c r="D334">
        <v>89.896926879999995</v>
      </c>
      <c r="E334">
        <v>30</v>
      </c>
      <c r="F334">
        <v>14.998305321</v>
      </c>
      <c r="G334">
        <v>1385.5247803</v>
      </c>
      <c r="H334">
        <v>1372.9223632999999</v>
      </c>
      <c r="I334">
        <v>1251.6391602000001</v>
      </c>
      <c r="J334">
        <v>1212.1260986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75.457648000000006</v>
      </c>
      <c r="B335" s="1">
        <f>DATE(2010,7,15) + TIME(10,59,0)</f>
        <v>40374.457638888889</v>
      </c>
      <c r="C335">
        <v>90</v>
      </c>
      <c r="D335">
        <v>89.897010803000001</v>
      </c>
      <c r="E335">
        <v>30</v>
      </c>
      <c r="F335">
        <v>14.998317718999999</v>
      </c>
      <c r="G335">
        <v>1385.4575195</v>
      </c>
      <c r="H335">
        <v>1372.8599853999999</v>
      </c>
      <c r="I335">
        <v>1251.6551514</v>
      </c>
      <c r="J335">
        <v>1212.1408690999999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76.158441999999994</v>
      </c>
      <c r="B336" s="1">
        <f>DATE(2010,7,16) + TIME(3,48,9)</f>
        <v>40375.158437500002</v>
      </c>
      <c r="C336">
        <v>90</v>
      </c>
      <c r="D336">
        <v>89.897094726999995</v>
      </c>
      <c r="E336">
        <v>30</v>
      </c>
      <c r="F336">
        <v>14.998331070000001</v>
      </c>
      <c r="G336">
        <v>1385.3905029</v>
      </c>
      <c r="H336">
        <v>1372.7978516000001</v>
      </c>
      <c r="I336">
        <v>1251.6713867000001</v>
      </c>
      <c r="J336">
        <v>1212.1558838000001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76.862426999999997</v>
      </c>
      <c r="B337" s="1">
        <f>DATE(2010,7,16) + TIME(20,41,53)</f>
        <v>40375.86241898148</v>
      </c>
      <c r="C337">
        <v>90</v>
      </c>
      <c r="D337">
        <v>89.897178650000001</v>
      </c>
      <c r="E337">
        <v>30</v>
      </c>
      <c r="F337">
        <v>14.998344421000001</v>
      </c>
      <c r="G337">
        <v>1385.3236084</v>
      </c>
      <c r="H337">
        <v>1372.7358397999999</v>
      </c>
      <c r="I337">
        <v>1251.6878661999999</v>
      </c>
      <c r="J337">
        <v>1212.1711425999999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77.566856999999999</v>
      </c>
      <c r="B338" s="1">
        <f>DATE(2010,7,17) + TIME(13,36,16)</f>
        <v>40376.566851851851</v>
      </c>
      <c r="C338">
        <v>90</v>
      </c>
      <c r="D338">
        <v>89.897262573000006</v>
      </c>
      <c r="E338">
        <v>30</v>
      </c>
      <c r="F338">
        <v>14.998357773</v>
      </c>
      <c r="G338">
        <v>1385.2569579999999</v>
      </c>
      <c r="H338">
        <v>1372.6740723</v>
      </c>
      <c r="I338">
        <v>1251.7044678</v>
      </c>
      <c r="J338">
        <v>1212.1864014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78.272651999999994</v>
      </c>
      <c r="B339" s="1">
        <f>DATE(2010,7,18) + TIME(6,32,37)</f>
        <v>40377.272650462961</v>
      </c>
      <c r="C339">
        <v>90</v>
      </c>
      <c r="D339">
        <v>89.897346497000001</v>
      </c>
      <c r="E339">
        <v>30</v>
      </c>
      <c r="F339">
        <v>14.998370170999999</v>
      </c>
      <c r="G339">
        <v>1385.190918</v>
      </c>
      <c r="H339">
        <v>1372.6126709</v>
      </c>
      <c r="I339">
        <v>1251.7213135</v>
      </c>
      <c r="J339">
        <v>1212.2019043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78.980720000000005</v>
      </c>
      <c r="B340" s="1">
        <f>DATE(2010,7,18) + TIME(23,32,14)</f>
        <v>40377.980717592596</v>
      </c>
      <c r="C340">
        <v>90</v>
      </c>
      <c r="D340">
        <v>89.897430420000006</v>
      </c>
      <c r="E340">
        <v>30</v>
      </c>
      <c r="F340">
        <v>14.998383521999999</v>
      </c>
      <c r="G340">
        <v>1385.1251221</v>
      </c>
      <c r="H340">
        <v>1372.5517577999999</v>
      </c>
      <c r="I340">
        <v>1251.7382812000001</v>
      </c>
      <c r="J340">
        <v>1212.2175293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79.691967000000005</v>
      </c>
      <c r="B341" s="1">
        <f>DATE(2010,7,19) + TIME(16,36,25)</f>
        <v>40378.69195601852</v>
      </c>
      <c r="C341">
        <v>90</v>
      </c>
      <c r="D341">
        <v>89.897521972999996</v>
      </c>
      <c r="E341">
        <v>30</v>
      </c>
      <c r="F341">
        <v>14.998396873000001</v>
      </c>
      <c r="G341">
        <v>1385.0596923999999</v>
      </c>
      <c r="H341">
        <v>1372.4910889</v>
      </c>
      <c r="I341">
        <v>1251.7553711</v>
      </c>
      <c r="J341">
        <v>1212.2332764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80.407342</v>
      </c>
      <c r="B342" s="1">
        <f>DATE(2010,7,20) + TIME(9,46,34)</f>
        <v>40379.407337962963</v>
      </c>
      <c r="C342">
        <v>90</v>
      </c>
      <c r="D342">
        <v>89.897605896000002</v>
      </c>
      <c r="E342">
        <v>30</v>
      </c>
      <c r="F342">
        <v>14.998409271</v>
      </c>
      <c r="G342">
        <v>1384.9946289</v>
      </c>
      <c r="H342">
        <v>1372.4306641000001</v>
      </c>
      <c r="I342">
        <v>1251.7727050999999</v>
      </c>
      <c r="J342">
        <v>1212.2492675999999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81.127979999999994</v>
      </c>
      <c r="B343" s="1">
        <f>DATE(2010,7,21) + TIME(3,4,17)</f>
        <v>40380.127974537034</v>
      </c>
      <c r="C343">
        <v>90</v>
      </c>
      <c r="D343">
        <v>89.897697449000006</v>
      </c>
      <c r="E343">
        <v>30</v>
      </c>
      <c r="F343">
        <v>14.998422623</v>
      </c>
      <c r="G343">
        <v>1384.9295654</v>
      </c>
      <c r="H343">
        <v>1372.3703613</v>
      </c>
      <c r="I343">
        <v>1251.7902832</v>
      </c>
      <c r="J343">
        <v>1212.2653809000001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81.854533000000004</v>
      </c>
      <c r="B344" s="1">
        <f>DATE(2010,7,21) + TIME(20,30,31)</f>
        <v>40380.854525462964</v>
      </c>
      <c r="C344">
        <v>90</v>
      </c>
      <c r="D344">
        <v>89.897781371999997</v>
      </c>
      <c r="E344">
        <v>30</v>
      </c>
      <c r="F344">
        <v>14.998435974</v>
      </c>
      <c r="G344">
        <v>1384.864624</v>
      </c>
      <c r="H344">
        <v>1372.3101807</v>
      </c>
      <c r="I344">
        <v>1251.8081055</v>
      </c>
      <c r="J344">
        <v>1212.2818603999999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82.587874999999997</v>
      </c>
      <c r="B345" s="1">
        <f>DATE(2010,7,22) + TIME(14,6,32)</f>
        <v>40381.587870370371</v>
      </c>
      <c r="C345">
        <v>90</v>
      </c>
      <c r="D345">
        <v>89.897872925000001</v>
      </c>
      <c r="E345">
        <v>30</v>
      </c>
      <c r="F345">
        <v>14.998449325999999</v>
      </c>
      <c r="G345">
        <v>1384.7996826000001</v>
      </c>
      <c r="H345">
        <v>1372.2498779</v>
      </c>
      <c r="I345">
        <v>1251.8261719</v>
      </c>
      <c r="J345">
        <v>1212.2984618999999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83.328963999999999</v>
      </c>
      <c r="B346" s="1">
        <f>DATE(2010,7,23) + TIME(7,53,42)</f>
        <v>40382.328958333332</v>
      </c>
      <c r="C346">
        <v>90</v>
      </c>
      <c r="D346">
        <v>89.897964478000006</v>
      </c>
      <c r="E346">
        <v>30</v>
      </c>
      <c r="F346">
        <v>14.998462676999999</v>
      </c>
      <c r="G346">
        <v>1384.7346190999999</v>
      </c>
      <c r="H346">
        <v>1372.1895752</v>
      </c>
      <c r="I346">
        <v>1251.8446045000001</v>
      </c>
      <c r="J346">
        <v>1212.3154297000001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83.702922000000001</v>
      </c>
      <c r="B347" s="1">
        <f>DATE(2010,7,23) + TIME(16,52,12)</f>
        <v>40382.702916666669</v>
      </c>
      <c r="C347">
        <v>90</v>
      </c>
      <c r="D347">
        <v>89.898002625000004</v>
      </c>
      <c r="E347">
        <v>30</v>
      </c>
      <c r="F347">
        <v>14.998472214</v>
      </c>
      <c r="G347">
        <v>1384.6690673999999</v>
      </c>
      <c r="H347">
        <v>1372.1286620999999</v>
      </c>
      <c r="I347">
        <v>1251.8629149999999</v>
      </c>
      <c r="J347">
        <v>1212.3321533000001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84.076879000000005</v>
      </c>
      <c r="B348" s="1">
        <f>DATE(2010,7,24) + TIME(1,50,42)</f>
        <v>40383.076874999999</v>
      </c>
      <c r="C348">
        <v>90</v>
      </c>
      <c r="D348">
        <v>89.898040770999998</v>
      </c>
      <c r="E348">
        <v>30</v>
      </c>
      <c r="F348">
        <v>14.998480796999999</v>
      </c>
      <c r="G348">
        <v>1384.6356201000001</v>
      </c>
      <c r="H348">
        <v>1372.0976562000001</v>
      </c>
      <c r="I348">
        <v>1251.8726807</v>
      </c>
      <c r="J348">
        <v>1212.3410644999999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84.450835999999995</v>
      </c>
      <c r="B349" s="1">
        <f>DATE(2010,7,24) + TIME(10,49,12)</f>
        <v>40383.450833333336</v>
      </c>
      <c r="C349">
        <v>90</v>
      </c>
      <c r="D349">
        <v>89.898086547999995</v>
      </c>
      <c r="E349">
        <v>30</v>
      </c>
      <c r="F349">
        <v>14.998488426</v>
      </c>
      <c r="G349">
        <v>1384.6029053</v>
      </c>
      <c r="H349">
        <v>1372.0672606999999</v>
      </c>
      <c r="I349">
        <v>1251.8823242000001</v>
      </c>
      <c r="J349">
        <v>1212.3498535000001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84.824793999999997</v>
      </c>
      <c r="B350" s="1">
        <f>DATE(2010,7,24) + TIME(19,47,42)</f>
        <v>40383.824791666666</v>
      </c>
      <c r="C350">
        <v>90</v>
      </c>
      <c r="D350">
        <v>89.898132324000002</v>
      </c>
      <c r="E350">
        <v>30</v>
      </c>
      <c r="F350">
        <v>14.998497008999999</v>
      </c>
      <c r="G350">
        <v>1384.5704346</v>
      </c>
      <c r="H350">
        <v>1372.0371094</v>
      </c>
      <c r="I350">
        <v>1251.8919678</v>
      </c>
      <c r="J350">
        <v>1212.3586425999999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85.198751000000001</v>
      </c>
      <c r="B351" s="1">
        <f>DATE(2010,7,25) + TIME(4,46,12)</f>
        <v>40384.198750000003</v>
      </c>
      <c r="C351">
        <v>90</v>
      </c>
      <c r="D351">
        <v>89.898178100999999</v>
      </c>
      <c r="E351">
        <v>30</v>
      </c>
      <c r="F351">
        <v>14.998503684999999</v>
      </c>
      <c r="G351">
        <v>1384.5379639</v>
      </c>
      <c r="H351">
        <v>1372.0070800999999</v>
      </c>
      <c r="I351">
        <v>1251.9016113</v>
      </c>
      <c r="J351">
        <v>1212.3675536999999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85.572708000000006</v>
      </c>
      <c r="B352" s="1">
        <f>DATE(2010,7,25) + TIME(13,44,42)</f>
        <v>40384.572708333333</v>
      </c>
      <c r="C352">
        <v>90</v>
      </c>
      <c r="D352">
        <v>89.898223877000007</v>
      </c>
      <c r="E352">
        <v>30</v>
      </c>
      <c r="F352">
        <v>14.998511314</v>
      </c>
      <c r="G352">
        <v>1384.5057373</v>
      </c>
      <c r="H352">
        <v>1371.9770507999999</v>
      </c>
      <c r="I352">
        <v>1251.9113769999999</v>
      </c>
      <c r="J352">
        <v>1212.3764647999999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85.946665999999993</v>
      </c>
      <c r="B353" s="1">
        <f>DATE(2010,7,25) + TIME(22,43,11)</f>
        <v>40384.946655092594</v>
      </c>
      <c r="C353">
        <v>90</v>
      </c>
      <c r="D353">
        <v>89.898269653</v>
      </c>
      <c r="E353">
        <v>30</v>
      </c>
      <c r="F353">
        <v>14.998518944000001</v>
      </c>
      <c r="G353">
        <v>1384.4736327999999</v>
      </c>
      <c r="H353">
        <v>1371.9472656</v>
      </c>
      <c r="I353">
        <v>1251.9211425999999</v>
      </c>
      <c r="J353">
        <v>1212.3854980000001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86.320622999999998</v>
      </c>
      <c r="B354" s="1">
        <f>DATE(2010,7,26) + TIME(7,41,41)</f>
        <v>40385.320613425924</v>
      </c>
      <c r="C354">
        <v>90</v>
      </c>
      <c r="D354">
        <v>89.898315429999997</v>
      </c>
      <c r="E354">
        <v>30</v>
      </c>
      <c r="F354">
        <v>14.998526572999999</v>
      </c>
      <c r="G354">
        <v>1384.4416504000001</v>
      </c>
      <c r="H354">
        <v>1371.9176024999999</v>
      </c>
      <c r="I354">
        <v>1251.9310303</v>
      </c>
      <c r="J354">
        <v>1212.3944091999999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86.694580999999999</v>
      </c>
      <c r="B355" s="1">
        <f>DATE(2010,7,26) + TIME(16,40,11)</f>
        <v>40385.694571759261</v>
      </c>
      <c r="C355">
        <v>90</v>
      </c>
      <c r="D355">
        <v>89.898353576999995</v>
      </c>
      <c r="E355">
        <v>30</v>
      </c>
      <c r="F355">
        <v>14.998533248999999</v>
      </c>
      <c r="G355">
        <v>1384.4097899999999</v>
      </c>
      <c r="H355">
        <v>1371.8879394999999</v>
      </c>
      <c r="I355">
        <v>1251.9407959</v>
      </c>
      <c r="J355">
        <v>1212.4034423999999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87.068538000000004</v>
      </c>
      <c r="B356" s="1">
        <f>DATE(2010,7,27) + TIME(1,38,41)</f>
        <v>40386.068530092591</v>
      </c>
      <c r="C356">
        <v>90</v>
      </c>
      <c r="D356">
        <v>89.898406981999997</v>
      </c>
      <c r="E356">
        <v>30</v>
      </c>
      <c r="F356">
        <v>14.998540878</v>
      </c>
      <c r="G356">
        <v>1384.3779297000001</v>
      </c>
      <c r="H356">
        <v>1371.8583983999999</v>
      </c>
      <c r="I356">
        <v>1251.9506836</v>
      </c>
      <c r="J356">
        <v>1212.4124756000001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87.442494999999994</v>
      </c>
      <c r="B357" s="1">
        <f>DATE(2010,7,27) + TIME(10,37,11)</f>
        <v>40386.442488425928</v>
      </c>
      <c r="C357">
        <v>90</v>
      </c>
      <c r="D357">
        <v>89.898452758999994</v>
      </c>
      <c r="E357">
        <v>30</v>
      </c>
      <c r="F357">
        <v>14.998548508000001</v>
      </c>
      <c r="G357">
        <v>1384.3463135</v>
      </c>
      <c r="H357">
        <v>1371.8291016000001</v>
      </c>
      <c r="I357">
        <v>1251.9606934000001</v>
      </c>
      <c r="J357">
        <v>1212.4216309000001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87.816452999999996</v>
      </c>
      <c r="B358" s="1">
        <f>DATE(2010,7,27) + TIME(19,35,41)</f>
        <v>40386.816446759258</v>
      </c>
      <c r="C358">
        <v>90</v>
      </c>
      <c r="D358">
        <v>89.898498535000002</v>
      </c>
      <c r="E358">
        <v>30</v>
      </c>
      <c r="F358">
        <v>14.998555183000001</v>
      </c>
      <c r="G358">
        <v>1384.3148193</v>
      </c>
      <c r="H358">
        <v>1371.7998047000001</v>
      </c>
      <c r="I358">
        <v>1251.9707031</v>
      </c>
      <c r="J358">
        <v>1212.4306641000001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88.19041</v>
      </c>
      <c r="B359" s="1">
        <f>DATE(2010,7,28) + TIME(4,34,11)</f>
        <v>40387.190405092595</v>
      </c>
      <c r="C359">
        <v>90</v>
      </c>
      <c r="D359">
        <v>89.898544311999999</v>
      </c>
      <c r="E359">
        <v>30</v>
      </c>
      <c r="F359">
        <v>14.998562812999999</v>
      </c>
      <c r="G359">
        <v>1384.2834473</v>
      </c>
      <c r="H359">
        <v>1371.7706298999999</v>
      </c>
      <c r="I359">
        <v>1251.9807129000001</v>
      </c>
      <c r="J359">
        <v>1212.4399414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88.564367000000004</v>
      </c>
      <c r="B360" s="1">
        <f>DATE(2010,7,28) + TIME(13,32,41)</f>
        <v>40387.564363425925</v>
      </c>
      <c r="C360">
        <v>90</v>
      </c>
      <c r="D360">
        <v>89.898590088000006</v>
      </c>
      <c r="E360">
        <v>30</v>
      </c>
      <c r="F360">
        <v>14.998570442</v>
      </c>
      <c r="G360">
        <v>1384.2521973</v>
      </c>
      <c r="H360">
        <v>1371.7415771000001</v>
      </c>
      <c r="I360">
        <v>1251.9908447</v>
      </c>
      <c r="J360">
        <v>1212.4490966999999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88.938325000000006</v>
      </c>
      <c r="B361" s="1">
        <f>DATE(2010,7,28) + TIME(22,31,11)</f>
        <v>40387.938321759262</v>
      </c>
      <c r="C361">
        <v>90</v>
      </c>
      <c r="D361">
        <v>89.898635863999999</v>
      </c>
      <c r="E361">
        <v>30</v>
      </c>
      <c r="F361">
        <v>14.998578072000001</v>
      </c>
      <c r="G361">
        <v>1384.2209473</v>
      </c>
      <c r="H361">
        <v>1371.7126464999999</v>
      </c>
      <c r="I361">
        <v>1252.0008545000001</v>
      </c>
      <c r="J361">
        <v>1212.458374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89.312281999999996</v>
      </c>
      <c r="B362" s="1">
        <f>DATE(2010,7,29) + TIME(7,29,41)</f>
        <v>40388.312280092592</v>
      </c>
      <c r="C362">
        <v>90</v>
      </c>
      <c r="D362">
        <v>89.898681640999996</v>
      </c>
      <c r="E362">
        <v>30</v>
      </c>
      <c r="F362">
        <v>14.998585701</v>
      </c>
      <c r="G362">
        <v>1384.1899414</v>
      </c>
      <c r="H362">
        <v>1371.6838379000001</v>
      </c>
      <c r="I362">
        <v>1252.0111084</v>
      </c>
      <c r="J362">
        <v>1212.4676514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89.686239</v>
      </c>
      <c r="B363" s="1">
        <f>DATE(2010,7,29) + TIME(16,28,11)</f>
        <v>40388.686238425929</v>
      </c>
      <c r="C363">
        <v>90</v>
      </c>
      <c r="D363">
        <v>89.898727417000003</v>
      </c>
      <c r="E363">
        <v>30</v>
      </c>
      <c r="F363">
        <v>14.99859333</v>
      </c>
      <c r="G363">
        <v>1384.1589355000001</v>
      </c>
      <c r="H363">
        <v>1371.6550293</v>
      </c>
      <c r="I363">
        <v>1252.0212402</v>
      </c>
      <c r="J363">
        <v>1212.4769286999999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90.060197000000002</v>
      </c>
      <c r="B364" s="1">
        <f>DATE(2010,7,30) + TIME(1,26,40)</f>
        <v>40389.060185185182</v>
      </c>
      <c r="C364">
        <v>90</v>
      </c>
      <c r="D364">
        <v>89.898773192999997</v>
      </c>
      <c r="E364">
        <v>30</v>
      </c>
      <c r="F364">
        <v>14.998600959999999</v>
      </c>
      <c r="G364">
        <v>1384.1281738</v>
      </c>
      <c r="H364">
        <v>1371.6264647999999</v>
      </c>
      <c r="I364">
        <v>1252.0314940999999</v>
      </c>
      <c r="J364">
        <v>1212.4862060999999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90.434154000000007</v>
      </c>
      <c r="B365" s="1">
        <f>DATE(2010,7,30) + TIME(10,25,10)</f>
        <v>40389.43414351852</v>
      </c>
      <c r="C365">
        <v>90</v>
      </c>
      <c r="D365">
        <v>89.898818969999994</v>
      </c>
      <c r="E365">
        <v>30</v>
      </c>
      <c r="F365">
        <v>14.998609543000001</v>
      </c>
      <c r="G365">
        <v>1384.0974120999999</v>
      </c>
      <c r="H365">
        <v>1371.5979004000001</v>
      </c>
      <c r="I365">
        <v>1252.0418701000001</v>
      </c>
      <c r="J365">
        <v>1212.4956055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90.808110999999997</v>
      </c>
      <c r="B366" s="1">
        <f>DATE(2010,7,30) + TIME(19,23,40)</f>
        <v>40389.80810185185</v>
      </c>
      <c r="C366">
        <v>90</v>
      </c>
      <c r="D366">
        <v>89.898864746000001</v>
      </c>
      <c r="E366">
        <v>30</v>
      </c>
      <c r="F366">
        <v>14.998617171999999</v>
      </c>
      <c r="G366">
        <v>1384.0667725000001</v>
      </c>
      <c r="H366">
        <v>1371.5694579999999</v>
      </c>
      <c r="I366">
        <v>1252.0522461</v>
      </c>
      <c r="J366">
        <v>1212.5051269999999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91.556026000000003</v>
      </c>
      <c r="B367" s="1">
        <f>DATE(2010,7,31) + TIME(13,20,40)</f>
        <v>40390.556018518517</v>
      </c>
      <c r="C367">
        <v>90</v>
      </c>
      <c r="D367">
        <v>89.898963928000001</v>
      </c>
      <c r="E367">
        <v>30</v>
      </c>
      <c r="F367">
        <v>14.99862957</v>
      </c>
      <c r="G367">
        <v>1384.0368652</v>
      </c>
      <c r="H367">
        <v>1371.5417480000001</v>
      </c>
      <c r="I367">
        <v>1252.0629882999999</v>
      </c>
      <c r="J367">
        <v>1212.5148925999999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92</v>
      </c>
      <c r="B368" s="1">
        <f>DATE(2010,8,1) + TIME(0,0,0)</f>
        <v>40391</v>
      </c>
      <c r="C368">
        <v>90</v>
      </c>
      <c r="D368">
        <v>89.899017334000007</v>
      </c>
      <c r="E368">
        <v>30</v>
      </c>
      <c r="F368">
        <v>14.998641014</v>
      </c>
      <c r="G368">
        <v>1383.9764404</v>
      </c>
      <c r="H368">
        <v>1371.4855957</v>
      </c>
      <c r="I368">
        <v>1252.0832519999999</v>
      </c>
      <c r="J368">
        <v>1212.5333252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92.749855999999994</v>
      </c>
      <c r="B369" s="1">
        <f>DATE(2010,8,1) + TIME(17,59,47)</f>
        <v>40391.749849537038</v>
      </c>
      <c r="C369">
        <v>90</v>
      </c>
      <c r="D369">
        <v>89.899116516000007</v>
      </c>
      <c r="E369">
        <v>30</v>
      </c>
      <c r="F369">
        <v>14.998655318999999</v>
      </c>
      <c r="G369">
        <v>1383.9405518000001</v>
      </c>
      <c r="H369">
        <v>1371.4523925999999</v>
      </c>
      <c r="I369">
        <v>1252.0963135</v>
      </c>
      <c r="J369">
        <v>1212.5452881000001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93.512855000000002</v>
      </c>
      <c r="B370" s="1">
        <f>DATE(2010,8,2) + TIME(12,18,30)</f>
        <v>40392.51284722222</v>
      </c>
      <c r="C370">
        <v>90</v>
      </c>
      <c r="D370">
        <v>89.899215698000006</v>
      </c>
      <c r="E370">
        <v>30</v>
      </c>
      <c r="F370">
        <v>14.998671531999999</v>
      </c>
      <c r="G370">
        <v>1383.8807373</v>
      </c>
      <c r="H370">
        <v>1371.3968506000001</v>
      </c>
      <c r="I370">
        <v>1252.1174315999999</v>
      </c>
      <c r="J370">
        <v>1212.5644531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94.285210000000006</v>
      </c>
      <c r="B371" s="1">
        <f>DATE(2010,8,3) + TIME(6,50,42)</f>
        <v>40393.285208333335</v>
      </c>
      <c r="C371">
        <v>90</v>
      </c>
      <c r="D371">
        <v>89.899307250999996</v>
      </c>
      <c r="E371">
        <v>30</v>
      </c>
      <c r="F371">
        <v>14.998689650999999</v>
      </c>
      <c r="G371">
        <v>1383.8200684000001</v>
      </c>
      <c r="H371">
        <v>1371.3405762</v>
      </c>
      <c r="I371">
        <v>1252.1392822</v>
      </c>
      <c r="J371">
        <v>1212.5842285000001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95.067994999999996</v>
      </c>
      <c r="B372" s="1">
        <f>DATE(2010,8,4) + TIME(1,37,54)</f>
        <v>40394.067986111113</v>
      </c>
      <c r="C372">
        <v>90</v>
      </c>
      <c r="D372">
        <v>89.899406432999996</v>
      </c>
      <c r="E372">
        <v>30</v>
      </c>
      <c r="F372">
        <v>14.998710632</v>
      </c>
      <c r="G372">
        <v>1383.7591553</v>
      </c>
      <c r="H372">
        <v>1371.2839355000001</v>
      </c>
      <c r="I372">
        <v>1252.161499</v>
      </c>
      <c r="J372">
        <v>1212.6044922000001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95.461161000000004</v>
      </c>
      <c r="B373" s="1">
        <f>DATE(2010,8,4) + TIME(11,4,4)</f>
        <v>40394.461157407408</v>
      </c>
      <c r="C373">
        <v>90</v>
      </c>
      <c r="D373">
        <v>89.899444579999994</v>
      </c>
      <c r="E373">
        <v>30</v>
      </c>
      <c r="F373">
        <v>14.998724937</v>
      </c>
      <c r="G373">
        <v>1383.6973877</v>
      </c>
      <c r="H373">
        <v>1371.2266846</v>
      </c>
      <c r="I373">
        <v>1252.1838379000001</v>
      </c>
      <c r="J373">
        <v>1212.6245117000001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95.854326999999998</v>
      </c>
      <c r="B374" s="1">
        <f>DATE(2010,8,4) + TIME(20,30,13)</f>
        <v>40394.854317129626</v>
      </c>
      <c r="C374">
        <v>90</v>
      </c>
      <c r="D374">
        <v>89.899490356000001</v>
      </c>
      <c r="E374">
        <v>30</v>
      </c>
      <c r="F374">
        <v>14.998739242999999</v>
      </c>
      <c r="G374">
        <v>1383.6660156</v>
      </c>
      <c r="H374">
        <v>1371.1973877</v>
      </c>
      <c r="I374">
        <v>1252.1955565999999</v>
      </c>
      <c r="J374">
        <v>1212.6352539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96.247493000000006</v>
      </c>
      <c r="B375" s="1">
        <f>DATE(2010,8,5) + TIME(5,56,23)</f>
        <v>40395.247488425928</v>
      </c>
      <c r="C375">
        <v>90</v>
      </c>
      <c r="D375">
        <v>89.899536132999998</v>
      </c>
      <c r="E375">
        <v>30</v>
      </c>
      <c r="F375">
        <v>14.998752594000001</v>
      </c>
      <c r="G375">
        <v>1383.635376</v>
      </c>
      <c r="H375">
        <v>1371.1689452999999</v>
      </c>
      <c r="I375">
        <v>1252.2071533000001</v>
      </c>
      <c r="J375">
        <v>1212.6457519999999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96.640658999999999</v>
      </c>
      <c r="B376" s="1">
        <f>DATE(2010,8,5) + TIME(15,22,32)</f>
        <v>40395.640648148146</v>
      </c>
      <c r="C376">
        <v>90</v>
      </c>
      <c r="D376">
        <v>89.899581909000005</v>
      </c>
      <c r="E376">
        <v>30</v>
      </c>
      <c r="F376">
        <v>14.998765945000001</v>
      </c>
      <c r="G376">
        <v>1383.6048584</v>
      </c>
      <c r="H376">
        <v>1371.140625</v>
      </c>
      <c r="I376">
        <v>1252.2188721</v>
      </c>
      <c r="J376">
        <v>1212.6563721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97.033824999999993</v>
      </c>
      <c r="B377" s="1">
        <f>DATE(2010,8,6) + TIME(0,48,42)</f>
        <v>40396.033819444441</v>
      </c>
      <c r="C377">
        <v>90</v>
      </c>
      <c r="D377">
        <v>89.899635314999998</v>
      </c>
      <c r="E377">
        <v>30</v>
      </c>
      <c r="F377">
        <v>14.998780250999999</v>
      </c>
      <c r="G377">
        <v>1383.5744629000001</v>
      </c>
      <c r="H377">
        <v>1371.1123047000001</v>
      </c>
      <c r="I377">
        <v>1252.2307129000001</v>
      </c>
      <c r="J377">
        <v>1212.6669922000001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97.426991999999998</v>
      </c>
      <c r="B378" s="1">
        <f>DATE(2010,8,6) + TIME(10,14,52)</f>
        <v>40396.426990740743</v>
      </c>
      <c r="C378">
        <v>90</v>
      </c>
      <c r="D378">
        <v>89.899681091000005</v>
      </c>
      <c r="E378">
        <v>30</v>
      </c>
      <c r="F378">
        <v>14.998794556</v>
      </c>
      <c r="G378">
        <v>1383.5441894999999</v>
      </c>
      <c r="H378">
        <v>1371.0842285000001</v>
      </c>
      <c r="I378">
        <v>1252.2424315999999</v>
      </c>
      <c r="J378">
        <v>1212.6776123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97.820158000000006</v>
      </c>
      <c r="B379" s="1">
        <f>DATE(2010,8,6) + TIME(19,41,1)</f>
        <v>40396.820150462961</v>
      </c>
      <c r="C379">
        <v>90</v>
      </c>
      <c r="D379">
        <v>89.899726868000002</v>
      </c>
      <c r="E379">
        <v>30</v>
      </c>
      <c r="F379">
        <v>14.998808861000001</v>
      </c>
      <c r="G379">
        <v>1383.5140381000001</v>
      </c>
      <c r="H379">
        <v>1371.0561522999999</v>
      </c>
      <c r="I379">
        <v>1252.2543945</v>
      </c>
      <c r="J379">
        <v>1212.6883545000001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98.213324</v>
      </c>
      <c r="B380" s="1">
        <f>DATE(2010,8,7) + TIME(5,7,11)</f>
        <v>40397.213321759256</v>
      </c>
      <c r="C380">
        <v>90</v>
      </c>
      <c r="D380">
        <v>89.899772643999995</v>
      </c>
      <c r="E380">
        <v>30</v>
      </c>
      <c r="F380">
        <v>14.99882412</v>
      </c>
      <c r="G380">
        <v>1383.4838867000001</v>
      </c>
      <c r="H380">
        <v>1371.0281981999999</v>
      </c>
      <c r="I380">
        <v>1252.2662353999999</v>
      </c>
      <c r="J380">
        <v>1212.6992187999999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98.606489999999994</v>
      </c>
      <c r="B381" s="1">
        <f>DATE(2010,8,7) + TIME(14,33,20)</f>
        <v>40397.606481481482</v>
      </c>
      <c r="C381">
        <v>90</v>
      </c>
      <c r="D381">
        <v>89.899826050000001</v>
      </c>
      <c r="E381">
        <v>30</v>
      </c>
      <c r="F381">
        <v>14.998839378</v>
      </c>
      <c r="G381">
        <v>1383.4539795000001</v>
      </c>
      <c r="H381">
        <v>1371.0003661999999</v>
      </c>
      <c r="I381">
        <v>1252.2783202999999</v>
      </c>
      <c r="J381">
        <v>1212.7099608999999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98.999656000000002</v>
      </c>
      <c r="B382" s="1">
        <f>DATE(2010,8,7) + TIME(23,59,30)</f>
        <v>40397.999652777777</v>
      </c>
      <c r="C382">
        <v>90</v>
      </c>
      <c r="D382">
        <v>89.899871825999995</v>
      </c>
      <c r="E382">
        <v>30</v>
      </c>
      <c r="F382">
        <v>14.998855591</v>
      </c>
      <c r="G382">
        <v>1383.4240723</v>
      </c>
      <c r="H382">
        <v>1370.9725341999999</v>
      </c>
      <c r="I382">
        <v>1252.2904053</v>
      </c>
      <c r="J382">
        <v>1212.7208252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99.392821999999995</v>
      </c>
      <c r="B383" s="1">
        <f>DATE(2010,8,8) + TIME(9,25,39)</f>
        <v>40398.392812500002</v>
      </c>
      <c r="C383">
        <v>90</v>
      </c>
      <c r="D383">
        <v>89.899917603000006</v>
      </c>
      <c r="E383">
        <v>30</v>
      </c>
      <c r="F383">
        <v>14.998872757000001</v>
      </c>
      <c r="G383">
        <v>1383.3942870999999</v>
      </c>
      <c r="H383">
        <v>1370.9448242000001</v>
      </c>
      <c r="I383">
        <v>1252.3024902</v>
      </c>
      <c r="J383">
        <v>1212.7318115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99.785989000000001</v>
      </c>
      <c r="B384" s="1">
        <f>DATE(2010,8,8) + TIME(18,51,49)</f>
        <v>40398.785983796297</v>
      </c>
      <c r="C384">
        <v>90</v>
      </c>
      <c r="D384">
        <v>89.899971007999994</v>
      </c>
      <c r="E384">
        <v>30</v>
      </c>
      <c r="F384">
        <v>14.998890876999999</v>
      </c>
      <c r="G384">
        <v>1383.364624</v>
      </c>
      <c r="H384">
        <v>1370.9172363</v>
      </c>
      <c r="I384">
        <v>1252.3146973</v>
      </c>
      <c r="J384">
        <v>1212.7427978999999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100.17915499999999</v>
      </c>
      <c r="B385" s="1">
        <f>DATE(2010,8,9) + TIME(4,17,58)</f>
        <v>40399.179143518515</v>
      </c>
      <c r="C385">
        <v>90</v>
      </c>
      <c r="D385">
        <v>89.900016785000005</v>
      </c>
      <c r="E385">
        <v>30</v>
      </c>
      <c r="F385">
        <v>14.99890995</v>
      </c>
      <c r="G385">
        <v>1383.3349608999999</v>
      </c>
      <c r="H385">
        <v>1370.8897704999999</v>
      </c>
      <c r="I385">
        <v>1252.3269043</v>
      </c>
      <c r="J385">
        <v>1212.7537841999999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100.572321</v>
      </c>
      <c r="B386" s="1">
        <f>DATE(2010,8,9) + TIME(13,44,8)</f>
        <v>40399.572314814817</v>
      </c>
      <c r="C386">
        <v>90</v>
      </c>
      <c r="D386">
        <v>89.900070189999994</v>
      </c>
      <c r="E386">
        <v>30</v>
      </c>
      <c r="F386">
        <v>14.998929977</v>
      </c>
      <c r="G386">
        <v>1383.3055420000001</v>
      </c>
      <c r="H386">
        <v>1370.8623047000001</v>
      </c>
      <c r="I386">
        <v>1252.3392334</v>
      </c>
      <c r="J386">
        <v>1212.7648925999999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100.965487</v>
      </c>
      <c r="B387" s="1">
        <f>DATE(2010,8,9) + TIME(23,10,18)</f>
        <v>40399.965486111112</v>
      </c>
      <c r="C387">
        <v>90</v>
      </c>
      <c r="D387">
        <v>89.900115967000005</v>
      </c>
      <c r="E387">
        <v>30</v>
      </c>
      <c r="F387">
        <v>14.998950004999999</v>
      </c>
      <c r="G387">
        <v>1383.2761230000001</v>
      </c>
      <c r="H387">
        <v>1370.8349608999999</v>
      </c>
      <c r="I387">
        <v>1252.3516846</v>
      </c>
      <c r="J387">
        <v>1212.776001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101.358653</v>
      </c>
      <c r="B388" s="1">
        <f>DATE(2010,8,10) + TIME(8,36,27)</f>
        <v>40400.35864583333</v>
      </c>
      <c r="C388">
        <v>90</v>
      </c>
      <c r="D388">
        <v>89.900161742999998</v>
      </c>
      <c r="E388">
        <v>30</v>
      </c>
      <c r="F388">
        <v>14.998971939</v>
      </c>
      <c r="G388">
        <v>1383.2468262</v>
      </c>
      <c r="H388">
        <v>1370.8077393000001</v>
      </c>
      <c r="I388">
        <v>1252.3641356999999</v>
      </c>
      <c r="J388">
        <v>1212.7872314000001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101.751819</v>
      </c>
      <c r="B389" s="1">
        <f>DATE(2010,8,10) + TIME(18,2,37)</f>
        <v>40400.751817129632</v>
      </c>
      <c r="C389">
        <v>90</v>
      </c>
      <c r="D389">
        <v>89.900215149000005</v>
      </c>
      <c r="E389">
        <v>30</v>
      </c>
      <c r="F389">
        <v>14.998994827000001</v>
      </c>
      <c r="G389">
        <v>1383.2176514</v>
      </c>
      <c r="H389">
        <v>1370.7806396000001</v>
      </c>
      <c r="I389">
        <v>1252.3765868999999</v>
      </c>
      <c r="J389">
        <v>1212.7984618999999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102.538152</v>
      </c>
      <c r="B390" s="1">
        <f>DATE(2010,8,11) + TIME(12,54,56)</f>
        <v>40401.538148148145</v>
      </c>
      <c r="C390">
        <v>90</v>
      </c>
      <c r="D390">
        <v>89.900321959999999</v>
      </c>
      <c r="E390">
        <v>30</v>
      </c>
      <c r="F390">
        <v>14.999032021</v>
      </c>
      <c r="G390">
        <v>1383.1890868999999</v>
      </c>
      <c r="H390">
        <v>1370.7540283000001</v>
      </c>
      <c r="I390">
        <v>1252.3896483999999</v>
      </c>
      <c r="J390">
        <v>1212.8101807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103.32586000000001</v>
      </c>
      <c r="B391" s="1">
        <f>DATE(2010,8,12) + TIME(7,49,14)</f>
        <v>40402.325856481482</v>
      </c>
      <c r="C391">
        <v>90</v>
      </c>
      <c r="D391">
        <v>89.900421143000003</v>
      </c>
      <c r="E391">
        <v>30</v>
      </c>
      <c r="F391">
        <v>14.999077797</v>
      </c>
      <c r="G391">
        <v>1383.1315918</v>
      </c>
      <c r="H391">
        <v>1370.7006836</v>
      </c>
      <c r="I391">
        <v>1252.4147949000001</v>
      </c>
      <c r="J391">
        <v>1212.8328856999999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104.12231199999999</v>
      </c>
      <c r="B392" s="1">
        <f>DATE(2010,8,13) + TIME(2,56,7)</f>
        <v>40403.122303240743</v>
      </c>
      <c r="C392">
        <v>90</v>
      </c>
      <c r="D392">
        <v>89.900520325000002</v>
      </c>
      <c r="E392">
        <v>30</v>
      </c>
      <c r="F392">
        <v>14.999133110000001</v>
      </c>
      <c r="G392">
        <v>1383.0739745999999</v>
      </c>
      <c r="H392">
        <v>1370.6470947</v>
      </c>
      <c r="I392">
        <v>1252.4404297000001</v>
      </c>
      <c r="J392">
        <v>1212.8558350000001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104.928557</v>
      </c>
      <c r="B393" s="1">
        <f>DATE(2010,8,13) + TIME(22,17,7)</f>
        <v>40403.928553240738</v>
      </c>
      <c r="C393">
        <v>90</v>
      </c>
      <c r="D393">
        <v>89.900619507000002</v>
      </c>
      <c r="E393">
        <v>30</v>
      </c>
      <c r="F393">
        <v>14.999197005999999</v>
      </c>
      <c r="G393">
        <v>1383.0161132999999</v>
      </c>
      <c r="H393">
        <v>1370.5932617000001</v>
      </c>
      <c r="I393">
        <v>1252.4665527</v>
      </c>
      <c r="J393">
        <v>1212.8792725000001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105.336572</v>
      </c>
      <c r="B394" s="1">
        <f>DATE(2010,8,14) + TIME(8,4,39)</f>
        <v>40404.336562500001</v>
      </c>
      <c r="C394">
        <v>90</v>
      </c>
      <c r="D394">
        <v>89.900657654</v>
      </c>
      <c r="E394">
        <v>30</v>
      </c>
      <c r="F394">
        <v>14.999245644</v>
      </c>
      <c r="G394">
        <v>1382.9576416</v>
      </c>
      <c r="H394">
        <v>1370.5389404</v>
      </c>
      <c r="I394">
        <v>1252.4929199000001</v>
      </c>
      <c r="J394">
        <v>1212.9027100000001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105.744586</v>
      </c>
      <c r="B395" s="1">
        <f>DATE(2010,8,14) + TIME(17,52,12)</f>
        <v>40404.744583333333</v>
      </c>
      <c r="C395">
        <v>90</v>
      </c>
      <c r="D395">
        <v>89.900711060000006</v>
      </c>
      <c r="E395">
        <v>30</v>
      </c>
      <c r="F395">
        <v>14.999293327</v>
      </c>
      <c r="G395">
        <v>1382.9276123</v>
      </c>
      <c r="H395">
        <v>1370.5109863</v>
      </c>
      <c r="I395">
        <v>1252.5068358999999</v>
      </c>
      <c r="J395">
        <v>1212.9152832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106.152601</v>
      </c>
      <c r="B396" s="1">
        <f>DATE(2010,8,15) + TIME(3,39,44)</f>
        <v>40405.152592592596</v>
      </c>
      <c r="C396">
        <v>90</v>
      </c>
      <c r="D396">
        <v>89.900756835999999</v>
      </c>
      <c r="E396">
        <v>30</v>
      </c>
      <c r="F396">
        <v>14.999341964999999</v>
      </c>
      <c r="G396">
        <v>1382.8983154</v>
      </c>
      <c r="H396">
        <v>1370.4836425999999</v>
      </c>
      <c r="I396">
        <v>1252.5207519999999</v>
      </c>
      <c r="J396">
        <v>1212.9276123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106.560616</v>
      </c>
      <c r="B397" s="1">
        <f>DATE(2010,8,15) + TIME(13,27,17)</f>
        <v>40405.560613425929</v>
      </c>
      <c r="C397">
        <v>90</v>
      </c>
      <c r="D397">
        <v>89.900802612000007</v>
      </c>
      <c r="E397">
        <v>30</v>
      </c>
      <c r="F397">
        <v>14.999391556000001</v>
      </c>
      <c r="G397">
        <v>1382.8691406</v>
      </c>
      <c r="H397">
        <v>1370.456543</v>
      </c>
      <c r="I397">
        <v>1252.534668</v>
      </c>
      <c r="J397">
        <v>1212.9400635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106.96863</v>
      </c>
      <c r="B398" s="1">
        <f>DATE(2010,8,15) + TIME(23,14,49)</f>
        <v>40405.968622685185</v>
      </c>
      <c r="C398">
        <v>90</v>
      </c>
      <c r="D398">
        <v>89.900856017999999</v>
      </c>
      <c r="E398">
        <v>30</v>
      </c>
      <c r="F398">
        <v>14.999444007999999</v>
      </c>
      <c r="G398">
        <v>1382.8400879000001</v>
      </c>
      <c r="H398">
        <v>1370.4294434000001</v>
      </c>
      <c r="I398">
        <v>1252.5485839999999</v>
      </c>
      <c r="J398">
        <v>1212.9525146000001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107.376645</v>
      </c>
      <c r="B399" s="1">
        <f>DATE(2010,8,16) + TIME(9,2,22)</f>
        <v>40406.376643518517</v>
      </c>
      <c r="C399">
        <v>90</v>
      </c>
      <c r="D399">
        <v>89.900901794000006</v>
      </c>
      <c r="E399">
        <v>30</v>
      </c>
      <c r="F399">
        <v>14.999498366999999</v>
      </c>
      <c r="G399">
        <v>1382.8110352000001</v>
      </c>
      <c r="H399">
        <v>1370.4024658000001</v>
      </c>
      <c r="I399">
        <v>1252.5627440999999</v>
      </c>
      <c r="J399">
        <v>1212.9650879000001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107.78466</v>
      </c>
      <c r="B400" s="1">
        <f>DATE(2010,8,16) + TIME(18,49,54)</f>
        <v>40406.78465277778</v>
      </c>
      <c r="C400">
        <v>90</v>
      </c>
      <c r="D400">
        <v>89.900955199999999</v>
      </c>
      <c r="E400">
        <v>30</v>
      </c>
      <c r="F400">
        <v>14.999556541</v>
      </c>
      <c r="G400">
        <v>1382.7821045000001</v>
      </c>
      <c r="H400">
        <v>1370.3756103999999</v>
      </c>
      <c r="I400">
        <v>1252.5769043</v>
      </c>
      <c r="J400">
        <v>1212.9777832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108.192674</v>
      </c>
      <c r="B401" s="1">
        <f>DATE(2010,8,17) + TIME(4,37,27)</f>
        <v>40407.192673611113</v>
      </c>
      <c r="C401">
        <v>90</v>
      </c>
      <c r="D401">
        <v>89.901008606000005</v>
      </c>
      <c r="E401">
        <v>30</v>
      </c>
      <c r="F401">
        <v>14.999617577</v>
      </c>
      <c r="G401">
        <v>1382.7532959</v>
      </c>
      <c r="H401">
        <v>1370.3487548999999</v>
      </c>
      <c r="I401">
        <v>1252.5911865</v>
      </c>
      <c r="J401">
        <v>1212.9904785000001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108.600689</v>
      </c>
      <c r="B402" s="1">
        <f>DATE(2010,8,17) + TIME(14,24,59)</f>
        <v>40407.600682870368</v>
      </c>
      <c r="C402">
        <v>90</v>
      </c>
      <c r="D402">
        <v>89.901054381999998</v>
      </c>
      <c r="E402">
        <v>30</v>
      </c>
      <c r="F402">
        <v>14.999682426</v>
      </c>
      <c r="G402">
        <v>1382.7246094</v>
      </c>
      <c r="H402">
        <v>1370.3220214999999</v>
      </c>
      <c r="I402">
        <v>1252.6055908000001</v>
      </c>
      <c r="J402">
        <v>1213.0032959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109.00870399999999</v>
      </c>
      <c r="B403" s="1">
        <f>DATE(2010,8,18) + TIME(0,12,32)</f>
        <v>40408.008703703701</v>
      </c>
      <c r="C403">
        <v>90</v>
      </c>
      <c r="D403">
        <v>89.901107788000004</v>
      </c>
      <c r="E403">
        <v>30</v>
      </c>
      <c r="F403">
        <v>14.999751091</v>
      </c>
      <c r="G403">
        <v>1382.6959228999999</v>
      </c>
      <c r="H403">
        <v>1370.2952881000001</v>
      </c>
      <c r="I403">
        <v>1252.6199951000001</v>
      </c>
      <c r="J403">
        <v>1213.0161132999999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109.416718</v>
      </c>
      <c r="B404" s="1">
        <f>DATE(2010,8,18) + TIME(10,0,4)</f>
        <v>40408.416712962964</v>
      </c>
      <c r="C404">
        <v>90</v>
      </c>
      <c r="D404">
        <v>89.901153563999998</v>
      </c>
      <c r="E404">
        <v>30</v>
      </c>
      <c r="F404">
        <v>14.99982357</v>
      </c>
      <c r="G404">
        <v>1382.6673584</v>
      </c>
      <c r="H404">
        <v>1370.2686768000001</v>
      </c>
      <c r="I404">
        <v>1252.6345214999999</v>
      </c>
      <c r="J404">
        <v>1213.0290527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109.82473299999999</v>
      </c>
      <c r="B405" s="1">
        <f>DATE(2010,8,18) + TIME(19,47,36)</f>
        <v>40408.82472222222</v>
      </c>
      <c r="C405">
        <v>90</v>
      </c>
      <c r="D405">
        <v>89.901206970000004</v>
      </c>
      <c r="E405">
        <v>30</v>
      </c>
      <c r="F405">
        <v>14.999901771999999</v>
      </c>
      <c r="G405">
        <v>1382.6389160000001</v>
      </c>
      <c r="H405">
        <v>1370.2421875</v>
      </c>
      <c r="I405">
        <v>1252.6491699000001</v>
      </c>
      <c r="J405">
        <v>1213.0419922000001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110.232748</v>
      </c>
      <c r="B406" s="1">
        <f>DATE(2010,8,19) + TIME(5,35,9)</f>
        <v>40409.232743055552</v>
      </c>
      <c r="C406">
        <v>90</v>
      </c>
      <c r="D406">
        <v>89.901252747000001</v>
      </c>
      <c r="E406">
        <v>30</v>
      </c>
      <c r="F406">
        <v>14.999984741</v>
      </c>
      <c r="G406">
        <v>1382.6104736</v>
      </c>
      <c r="H406">
        <v>1370.2156981999999</v>
      </c>
      <c r="I406">
        <v>1252.6639404</v>
      </c>
      <c r="J406">
        <v>1213.0551757999999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110.64076300000001</v>
      </c>
      <c r="B407" s="1">
        <f>DATE(2010,8,19) + TIME(15,22,41)</f>
        <v>40409.640752314815</v>
      </c>
      <c r="C407">
        <v>90</v>
      </c>
      <c r="D407">
        <v>89.901306152000004</v>
      </c>
      <c r="E407">
        <v>30</v>
      </c>
      <c r="F407">
        <v>15.000072479</v>
      </c>
      <c r="G407">
        <v>1382.5821533000001</v>
      </c>
      <c r="H407">
        <v>1370.1893310999999</v>
      </c>
      <c r="I407">
        <v>1252.6787108999999</v>
      </c>
      <c r="J407">
        <v>1213.0683594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111.048777</v>
      </c>
      <c r="B408" s="1">
        <f>DATE(2010,8,20) + TIME(1,10,14)</f>
        <v>40410.048773148148</v>
      </c>
      <c r="C408">
        <v>90</v>
      </c>
      <c r="D408">
        <v>89.901351929</v>
      </c>
      <c r="E408">
        <v>30</v>
      </c>
      <c r="F408">
        <v>15.000166892999999</v>
      </c>
      <c r="G408">
        <v>1382.5539550999999</v>
      </c>
      <c r="H408">
        <v>1370.1630858999999</v>
      </c>
      <c r="I408">
        <v>1252.6937256000001</v>
      </c>
      <c r="J408">
        <v>1213.081543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111.45679199999999</v>
      </c>
      <c r="B409" s="1">
        <f>DATE(2010,8,20) + TIME(10,57,46)</f>
        <v>40410.456782407404</v>
      </c>
      <c r="C409">
        <v>90</v>
      </c>
      <c r="D409">
        <v>89.901405334000003</v>
      </c>
      <c r="E409">
        <v>30</v>
      </c>
      <c r="F409">
        <v>15.000267029</v>
      </c>
      <c r="G409">
        <v>1382.5258789</v>
      </c>
      <c r="H409">
        <v>1370.1368408000001</v>
      </c>
      <c r="I409">
        <v>1252.7087402</v>
      </c>
      <c r="J409">
        <v>1213.0948486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111.864807</v>
      </c>
      <c r="B410" s="1">
        <f>DATE(2010,8,20) + TIME(20,45,19)</f>
        <v>40410.864803240744</v>
      </c>
      <c r="C410">
        <v>90</v>
      </c>
      <c r="D410">
        <v>89.901458739999995</v>
      </c>
      <c r="E410">
        <v>30</v>
      </c>
      <c r="F410">
        <v>15.00037384</v>
      </c>
      <c r="G410">
        <v>1382.4978027</v>
      </c>
      <c r="H410">
        <v>1370.1107178</v>
      </c>
      <c r="I410">
        <v>1252.7238769999999</v>
      </c>
      <c r="J410">
        <v>1213.1082764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112.27282099999999</v>
      </c>
      <c r="B411" s="1">
        <f>DATE(2010,8,21) + TIME(6,32,51)</f>
        <v>40411.272812499999</v>
      </c>
      <c r="C411">
        <v>90</v>
      </c>
      <c r="D411">
        <v>89.901504517000006</v>
      </c>
      <c r="E411">
        <v>30</v>
      </c>
      <c r="F411">
        <v>15.000487328</v>
      </c>
      <c r="G411">
        <v>1382.4697266000001</v>
      </c>
      <c r="H411">
        <v>1370.0845947</v>
      </c>
      <c r="I411">
        <v>1252.7391356999999</v>
      </c>
      <c r="J411">
        <v>1213.1218262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112.680836</v>
      </c>
      <c r="B412" s="1">
        <f>DATE(2010,8,21) + TIME(16,20,24)</f>
        <v>40411.680833333332</v>
      </c>
      <c r="C412">
        <v>90</v>
      </c>
      <c r="D412">
        <v>89.901557921999995</v>
      </c>
      <c r="E412">
        <v>30</v>
      </c>
      <c r="F412">
        <v>15.000608443999999</v>
      </c>
      <c r="G412">
        <v>1382.4418945</v>
      </c>
      <c r="H412">
        <v>1370.0585937999999</v>
      </c>
      <c r="I412">
        <v>1252.7543945</v>
      </c>
      <c r="J412">
        <v>1213.135376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113.496865</v>
      </c>
      <c r="B413" s="1">
        <f>DATE(2010,8,22) + TIME(11,55,29)</f>
        <v>40412.496863425928</v>
      </c>
      <c r="C413">
        <v>90</v>
      </c>
      <c r="D413">
        <v>89.901664733999993</v>
      </c>
      <c r="E413">
        <v>30</v>
      </c>
      <c r="F413">
        <v>15.000802994000001</v>
      </c>
      <c r="G413">
        <v>1382.4145507999999</v>
      </c>
      <c r="H413">
        <v>1370.0332031</v>
      </c>
      <c r="I413">
        <v>1252.7702637</v>
      </c>
      <c r="J413">
        <v>1213.1494141000001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114.312929</v>
      </c>
      <c r="B414" s="1">
        <f>DATE(2010,8,23) + TIME(7,30,37)</f>
        <v>40413.312928240739</v>
      </c>
      <c r="C414">
        <v>90</v>
      </c>
      <c r="D414">
        <v>89.901771545000003</v>
      </c>
      <c r="E414">
        <v>30</v>
      </c>
      <c r="F414">
        <v>15.001052855999999</v>
      </c>
      <c r="G414">
        <v>1382.3594971</v>
      </c>
      <c r="H414">
        <v>1369.9819336</v>
      </c>
      <c r="I414">
        <v>1252.8011475000001</v>
      </c>
      <c r="J414">
        <v>1213.1767577999999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115.139413</v>
      </c>
      <c r="B415" s="1">
        <f>DATE(2010,8,24) + TIME(3,20,45)</f>
        <v>40414.139409722222</v>
      </c>
      <c r="C415">
        <v>90</v>
      </c>
      <c r="D415">
        <v>89.901870728000006</v>
      </c>
      <c r="E415">
        <v>30</v>
      </c>
      <c r="F415">
        <v>15.001354217999999</v>
      </c>
      <c r="G415">
        <v>1382.3044434000001</v>
      </c>
      <c r="H415">
        <v>1369.9306641000001</v>
      </c>
      <c r="I415">
        <v>1252.8327637</v>
      </c>
      <c r="J415">
        <v>1213.2045897999999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115.557648</v>
      </c>
      <c r="B416" s="1">
        <f>DATE(2010,8,24) + TIME(13,23,0)</f>
        <v>40414.557638888888</v>
      </c>
      <c r="C416">
        <v>90</v>
      </c>
      <c r="D416">
        <v>89.901916503999999</v>
      </c>
      <c r="E416">
        <v>30</v>
      </c>
      <c r="F416">
        <v>15.001586914000001</v>
      </c>
      <c r="G416">
        <v>1382.2487793</v>
      </c>
      <c r="H416">
        <v>1369.8787841999999</v>
      </c>
      <c r="I416">
        <v>1252.864624</v>
      </c>
      <c r="J416">
        <v>1213.2325439000001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115.975883</v>
      </c>
      <c r="B417" s="1">
        <f>DATE(2010,8,24) + TIME(23,25,16)</f>
        <v>40414.97587962963</v>
      </c>
      <c r="C417">
        <v>90</v>
      </c>
      <c r="D417">
        <v>89.901962280000006</v>
      </c>
      <c r="E417">
        <v>30</v>
      </c>
      <c r="F417">
        <v>15.001818656999999</v>
      </c>
      <c r="G417">
        <v>1382.2202147999999</v>
      </c>
      <c r="H417">
        <v>1369.8520507999999</v>
      </c>
      <c r="I417">
        <v>1252.8814697</v>
      </c>
      <c r="J417">
        <v>1213.2474365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116.39411699999999</v>
      </c>
      <c r="B418" s="1">
        <f>DATE(2010,8,25) + TIME(9,27,31)</f>
        <v>40415.394108796296</v>
      </c>
      <c r="C418">
        <v>90</v>
      </c>
      <c r="D418">
        <v>89.902015685999999</v>
      </c>
      <c r="E418">
        <v>30</v>
      </c>
      <c r="F418">
        <v>15.002053261</v>
      </c>
      <c r="G418">
        <v>1382.1922606999999</v>
      </c>
      <c r="H418">
        <v>1369.8260498</v>
      </c>
      <c r="I418">
        <v>1252.8983154</v>
      </c>
      <c r="J418">
        <v>1213.262207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116.812352</v>
      </c>
      <c r="B419" s="1">
        <f>DATE(2010,8,25) + TIME(19,29,47)</f>
        <v>40415.812349537038</v>
      </c>
      <c r="C419">
        <v>90</v>
      </c>
      <c r="D419">
        <v>89.902061462000006</v>
      </c>
      <c r="E419">
        <v>30</v>
      </c>
      <c r="F419">
        <v>15.002296447999999</v>
      </c>
      <c r="G419">
        <v>1382.1644286999999</v>
      </c>
      <c r="H419">
        <v>1369.8000488</v>
      </c>
      <c r="I419">
        <v>1252.9151611</v>
      </c>
      <c r="J419">
        <v>1213.2770995999999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117.230587</v>
      </c>
      <c r="B420" s="1">
        <f>DATE(2010,8,26) + TIME(5,32,2)</f>
        <v>40416.230578703704</v>
      </c>
      <c r="C420">
        <v>90</v>
      </c>
      <c r="D420">
        <v>89.902114867999998</v>
      </c>
      <c r="E420">
        <v>30</v>
      </c>
      <c r="F420">
        <v>15.002551079</v>
      </c>
      <c r="G420">
        <v>1382.1367187999999</v>
      </c>
      <c r="H420">
        <v>1369.7741699000001</v>
      </c>
      <c r="I420">
        <v>1252.9321289</v>
      </c>
      <c r="J420">
        <v>1213.2921143000001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117.648822</v>
      </c>
      <c r="B421" s="1">
        <f>DATE(2010,8,26) + TIME(15,34,18)</f>
        <v>40416.648819444446</v>
      </c>
      <c r="C421">
        <v>90</v>
      </c>
      <c r="D421">
        <v>89.902168274000005</v>
      </c>
      <c r="E421">
        <v>30</v>
      </c>
      <c r="F421">
        <v>15.002818108</v>
      </c>
      <c r="G421">
        <v>1382.1090088000001</v>
      </c>
      <c r="H421">
        <v>1369.7482910000001</v>
      </c>
      <c r="I421">
        <v>1252.9493408000001</v>
      </c>
      <c r="J421">
        <v>1213.3071289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118.06705700000001</v>
      </c>
      <c r="B422" s="1">
        <f>DATE(2010,8,27) + TIME(1,36,33)</f>
        <v>40417.067048611112</v>
      </c>
      <c r="C422">
        <v>90</v>
      </c>
      <c r="D422">
        <v>89.902214049999998</v>
      </c>
      <c r="E422">
        <v>30</v>
      </c>
      <c r="F422">
        <v>15.003100395000001</v>
      </c>
      <c r="G422">
        <v>1382.0814209</v>
      </c>
      <c r="H422">
        <v>1369.7225341999999</v>
      </c>
      <c r="I422">
        <v>1252.9665527</v>
      </c>
      <c r="J422">
        <v>1213.3223877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118.485292</v>
      </c>
      <c r="B423" s="1">
        <f>DATE(2010,8,27) + TIME(11,38,49)</f>
        <v>40417.485289351855</v>
      </c>
      <c r="C423">
        <v>90</v>
      </c>
      <c r="D423">
        <v>89.902267456000004</v>
      </c>
      <c r="E423">
        <v>30</v>
      </c>
      <c r="F423">
        <v>15.003398895</v>
      </c>
      <c r="G423">
        <v>1382.0538329999999</v>
      </c>
      <c r="H423">
        <v>1369.6968993999999</v>
      </c>
      <c r="I423">
        <v>1252.9840088000001</v>
      </c>
      <c r="J423">
        <v>1213.3376464999999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118.903527</v>
      </c>
      <c r="B424" s="1">
        <f>DATE(2010,8,27) + TIME(21,41,4)</f>
        <v>40417.90351851852</v>
      </c>
      <c r="C424">
        <v>90</v>
      </c>
      <c r="D424">
        <v>89.902320861999996</v>
      </c>
      <c r="E424">
        <v>30</v>
      </c>
      <c r="F424">
        <v>15.003715515</v>
      </c>
      <c r="G424">
        <v>1382.0263672000001</v>
      </c>
      <c r="H424">
        <v>1369.6712646000001</v>
      </c>
      <c r="I424">
        <v>1253.0015868999999</v>
      </c>
      <c r="J424">
        <v>1213.3531493999999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119.32176200000001</v>
      </c>
      <c r="B425" s="1">
        <f>DATE(2010,8,28) + TIME(7,43,20)</f>
        <v>40418.321759259263</v>
      </c>
      <c r="C425">
        <v>90</v>
      </c>
      <c r="D425">
        <v>89.902366638000004</v>
      </c>
      <c r="E425">
        <v>30</v>
      </c>
      <c r="F425">
        <v>15.004052162000001</v>
      </c>
      <c r="G425">
        <v>1381.9990233999999</v>
      </c>
      <c r="H425">
        <v>1369.6456298999999</v>
      </c>
      <c r="I425">
        <v>1253.0192870999999</v>
      </c>
      <c r="J425">
        <v>1213.3686522999999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119.739997</v>
      </c>
      <c r="B426" s="1">
        <f>DATE(2010,8,28) + TIME(17,45,35)</f>
        <v>40418.739988425928</v>
      </c>
      <c r="C426">
        <v>90</v>
      </c>
      <c r="D426">
        <v>89.902420043999996</v>
      </c>
      <c r="E426">
        <v>30</v>
      </c>
      <c r="F426">
        <v>15.00440979</v>
      </c>
      <c r="G426">
        <v>1381.9716797000001</v>
      </c>
      <c r="H426">
        <v>1369.6202393000001</v>
      </c>
      <c r="I426">
        <v>1253.0371094</v>
      </c>
      <c r="J426">
        <v>1213.3842772999999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120.157561</v>
      </c>
      <c r="B427" s="1">
        <f>DATE(2010,8,29) + TIME(3,46,53)</f>
        <v>40419.157557870371</v>
      </c>
      <c r="C427">
        <v>90</v>
      </c>
      <c r="D427">
        <v>89.902473450000002</v>
      </c>
      <c r="E427">
        <v>30</v>
      </c>
      <c r="F427">
        <v>15.004789352</v>
      </c>
      <c r="G427">
        <v>1381.9443358999999</v>
      </c>
      <c r="H427">
        <v>1369.5947266000001</v>
      </c>
      <c r="I427">
        <v>1253.0550536999999</v>
      </c>
      <c r="J427">
        <v>1213.4000243999999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120.57390100000001</v>
      </c>
      <c r="B428" s="1">
        <f>DATE(2010,8,29) + TIME(13,46,25)</f>
        <v>40419.573900462965</v>
      </c>
      <c r="C428">
        <v>90</v>
      </c>
      <c r="D428">
        <v>89.902519225999995</v>
      </c>
      <c r="E428">
        <v>30</v>
      </c>
      <c r="F428">
        <v>15.005191803000001</v>
      </c>
      <c r="G428">
        <v>1381.9172363</v>
      </c>
      <c r="H428">
        <v>1369.5693358999999</v>
      </c>
      <c r="I428">
        <v>1253.0732422000001</v>
      </c>
      <c r="J428">
        <v>1213.4158935999999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120.98913899999999</v>
      </c>
      <c r="B429" s="1">
        <f>DATE(2010,8,29) + TIME(23,44,21)</f>
        <v>40419.989131944443</v>
      </c>
      <c r="C429">
        <v>90</v>
      </c>
      <c r="D429">
        <v>89.902572632000002</v>
      </c>
      <c r="E429">
        <v>30</v>
      </c>
      <c r="F429">
        <v>15.005618095000001</v>
      </c>
      <c r="G429">
        <v>1381.8902588000001</v>
      </c>
      <c r="H429">
        <v>1369.5441894999999</v>
      </c>
      <c r="I429">
        <v>1253.0914307</v>
      </c>
      <c r="J429">
        <v>1213.4318848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121.40332600000001</v>
      </c>
      <c r="B430" s="1">
        <f>DATE(2010,8,30) + TIME(9,40,47)</f>
        <v>40420.403321759259</v>
      </c>
      <c r="C430">
        <v>90</v>
      </c>
      <c r="D430">
        <v>89.902618407999995</v>
      </c>
      <c r="E430">
        <v>30</v>
      </c>
      <c r="F430">
        <v>15.006070137</v>
      </c>
      <c r="G430">
        <v>1381.8634033000001</v>
      </c>
      <c r="H430">
        <v>1369.519043</v>
      </c>
      <c r="I430">
        <v>1253.1097411999999</v>
      </c>
      <c r="J430">
        <v>1213.447876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121.81658</v>
      </c>
      <c r="B431" s="1">
        <f>DATE(2010,8,30) + TIME(19,35,52)</f>
        <v>40420.816574074073</v>
      </c>
      <c r="C431">
        <v>90</v>
      </c>
      <c r="D431">
        <v>89.902671814000001</v>
      </c>
      <c r="E431">
        <v>30</v>
      </c>
      <c r="F431">
        <v>15.006549835</v>
      </c>
      <c r="G431">
        <v>1381.8366699000001</v>
      </c>
      <c r="H431">
        <v>1369.4941406</v>
      </c>
      <c r="I431">
        <v>1253.1281738</v>
      </c>
      <c r="J431">
        <v>1213.4639893000001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122.641513</v>
      </c>
      <c r="B432" s="1">
        <f>DATE(2010,8,31) + TIME(15,23,46)</f>
        <v>40421.641504629632</v>
      </c>
      <c r="C432">
        <v>90</v>
      </c>
      <c r="D432">
        <v>89.902778624999996</v>
      </c>
      <c r="E432">
        <v>30</v>
      </c>
      <c r="F432">
        <v>15.007318497</v>
      </c>
      <c r="G432">
        <v>1381.8104248</v>
      </c>
      <c r="H432">
        <v>1369.4697266000001</v>
      </c>
      <c r="I432">
        <v>1253.1469727000001</v>
      </c>
      <c r="J432">
        <v>1213.4807129000001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123</v>
      </c>
      <c r="B433" s="1">
        <f>DATE(2010,9,1) + TIME(0,0,0)</f>
        <v>40422</v>
      </c>
      <c r="C433">
        <v>90</v>
      </c>
      <c r="D433">
        <v>89.902816771999994</v>
      </c>
      <c r="E433">
        <v>30</v>
      </c>
      <c r="F433">
        <v>15.007907867</v>
      </c>
      <c r="G433">
        <v>1381.7580565999999</v>
      </c>
      <c r="H433">
        <v>1369.4207764</v>
      </c>
      <c r="I433">
        <v>1253.1834716999999</v>
      </c>
      <c r="J433">
        <v>1213.5123291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123.82745199999999</v>
      </c>
      <c r="B434" s="1">
        <f>DATE(2010,9,1) + TIME(19,51,31)</f>
        <v>40422.82744212963</v>
      </c>
      <c r="C434">
        <v>90</v>
      </c>
      <c r="D434">
        <v>89.902923584000007</v>
      </c>
      <c r="E434">
        <v>30</v>
      </c>
      <c r="F434">
        <v>15.008890151999999</v>
      </c>
      <c r="G434">
        <v>1381.7346190999999</v>
      </c>
      <c r="H434">
        <v>1369.3989257999999</v>
      </c>
      <c r="I434">
        <v>1253.2006836</v>
      </c>
      <c r="J434">
        <v>1213.5277100000001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124.669526</v>
      </c>
      <c r="B435" s="1">
        <f>DATE(2010,9,2) + TIME(16,4,7)</f>
        <v>40423.669525462959</v>
      </c>
      <c r="C435">
        <v>90</v>
      </c>
      <c r="D435">
        <v>89.903030396000005</v>
      </c>
      <c r="E435">
        <v>30</v>
      </c>
      <c r="F435">
        <v>15.010100365</v>
      </c>
      <c r="G435">
        <v>1381.6823730000001</v>
      </c>
      <c r="H435">
        <v>1369.3500977000001</v>
      </c>
      <c r="I435">
        <v>1253.2388916</v>
      </c>
      <c r="J435">
        <v>1213.5610352000001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125.09072999999999</v>
      </c>
      <c r="B436" s="1">
        <f>DATE(2010,9,3) + TIME(2,10,39)</f>
        <v>40424.090729166666</v>
      </c>
      <c r="C436">
        <v>90</v>
      </c>
      <c r="D436">
        <v>89.903076171999999</v>
      </c>
      <c r="E436">
        <v>30</v>
      </c>
      <c r="F436">
        <v>15.011039734000001</v>
      </c>
      <c r="G436">
        <v>1381.6290283000001</v>
      </c>
      <c r="H436">
        <v>1369.3001709</v>
      </c>
      <c r="I436">
        <v>1253.2783202999999</v>
      </c>
      <c r="J436">
        <v>1213.5950928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125.51193499999999</v>
      </c>
      <c r="B437" s="1">
        <f>DATE(2010,9,3) + TIME(12,17,11)</f>
        <v>40424.511932870373</v>
      </c>
      <c r="C437">
        <v>90</v>
      </c>
      <c r="D437">
        <v>89.903121948000006</v>
      </c>
      <c r="E437">
        <v>30</v>
      </c>
      <c r="F437">
        <v>15.01197052</v>
      </c>
      <c r="G437">
        <v>1381.6016846</v>
      </c>
      <c r="H437">
        <v>1369.2746582</v>
      </c>
      <c r="I437">
        <v>1253.2988281</v>
      </c>
      <c r="J437">
        <v>1213.6130370999999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125.93313999999999</v>
      </c>
      <c r="B438" s="1">
        <f>DATE(2010,9,3) + TIME(22,23,43)</f>
        <v>40424.933136574073</v>
      </c>
      <c r="C438">
        <v>90</v>
      </c>
      <c r="D438">
        <v>89.903175353999998</v>
      </c>
      <c r="E438">
        <v>30</v>
      </c>
      <c r="F438">
        <v>15.012913704000001</v>
      </c>
      <c r="G438">
        <v>1381.5750731999999</v>
      </c>
      <c r="H438">
        <v>1369.2497559000001</v>
      </c>
      <c r="I438">
        <v>1253.3192139</v>
      </c>
      <c r="J438">
        <v>1213.6308594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126.354344</v>
      </c>
      <c r="B439" s="1">
        <f>DATE(2010,9,4) + TIME(8,30,15)</f>
        <v>40425.35434027778</v>
      </c>
      <c r="C439">
        <v>90</v>
      </c>
      <c r="D439">
        <v>89.903221130000006</v>
      </c>
      <c r="E439">
        <v>30</v>
      </c>
      <c r="F439">
        <v>15.013884544</v>
      </c>
      <c r="G439">
        <v>1381.5485839999999</v>
      </c>
      <c r="H439">
        <v>1369.2249756000001</v>
      </c>
      <c r="I439">
        <v>1253.3398437999999</v>
      </c>
      <c r="J439">
        <v>1213.6489257999999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126.775549</v>
      </c>
      <c r="B440" s="1">
        <f>DATE(2010,9,4) + TIME(18,36,47)</f>
        <v>40425.775543981479</v>
      </c>
      <c r="C440">
        <v>90</v>
      </c>
      <c r="D440">
        <v>89.903274535999998</v>
      </c>
      <c r="E440">
        <v>30</v>
      </c>
      <c r="F440">
        <v>15.014894484999999</v>
      </c>
      <c r="G440">
        <v>1381.5220947</v>
      </c>
      <c r="H440">
        <v>1369.2003173999999</v>
      </c>
      <c r="I440">
        <v>1253.3605957</v>
      </c>
      <c r="J440">
        <v>1213.6671143000001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127.196754</v>
      </c>
      <c r="B441" s="1">
        <f>DATE(2010,9,5) + TIME(4,43,19)</f>
        <v>40426.196747685186</v>
      </c>
      <c r="C441">
        <v>90</v>
      </c>
      <c r="D441">
        <v>89.903327942000004</v>
      </c>
      <c r="E441">
        <v>30</v>
      </c>
      <c r="F441">
        <v>15.015951157</v>
      </c>
      <c r="G441">
        <v>1381.4957274999999</v>
      </c>
      <c r="H441">
        <v>1369.1756591999999</v>
      </c>
      <c r="I441">
        <v>1253.3815918</v>
      </c>
      <c r="J441">
        <v>1213.6854248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127.617189</v>
      </c>
      <c r="B442" s="1">
        <f>DATE(2010,9,5) + TIME(14,48,45)</f>
        <v>40426.6171875</v>
      </c>
      <c r="C442">
        <v>90</v>
      </c>
      <c r="D442">
        <v>89.903373717999997</v>
      </c>
      <c r="E442">
        <v>30</v>
      </c>
      <c r="F442">
        <v>15.017061234</v>
      </c>
      <c r="G442">
        <v>1381.4693603999999</v>
      </c>
      <c r="H442">
        <v>1369.151001</v>
      </c>
      <c r="I442">
        <v>1253.402832</v>
      </c>
      <c r="J442">
        <v>1213.7039795000001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128.036305</v>
      </c>
      <c r="B443" s="1">
        <f>DATE(2010,9,6) + TIME(0,52,16)</f>
        <v>40427.036296296297</v>
      </c>
      <c r="C443">
        <v>90</v>
      </c>
      <c r="D443">
        <v>89.903427124000004</v>
      </c>
      <c r="E443">
        <v>30</v>
      </c>
      <c r="F443">
        <v>15.018228531</v>
      </c>
      <c r="G443">
        <v>1381.4432373</v>
      </c>
      <c r="H443">
        <v>1369.1264647999999</v>
      </c>
      <c r="I443">
        <v>1253.4241943</v>
      </c>
      <c r="J443">
        <v>1213.7226562000001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128.45419799999999</v>
      </c>
      <c r="B444" s="1">
        <f>DATE(2010,9,6) + TIME(10,54,2)</f>
        <v>40427.454189814816</v>
      </c>
      <c r="C444">
        <v>90</v>
      </c>
      <c r="D444">
        <v>89.903480529999996</v>
      </c>
      <c r="E444">
        <v>30</v>
      </c>
      <c r="F444">
        <v>15.019457816999999</v>
      </c>
      <c r="G444">
        <v>1381.4171143000001</v>
      </c>
      <c r="H444">
        <v>1369.1020507999999</v>
      </c>
      <c r="I444">
        <v>1253.4458007999999</v>
      </c>
      <c r="J444">
        <v>1213.7415771000001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128.87094200000001</v>
      </c>
      <c r="B445" s="1">
        <f>DATE(2010,9,6) + TIME(20,54,9)</f>
        <v>40427.870937500003</v>
      </c>
      <c r="C445">
        <v>90</v>
      </c>
      <c r="D445">
        <v>89.903526306000003</v>
      </c>
      <c r="E445">
        <v>30</v>
      </c>
      <c r="F445">
        <v>15.020752907</v>
      </c>
      <c r="G445">
        <v>1381.3911132999999</v>
      </c>
      <c r="H445">
        <v>1369.0777588000001</v>
      </c>
      <c r="I445">
        <v>1253.4674072</v>
      </c>
      <c r="J445">
        <v>1213.7604980000001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129.28661700000001</v>
      </c>
      <c r="B446" s="1">
        <f>DATE(2010,9,7) + TIME(6,52,43)</f>
        <v>40428.286608796298</v>
      </c>
      <c r="C446">
        <v>90</v>
      </c>
      <c r="D446">
        <v>89.903579711999996</v>
      </c>
      <c r="E446">
        <v>30</v>
      </c>
      <c r="F446">
        <v>15.022118568</v>
      </c>
      <c r="G446">
        <v>1381.3652344</v>
      </c>
      <c r="H446">
        <v>1369.0535889</v>
      </c>
      <c r="I446">
        <v>1253.4892577999999</v>
      </c>
      <c r="J446">
        <v>1213.7795410000001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129.70131000000001</v>
      </c>
      <c r="B447" s="1">
        <f>DATE(2010,9,7) + TIME(16,49,53)</f>
        <v>40428.701307870368</v>
      </c>
      <c r="C447">
        <v>90</v>
      </c>
      <c r="D447">
        <v>89.903625488000003</v>
      </c>
      <c r="E447">
        <v>30</v>
      </c>
      <c r="F447">
        <v>15.023558617000001</v>
      </c>
      <c r="G447">
        <v>1381.3395995999999</v>
      </c>
      <c r="H447">
        <v>1369.0294189000001</v>
      </c>
      <c r="I447">
        <v>1253.5113524999999</v>
      </c>
      <c r="J447">
        <v>1213.7988281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130.528862</v>
      </c>
      <c r="B448" s="1">
        <f>DATE(2010,9,8) + TIME(12,41,33)</f>
        <v>40429.528854166667</v>
      </c>
      <c r="C448">
        <v>90</v>
      </c>
      <c r="D448">
        <v>89.903732300000001</v>
      </c>
      <c r="E448">
        <v>30</v>
      </c>
      <c r="F448">
        <v>15.025857925</v>
      </c>
      <c r="G448">
        <v>1381.3143310999999</v>
      </c>
      <c r="H448">
        <v>1369.0058594</v>
      </c>
      <c r="I448">
        <v>1253.5334473</v>
      </c>
      <c r="J448">
        <v>1213.8188477000001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131.356908</v>
      </c>
      <c r="B449" s="1">
        <f>DATE(2010,9,9) + TIME(8,33,56)</f>
        <v>40430.356898148151</v>
      </c>
      <c r="C449">
        <v>90</v>
      </c>
      <c r="D449">
        <v>89.903839110999996</v>
      </c>
      <c r="E449">
        <v>30</v>
      </c>
      <c r="F449">
        <v>15.028774261000001</v>
      </c>
      <c r="G449">
        <v>1381.2637939000001</v>
      </c>
      <c r="H449">
        <v>1368.9586182</v>
      </c>
      <c r="I449">
        <v>1253.578125</v>
      </c>
      <c r="J449">
        <v>1213.8577881000001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132.19344000000001</v>
      </c>
      <c r="B450" s="1">
        <f>DATE(2010,9,10) + TIME(4,38,33)</f>
        <v>40431.193437499998</v>
      </c>
      <c r="C450">
        <v>90</v>
      </c>
      <c r="D450">
        <v>89.903938292999996</v>
      </c>
      <c r="E450">
        <v>30</v>
      </c>
      <c r="F450">
        <v>15.032222748000001</v>
      </c>
      <c r="G450">
        <v>1381.2130127</v>
      </c>
      <c r="H450">
        <v>1368.9111327999999</v>
      </c>
      <c r="I450">
        <v>1253.6237793</v>
      </c>
      <c r="J450">
        <v>1213.8977050999999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132.61695</v>
      </c>
      <c r="B451" s="1">
        <f>DATE(2010,9,10) + TIME(14,48,24)</f>
        <v>40431.616944444446</v>
      </c>
      <c r="C451">
        <v>90</v>
      </c>
      <c r="D451">
        <v>89.903984070000007</v>
      </c>
      <c r="E451">
        <v>30</v>
      </c>
      <c r="F451">
        <v>15.034855843000001</v>
      </c>
      <c r="G451">
        <v>1381.1619873</v>
      </c>
      <c r="H451">
        <v>1368.8632812000001</v>
      </c>
      <c r="I451">
        <v>1253.6710204999999</v>
      </c>
      <c r="J451">
        <v>1213.9379882999999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133.04046</v>
      </c>
      <c r="B452" s="1">
        <f>DATE(2010,9,11) + TIME(0,58,15)</f>
        <v>40432.040451388886</v>
      </c>
      <c r="C452">
        <v>90</v>
      </c>
      <c r="D452">
        <v>89.904029846</v>
      </c>
      <c r="E452">
        <v>30</v>
      </c>
      <c r="F452">
        <v>15.037450789999999</v>
      </c>
      <c r="G452">
        <v>1381.1354980000001</v>
      </c>
      <c r="H452">
        <v>1368.838501</v>
      </c>
      <c r="I452">
        <v>1253.6955565999999</v>
      </c>
      <c r="J452">
        <v>1213.9598389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133.46396999999999</v>
      </c>
      <c r="B453" s="1">
        <f>DATE(2010,9,11) + TIME(11,8,6)</f>
        <v>40432.463958333334</v>
      </c>
      <c r="C453">
        <v>90</v>
      </c>
      <c r="D453">
        <v>89.904083252000007</v>
      </c>
      <c r="E453">
        <v>30</v>
      </c>
      <c r="F453">
        <v>15.040065765</v>
      </c>
      <c r="G453">
        <v>1381.1097411999999</v>
      </c>
      <c r="H453">
        <v>1368.8143310999999</v>
      </c>
      <c r="I453">
        <v>1253.7200928</v>
      </c>
      <c r="J453">
        <v>1213.9815673999999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133.88748000000001</v>
      </c>
      <c r="B454" s="1">
        <f>DATE(2010,9,11) + TIME(21,17,58)</f>
        <v>40432.887476851851</v>
      </c>
      <c r="C454">
        <v>90</v>
      </c>
      <c r="D454">
        <v>89.904136657999999</v>
      </c>
      <c r="E454">
        <v>30</v>
      </c>
      <c r="F454">
        <v>15.042744637</v>
      </c>
      <c r="G454">
        <v>1381.0839844</v>
      </c>
      <c r="H454">
        <v>1368.7901611</v>
      </c>
      <c r="I454">
        <v>1253.7448730000001</v>
      </c>
      <c r="J454">
        <v>1214.0035399999999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134.31099</v>
      </c>
      <c r="B455" s="1">
        <f>DATE(2010,9,12) + TIME(7,27,49)</f>
        <v>40433.310983796298</v>
      </c>
      <c r="C455">
        <v>90</v>
      </c>
      <c r="D455">
        <v>89.904182434000006</v>
      </c>
      <c r="E455">
        <v>30</v>
      </c>
      <c r="F455">
        <v>15.045517921</v>
      </c>
      <c r="G455">
        <v>1381.0583495999999</v>
      </c>
      <c r="H455">
        <v>1368.7661132999999</v>
      </c>
      <c r="I455">
        <v>1253.7700195</v>
      </c>
      <c r="J455">
        <v>1214.0258789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134.7345</v>
      </c>
      <c r="B456" s="1">
        <f>DATE(2010,9,12) + TIME(17,37,40)</f>
        <v>40433.734490740739</v>
      </c>
      <c r="C456">
        <v>90</v>
      </c>
      <c r="D456">
        <v>89.904235839999998</v>
      </c>
      <c r="E456">
        <v>30</v>
      </c>
      <c r="F456">
        <v>15.048408508</v>
      </c>
      <c r="G456">
        <v>1381.0327147999999</v>
      </c>
      <c r="H456">
        <v>1368.7420654</v>
      </c>
      <c r="I456">
        <v>1253.7955322</v>
      </c>
      <c r="J456">
        <v>1214.0483397999999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135.15700799999999</v>
      </c>
      <c r="B457" s="1">
        <f>DATE(2010,9,13) + TIME(3,46,5)</f>
        <v>40434.157002314816</v>
      </c>
      <c r="C457">
        <v>90</v>
      </c>
      <c r="D457">
        <v>89.904281616000006</v>
      </c>
      <c r="E457">
        <v>30</v>
      </c>
      <c r="F457">
        <v>15.051429749</v>
      </c>
      <c r="G457">
        <v>1381.0072021000001</v>
      </c>
      <c r="H457">
        <v>1368.7181396000001</v>
      </c>
      <c r="I457">
        <v>1253.8212891000001</v>
      </c>
      <c r="J457">
        <v>1214.0711670000001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135.577966</v>
      </c>
      <c r="B458" s="1">
        <f>DATE(2010,9,13) + TIME(13,52,16)</f>
        <v>40434.577962962961</v>
      </c>
      <c r="C458">
        <v>90</v>
      </c>
      <c r="D458">
        <v>89.904335021999998</v>
      </c>
      <c r="E458">
        <v>30</v>
      </c>
      <c r="F458">
        <v>15.05459404</v>
      </c>
      <c r="G458">
        <v>1380.9816894999999</v>
      </c>
      <c r="H458">
        <v>1368.6942139</v>
      </c>
      <c r="I458">
        <v>1253.8472899999999</v>
      </c>
      <c r="J458">
        <v>1214.0942382999999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135.99749</v>
      </c>
      <c r="B459" s="1">
        <f>DATE(2010,9,13) + TIME(23,56,23)</f>
        <v>40434.997488425928</v>
      </c>
      <c r="C459">
        <v>90</v>
      </c>
      <c r="D459">
        <v>89.904388428000004</v>
      </c>
      <c r="E459">
        <v>30</v>
      </c>
      <c r="F459">
        <v>15.057912826999999</v>
      </c>
      <c r="G459">
        <v>1380.9564209</v>
      </c>
      <c r="H459">
        <v>1368.6704102000001</v>
      </c>
      <c r="I459">
        <v>1253.8735352000001</v>
      </c>
      <c r="J459">
        <v>1214.1174315999999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136.41566599999999</v>
      </c>
      <c r="B460" s="1">
        <f>DATE(2010,9,14) + TIME(9,58,33)</f>
        <v>40435.415659722225</v>
      </c>
      <c r="C460">
        <v>90</v>
      </c>
      <c r="D460">
        <v>89.904434203999998</v>
      </c>
      <c r="E460">
        <v>30</v>
      </c>
      <c r="F460">
        <v>15.061395644999999</v>
      </c>
      <c r="G460">
        <v>1380.9311522999999</v>
      </c>
      <c r="H460">
        <v>1368.6468506000001</v>
      </c>
      <c r="I460">
        <v>1253.9000243999999</v>
      </c>
      <c r="J460">
        <v>1214.1409911999999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136.832593</v>
      </c>
      <c r="B461" s="1">
        <f>DATE(2010,9,14) + TIME(19,58,56)</f>
        <v>40435.832592592589</v>
      </c>
      <c r="C461">
        <v>90</v>
      </c>
      <c r="D461">
        <v>89.904487610000004</v>
      </c>
      <c r="E461">
        <v>30</v>
      </c>
      <c r="F461">
        <v>15.06505394</v>
      </c>
      <c r="G461">
        <v>1380.9061279</v>
      </c>
      <c r="H461">
        <v>1368.6232910000001</v>
      </c>
      <c r="I461">
        <v>1253.9266356999999</v>
      </c>
      <c r="J461">
        <v>1214.1646728999999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137.24837099999999</v>
      </c>
      <c r="B462" s="1">
        <f>DATE(2010,9,15) + TIME(5,57,39)</f>
        <v>40436.248368055552</v>
      </c>
      <c r="C462">
        <v>90</v>
      </c>
      <c r="D462">
        <v>89.904533385999997</v>
      </c>
      <c r="E462">
        <v>30</v>
      </c>
      <c r="F462">
        <v>15.068895339999999</v>
      </c>
      <c r="G462">
        <v>1380.8811035000001</v>
      </c>
      <c r="H462">
        <v>1368.5998535000001</v>
      </c>
      <c r="I462">
        <v>1253.9536132999999</v>
      </c>
      <c r="J462">
        <v>1214.1887207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137.66310300000001</v>
      </c>
      <c r="B463" s="1">
        <f>DATE(2010,9,15) + TIME(15,54,52)</f>
        <v>40436.663101851853</v>
      </c>
      <c r="C463">
        <v>90</v>
      </c>
      <c r="D463">
        <v>89.904586792000003</v>
      </c>
      <c r="E463">
        <v>30</v>
      </c>
      <c r="F463">
        <v>15.072932243</v>
      </c>
      <c r="G463">
        <v>1380.8562012</v>
      </c>
      <c r="H463">
        <v>1368.5765381000001</v>
      </c>
      <c r="I463">
        <v>1253.9807129000001</v>
      </c>
      <c r="J463">
        <v>1214.2130127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138.076899</v>
      </c>
      <c r="B464" s="1">
        <f>DATE(2010,9,16) + TIME(1,50,44)</f>
        <v>40437.076898148145</v>
      </c>
      <c r="C464">
        <v>90</v>
      </c>
      <c r="D464">
        <v>89.904632567999997</v>
      </c>
      <c r="E464">
        <v>30</v>
      </c>
      <c r="F464">
        <v>15.077173233</v>
      </c>
      <c r="G464">
        <v>1380.8314209</v>
      </c>
      <c r="H464">
        <v>1368.5532227000001</v>
      </c>
      <c r="I464">
        <v>1254.0081786999999</v>
      </c>
      <c r="J464">
        <v>1214.2375488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138.90281300000001</v>
      </c>
      <c r="B465" s="1">
        <f>DATE(2010,9,16) + TIME(21,40,3)</f>
        <v>40437.902812499997</v>
      </c>
      <c r="C465">
        <v>90</v>
      </c>
      <c r="D465">
        <v>89.904739379999995</v>
      </c>
      <c r="E465">
        <v>30</v>
      </c>
      <c r="F465">
        <v>15.083920479</v>
      </c>
      <c r="G465">
        <v>1380.8071289</v>
      </c>
      <c r="H465">
        <v>1368.5303954999999</v>
      </c>
      <c r="I465">
        <v>1254.0351562000001</v>
      </c>
      <c r="J465">
        <v>1214.2634277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139.73214100000001</v>
      </c>
      <c r="B466" s="1">
        <f>DATE(2010,9,17) + TIME(17,34,16)</f>
        <v>40438.732129629629</v>
      </c>
      <c r="C466">
        <v>90</v>
      </c>
      <c r="D466">
        <v>89.904838561999995</v>
      </c>
      <c r="E466">
        <v>30</v>
      </c>
      <c r="F466">
        <v>15.092437744</v>
      </c>
      <c r="G466">
        <v>1380.7584228999999</v>
      </c>
      <c r="H466">
        <v>1368.4846190999999</v>
      </c>
      <c r="I466">
        <v>1254.0911865</v>
      </c>
      <c r="J466">
        <v>1214.3132324000001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140.57164800000001</v>
      </c>
      <c r="B467" s="1">
        <f>DATE(2010,9,18) + TIME(13,43,10)</f>
        <v>40439.571643518517</v>
      </c>
      <c r="C467">
        <v>90</v>
      </c>
      <c r="D467">
        <v>89.904945373999993</v>
      </c>
      <c r="E467">
        <v>30</v>
      </c>
      <c r="F467">
        <v>15.102463722</v>
      </c>
      <c r="G467">
        <v>1380.7092285000001</v>
      </c>
      <c r="H467">
        <v>1368.4385986</v>
      </c>
      <c r="I467">
        <v>1254.1488036999999</v>
      </c>
      <c r="J467">
        <v>1214.3649902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140.99687599999999</v>
      </c>
      <c r="B468" s="1">
        <f>DATE(2010,9,18) + TIME(23,55,30)</f>
        <v>40439.996874999997</v>
      </c>
      <c r="C468">
        <v>90</v>
      </c>
      <c r="D468">
        <v>89.904983521000005</v>
      </c>
      <c r="E468">
        <v>30</v>
      </c>
      <c r="F468">
        <v>15.110087395000001</v>
      </c>
      <c r="G468">
        <v>1380.659668</v>
      </c>
      <c r="H468">
        <v>1368.3919678</v>
      </c>
      <c r="I468">
        <v>1254.2097168</v>
      </c>
      <c r="J468">
        <v>1214.4174805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141.41779299999999</v>
      </c>
      <c r="B469" s="1">
        <f>DATE(2010,9,19) + TIME(10,1,37)</f>
        <v>40440.41778935185</v>
      </c>
      <c r="C469">
        <v>90</v>
      </c>
      <c r="D469">
        <v>89.905036925999994</v>
      </c>
      <c r="E469">
        <v>30</v>
      </c>
      <c r="F469">
        <v>15.117515564</v>
      </c>
      <c r="G469">
        <v>1380.6339111</v>
      </c>
      <c r="H469">
        <v>1368.3676757999999</v>
      </c>
      <c r="I469">
        <v>1254.2406006000001</v>
      </c>
      <c r="J469">
        <v>1214.4462891000001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141.838201</v>
      </c>
      <c r="B470" s="1">
        <f>DATE(2010,9,19) + TIME(20,7,0)</f>
        <v>40440.838194444441</v>
      </c>
      <c r="C470">
        <v>90</v>
      </c>
      <c r="D470">
        <v>89.905082703000005</v>
      </c>
      <c r="E470">
        <v>30</v>
      </c>
      <c r="F470">
        <v>15.124957085</v>
      </c>
      <c r="G470">
        <v>1380.6090088000001</v>
      </c>
      <c r="H470">
        <v>1368.3443603999999</v>
      </c>
      <c r="I470">
        <v>1254.2714844</v>
      </c>
      <c r="J470">
        <v>1214.4750977000001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142.257868</v>
      </c>
      <c r="B471" s="1">
        <f>DATE(2010,9,20) + TIME(6,11,19)</f>
        <v>40441.2578587963</v>
      </c>
      <c r="C471">
        <v>90</v>
      </c>
      <c r="D471">
        <v>89.905136107999994</v>
      </c>
      <c r="E471">
        <v>30</v>
      </c>
      <c r="F471">
        <v>15.132530212000001</v>
      </c>
      <c r="G471">
        <v>1380.5842285000001</v>
      </c>
      <c r="H471">
        <v>1368.3210449000001</v>
      </c>
      <c r="I471">
        <v>1254.3027344</v>
      </c>
      <c r="J471">
        <v>1214.5041504000001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142.676807</v>
      </c>
      <c r="B472" s="1">
        <f>DATE(2010,9,20) + TIME(16,14,36)</f>
        <v>40441.676805555559</v>
      </c>
      <c r="C472">
        <v>90</v>
      </c>
      <c r="D472">
        <v>89.905181885000005</v>
      </c>
      <c r="E472">
        <v>30</v>
      </c>
      <c r="F472">
        <v>15.140317917000001</v>
      </c>
      <c r="G472">
        <v>1380.5595702999999</v>
      </c>
      <c r="H472">
        <v>1368.2978516000001</v>
      </c>
      <c r="I472">
        <v>1254.3344727000001</v>
      </c>
      <c r="J472">
        <v>1214.5336914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143.09503599999999</v>
      </c>
      <c r="B473" s="1">
        <f>DATE(2010,9,21) + TIME(2,16,51)</f>
        <v>40442.095034722224</v>
      </c>
      <c r="C473">
        <v>90</v>
      </c>
      <c r="D473">
        <v>89.905235290999997</v>
      </c>
      <c r="E473">
        <v>30</v>
      </c>
      <c r="F473">
        <v>15.148383141</v>
      </c>
      <c r="G473">
        <v>1380.5349120999999</v>
      </c>
      <c r="H473">
        <v>1368.2746582</v>
      </c>
      <c r="I473">
        <v>1254.3665771000001</v>
      </c>
      <c r="J473">
        <v>1214.5635986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143.51258300000001</v>
      </c>
      <c r="B474" s="1">
        <f>DATE(2010,9,21) + TIME(12,18,7)</f>
        <v>40442.51258101852</v>
      </c>
      <c r="C474">
        <v>90</v>
      </c>
      <c r="D474">
        <v>89.905281067000004</v>
      </c>
      <c r="E474">
        <v>30</v>
      </c>
      <c r="F474">
        <v>15.156774520999999</v>
      </c>
      <c r="G474">
        <v>1380.510376</v>
      </c>
      <c r="H474">
        <v>1368.2514647999999</v>
      </c>
      <c r="I474">
        <v>1254.3990478999999</v>
      </c>
      <c r="J474">
        <v>1214.5938721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143.929486</v>
      </c>
      <c r="B475" s="1">
        <f>DATE(2010,9,21) + TIME(22,18,27)</f>
        <v>40442.929479166669</v>
      </c>
      <c r="C475">
        <v>90</v>
      </c>
      <c r="D475">
        <v>89.905326842999997</v>
      </c>
      <c r="E475">
        <v>30</v>
      </c>
      <c r="F475">
        <v>15.165531158</v>
      </c>
      <c r="G475">
        <v>1380.4858397999999</v>
      </c>
      <c r="H475">
        <v>1368.2285156</v>
      </c>
      <c r="I475">
        <v>1254.4318848</v>
      </c>
      <c r="J475">
        <v>1214.6246338000001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144.34579199999999</v>
      </c>
      <c r="B476" s="1">
        <f>DATE(2010,9,22) + TIME(8,17,56)</f>
        <v>40443.34578703704</v>
      </c>
      <c r="C476">
        <v>90</v>
      </c>
      <c r="D476">
        <v>89.905380249000004</v>
      </c>
      <c r="E476">
        <v>30</v>
      </c>
      <c r="F476">
        <v>15.174684525</v>
      </c>
      <c r="G476">
        <v>1380.4614257999999</v>
      </c>
      <c r="H476">
        <v>1368.2054443</v>
      </c>
      <c r="I476">
        <v>1254.4652100000001</v>
      </c>
      <c r="J476">
        <v>1214.6560059000001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144.76156</v>
      </c>
      <c r="B477" s="1">
        <f>DATE(2010,9,22) + TIME(18,16,38)</f>
        <v>40443.761550925927</v>
      </c>
      <c r="C477">
        <v>90</v>
      </c>
      <c r="D477">
        <v>89.905426024999997</v>
      </c>
      <c r="E477">
        <v>30</v>
      </c>
      <c r="F477">
        <v>15.184265137000001</v>
      </c>
      <c r="G477">
        <v>1380.4371338000001</v>
      </c>
      <c r="H477">
        <v>1368.1824951000001</v>
      </c>
      <c r="I477">
        <v>1254.4987793</v>
      </c>
      <c r="J477">
        <v>1214.6877440999999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145.17685900000001</v>
      </c>
      <c r="B478" s="1">
        <f>DATE(2010,9,23) + TIME(4,14,40)</f>
        <v>40444.176851851851</v>
      </c>
      <c r="C478">
        <v>90</v>
      </c>
      <c r="D478">
        <v>89.905479431000003</v>
      </c>
      <c r="E478">
        <v>30</v>
      </c>
      <c r="F478">
        <v>15.194298743999999</v>
      </c>
      <c r="G478">
        <v>1380.4128418</v>
      </c>
      <c r="H478">
        <v>1368.159668</v>
      </c>
      <c r="I478">
        <v>1254.5328368999999</v>
      </c>
      <c r="J478">
        <v>1214.7200928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145.59176400000001</v>
      </c>
      <c r="B479" s="1">
        <f>DATE(2010,9,23) + TIME(14,12,8)</f>
        <v>40444.59175925926</v>
      </c>
      <c r="C479">
        <v>90</v>
      </c>
      <c r="D479">
        <v>89.905525208</v>
      </c>
      <c r="E479">
        <v>30</v>
      </c>
      <c r="F479">
        <v>15.204812049999999</v>
      </c>
      <c r="G479">
        <v>1380.3885498</v>
      </c>
      <c r="H479">
        <v>1368.1368408000001</v>
      </c>
      <c r="I479">
        <v>1254.5673827999999</v>
      </c>
      <c r="J479">
        <v>1214.7529297000001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146.42094700000001</v>
      </c>
      <c r="B480" s="1">
        <f>DATE(2010,9,24) + TIME(10,6,9)</f>
        <v>40445.420937499999</v>
      </c>
      <c r="C480">
        <v>90</v>
      </c>
      <c r="D480">
        <v>89.905632018999995</v>
      </c>
      <c r="E480">
        <v>30</v>
      </c>
      <c r="F480">
        <v>15.221471786</v>
      </c>
      <c r="G480">
        <v>1380.364624</v>
      </c>
      <c r="H480">
        <v>1368.1142577999999</v>
      </c>
      <c r="I480">
        <v>1254.6002197</v>
      </c>
      <c r="J480">
        <v>1214.7884521000001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147.25093899999999</v>
      </c>
      <c r="B481" s="1">
        <f>DATE(2010,9,25) + TIME(6,1,21)</f>
        <v>40446.250937500001</v>
      </c>
      <c r="C481">
        <v>90</v>
      </c>
      <c r="D481">
        <v>89.905731200999995</v>
      </c>
      <c r="E481">
        <v>30</v>
      </c>
      <c r="F481">
        <v>15.242390632999999</v>
      </c>
      <c r="G481">
        <v>1380.3166504000001</v>
      </c>
      <c r="H481">
        <v>1368.0692139</v>
      </c>
      <c r="I481">
        <v>1254.6716309000001</v>
      </c>
      <c r="J481">
        <v>1214.8555908000001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148.09015400000001</v>
      </c>
      <c r="B482" s="1">
        <f>DATE(2010,9,26) + TIME(2,9,49)</f>
        <v>40447.090150462966</v>
      </c>
      <c r="C482">
        <v>90</v>
      </c>
      <c r="D482">
        <v>89.905830382999994</v>
      </c>
      <c r="E482">
        <v>30</v>
      </c>
      <c r="F482">
        <v>15.266844749000001</v>
      </c>
      <c r="G482">
        <v>1380.2684326000001</v>
      </c>
      <c r="H482">
        <v>1368.0236815999999</v>
      </c>
      <c r="I482">
        <v>1254.7446289</v>
      </c>
      <c r="J482">
        <v>1214.9257812000001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148.515016</v>
      </c>
      <c r="B483" s="1">
        <f>DATE(2010,9,26) + TIME(12,21,37)</f>
        <v>40447.515011574076</v>
      </c>
      <c r="C483">
        <v>90</v>
      </c>
      <c r="D483">
        <v>89.905876160000005</v>
      </c>
      <c r="E483">
        <v>30</v>
      </c>
      <c r="F483">
        <v>15.285323142999999</v>
      </c>
      <c r="G483">
        <v>1380.2198486</v>
      </c>
      <c r="H483">
        <v>1367.9779053</v>
      </c>
      <c r="I483">
        <v>1254.8237305</v>
      </c>
      <c r="J483">
        <v>1214.9963379000001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149.346822</v>
      </c>
      <c r="B484" s="1">
        <f>DATE(2010,9,27) + TIME(8,19,25)</f>
        <v>40448.346817129626</v>
      </c>
      <c r="C484">
        <v>90</v>
      </c>
      <c r="D484">
        <v>89.905982971</v>
      </c>
      <c r="E484">
        <v>30</v>
      </c>
      <c r="F484">
        <v>15.312192917000001</v>
      </c>
      <c r="G484">
        <v>1380.1948242000001</v>
      </c>
      <c r="H484">
        <v>1367.9542236</v>
      </c>
      <c r="I484">
        <v>1254.8587646000001</v>
      </c>
      <c r="J484">
        <v>1215.0397949000001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149.76891599999999</v>
      </c>
      <c r="B485" s="1">
        <f>DATE(2010,9,27) + TIME(18,27,14)</f>
        <v>40448.768912037034</v>
      </c>
      <c r="C485">
        <v>90</v>
      </c>
      <c r="D485">
        <v>89.906021117999998</v>
      </c>
      <c r="E485">
        <v>30</v>
      </c>
      <c r="F485">
        <v>15.332921982</v>
      </c>
      <c r="G485">
        <v>1380.1470947</v>
      </c>
      <c r="H485">
        <v>1367.9091797000001</v>
      </c>
      <c r="I485">
        <v>1254.940918</v>
      </c>
      <c r="J485">
        <v>1215.1134033000001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150.58929699999999</v>
      </c>
      <c r="B486" s="1">
        <f>DATE(2010,9,28) + TIME(14,8,35)</f>
        <v>40449.58929398148</v>
      </c>
      <c r="C486">
        <v>90</v>
      </c>
      <c r="D486">
        <v>89.906127929999997</v>
      </c>
      <c r="E486">
        <v>30</v>
      </c>
      <c r="F486">
        <v>15.363139153000001</v>
      </c>
      <c r="G486">
        <v>1380.1221923999999</v>
      </c>
      <c r="H486">
        <v>1367.8857422000001</v>
      </c>
      <c r="I486">
        <v>1254.9769286999999</v>
      </c>
      <c r="J486">
        <v>1215.1593018000001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151.42709099999999</v>
      </c>
      <c r="B487" s="1">
        <f>DATE(2010,9,29) + TIME(10,15,0)</f>
        <v>40450.427083333336</v>
      </c>
      <c r="C487">
        <v>90</v>
      </c>
      <c r="D487">
        <v>89.906227111999996</v>
      </c>
      <c r="E487">
        <v>30</v>
      </c>
      <c r="F487">
        <v>15.398456573000001</v>
      </c>
      <c r="G487">
        <v>1380.0750731999999</v>
      </c>
      <c r="H487">
        <v>1367.8413086</v>
      </c>
      <c r="I487">
        <v>1255.0571289</v>
      </c>
      <c r="J487">
        <v>1215.2406006000001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152.265287</v>
      </c>
      <c r="B488" s="1">
        <f>DATE(2010,9,30) + TIME(6,22,0)</f>
        <v>40451.265277777777</v>
      </c>
      <c r="C488">
        <v>90</v>
      </c>
      <c r="D488">
        <v>89.906326293999996</v>
      </c>
      <c r="E488">
        <v>30</v>
      </c>
      <c r="F488">
        <v>15.438322067</v>
      </c>
      <c r="G488">
        <v>1380.0267334</v>
      </c>
      <c r="H488">
        <v>1367.7956543</v>
      </c>
      <c r="I488">
        <v>1255.1412353999999</v>
      </c>
      <c r="J488">
        <v>1215.3273925999999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153</v>
      </c>
      <c r="B489" s="1">
        <f>DATE(2010,10,1) + TIME(0,0,0)</f>
        <v>40452</v>
      </c>
      <c r="C489">
        <v>90</v>
      </c>
      <c r="D489">
        <v>89.906410217000001</v>
      </c>
      <c r="E489">
        <v>30</v>
      </c>
      <c r="F489">
        <v>15.479599952999999</v>
      </c>
      <c r="G489">
        <v>1379.9783935999999</v>
      </c>
      <c r="H489">
        <v>1367.75</v>
      </c>
      <c r="I489">
        <v>1255.2285156</v>
      </c>
      <c r="J489">
        <v>1215.4169922000001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153.420209</v>
      </c>
      <c r="B490" s="1">
        <f>DATE(2010,10,1) + TIME(10,5,6)</f>
        <v>40452.420208333337</v>
      </c>
      <c r="C490">
        <v>90</v>
      </c>
      <c r="D490">
        <v>89.906448363999999</v>
      </c>
      <c r="E490">
        <v>30</v>
      </c>
      <c r="F490">
        <v>15.510760307</v>
      </c>
      <c r="G490">
        <v>1379.9360352000001</v>
      </c>
      <c r="H490">
        <v>1367.7098389</v>
      </c>
      <c r="I490">
        <v>1255.3107910000001</v>
      </c>
      <c r="J490">
        <v>1215.4960937999999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153.840419</v>
      </c>
      <c r="B491" s="1">
        <f>DATE(2010,10,1) + TIME(20,10,12)</f>
        <v>40452.840416666666</v>
      </c>
      <c r="C491">
        <v>90</v>
      </c>
      <c r="D491">
        <v>89.906501770000006</v>
      </c>
      <c r="E491">
        <v>30</v>
      </c>
      <c r="F491">
        <v>15.541141509999999</v>
      </c>
      <c r="G491">
        <v>1379.9112548999999</v>
      </c>
      <c r="H491">
        <v>1367.6864014</v>
      </c>
      <c r="I491">
        <v>1255.3548584</v>
      </c>
      <c r="J491">
        <v>1215.5472411999999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154.260628</v>
      </c>
      <c r="B492" s="1">
        <f>DATE(2010,10,2) + TIME(6,15,18)</f>
        <v>40453.260625000003</v>
      </c>
      <c r="C492">
        <v>90</v>
      </c>
      <c r="D492">
        <v>89.906547545999999</v>
      </c>
      <c r="E492">
        <v>30</v>
      </c>
      <c r="F492">
        <v>15.571423531000001</v>
      </c>
      <c r="G492">
        <v>1379.8869629000001</v>
      </c>
      <c r="H492">
        <v>1367.6634521000001</v>
      </c>
      <c r="I492">
        <v>1255.3997803</v>
      </c>
      <c r="J492">
        <v>1215.5988769999999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154.68083799999999</v>
      </c>
      <c r="B493" s="1">
        <f>DATE(2010,10,2) + TIME(16,20,24)</f>
        <v>40453.680833333332</v>
      </c>
      <c r="C493">
        <v>90</v>
      </c>
      <c r="D493">
        <v>89.906593322999996</v>
      </c>
      <c r="E493">
        <v>30</v>
      </c>
      <c r="F493">
        <v>15.602075577000001</v>
      </c>
      <c r="G493">
        <v>1379.862793</v>
      </c>
      <c r="H493">
        <v>1367.6405029</v>
      </c>
      <c r="I493">
        <v>1255.4456786999999</v>
      </c>
      <c r="J493">
        <v>1215.6512451000001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155.10104699999999</v>
      </c>
      <c r="B494" s="1">
        <f>DATE(2010,10,3) + TIME(2,25,30)</f>
        <v>40454.101041666669</v>
      </c>
      <c r="C494">
        <v>90</v>
      </c>
      <c r="D494">
        <v>89.906646729000002</v>
      </c>
      <c r="E494">
        <v>30</v>
      </c>
      <c r="F494">
        <v>15.633430481</v>
      </c>
      <c r="G494">
        <v>1379.838501</v>
      </c>
      <c r="H494">
        <v>1367.6175536999999</v>
      </c>
      <c r="I494">
        <v>1255.4923096</v>
      </c>
      <c r="J494">
        <v>1215.7045897999999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155.52125599999999</v>
      </c>
      <c r="B495" s="1">
        <f>DATE(2010,10,3) + TIME(12,30,36)</f>
        <v>40454.521249999998</v>
      </c>
      <c r="C495">
        <v>90</v>
      </c>
      <c r="D495">
        <v>89.906692504999995</v>
      </c>
      <c r="E495">
        <v>30</v>
      </c>
      <c r="F495">
        <v>15.665725708</v>
      </c>
      <c r="G495">
        <v>1379.8143310999999</v>
      </c>
      <c r="H495">
        <v>1367.5946045000001</v>
      </c>
      <c r="I495">
        <v>1255.5397949000001</v>
      </c>
      <c r="J495">
        <v>1215.7590332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155.94146599999999</v>
      </c>
      <c r="B496" s="1">
        <f>DATE(2010,10,3) + TIME(22,35,42)</f>
        <v>40454.941458333335</v>
      </c>
      <c r="C496">
        <v>90</v>
      </c>
      <c r="D496">
        <v>89.906745911000002</v>
      </c>
      <c r="E496">
        <v>30</v>
      </c>
      <c r="F496">
        <v>15.699139595</v>
      </c>
      <c r="G496">
        <v>1379.7900391000001</v>
      </c>
      <c r="H496">
        <v>1367.5716553</v>
      </c>
      <c r="I496">
        <v>1255.5878906</v>
      </c>
      <c r="J496">
        <v>1215.8146973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156.36167499999999</v>
      </c>
      <c r="B497" s="1">
        <f>DATE(2010,10,4) + TIME(8,40,48)</f>
        <v>40455.361666666664</v>
      </c>
      <c r="C497">
        <v>90</v>
      </c>
      <c r="D497">
        <v>89.906791686999995</v>
      </c>
      <c r="E497">
        <v>30</v>
      </c>
      <c r="F497">
        <v>15.733804703000001</v>
      </c>
      <c r="G497">
        <v>1379.7658690999999</v>
      </c>
      <c r="H497">
        <v>1367.5487060999999</v>
      </c>
      <c r="I497">
        <v>1255.6367187999999</v>
      </c>
      <c r="J497">
        <v>1215.8714600000001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156.78188399999999</v>
      </c>
      <c r="B498" s="1">
        <f>DATE(2010,10,4) + TIME(18,45,54)</f>
        <v>40455.781875000001</v>
      </c>
      <c r="C498">
        <v>90</v>
      </c>
      <c r="D498">
        <v>89.906837463000002</v>
      </c>
      <c r="E498">
        <v>30</v>
      </c>
      <c r="F498">
        <v>15.76982975</v>
      </c>
      <c r="G498">
        <v>1379.7416992000001</v>
      </c>
      <c r="H498">
        <v>1367.5258789</v>
      </c>
      <c r="I498">
        <v>1255.6862793</v>
      </c>
      <c r="J498">
        <v>1215.9295654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157.20209399999999</v>
      </c>
      <c r="B499" s="1">
        <f>DATE(2010,10,5) + TIME(4,51,0)</f>
        <v>40456.20208333333</v>
      </c>
      <c r="C499">
        <v>90</v>
      </c>
      <c r="D499">
        <v>89.906890868999994</v>
      </c>
      <c r="E499">
        <v>30</v>
      </c>
      <c r="F499">
        <v>15.807301520999999</v>
      </c>
      <c r="G499">
        <v>1379.7174072</v>
      </c>
      <c r="H499">
        <v>1367.5029297000001</v>
      </c>
      <c r="I499">
        <v>1255.7363281</v>
      </c>
      <c r="J499">
        <v>1215.9890137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157.621883</v>
      </c>
      <c r="B500" s="1">
        <f>DATE(2010,10,5) + TIME(14,55,30)</f>
        <v>40456.621874999997</v>
      </c>
      <c r="C500">
        <v>90</v>
      </c>
      <c r="D500">
        <v>89.906936646000005</v>
      </c>
      <c r="E500">
        <v>30</v>
      </c>
      <c r="F500">
        <v>15.846270561000001</v>
      </c>
      <c r="G500">
        <v>1379.6932373</v>
      </c>
      <c r="H500">
        <v>1367.4799805</v>
      </c>
      <c r="I500">
        <v>1255.7871094</v>
      </c>
      <c r="J500">
        <v>1216.0498047000001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158.04098400000001</v>
      </c>
      <c r="B501" s="1">
        <f>DATE(2010,10,6) + TIME(0,59,1)</f>
        <v>40457.040983796294</v>
      </c>
      <c r="C501">
        <v>90</v>
      </c>
      <c r="D501">
        <v>89.906990050999994</v>
      </c>
      <c r="E501">
        <v>30</v>
      </c>
      <c r="F501">
        <v>15.886777878</v>
      </c>
      <c r="G501">
        <v>1379.6690673999999</v>
      </c>
      <c r="H501">
        <v>1367.4570312000001</v>
      </c>
      <c r="I501">
        <v>1255.8383789</v>
      </c>
      <c r="J501">
        <v>1216.1119385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158.459495</v>
      </c>
      <c r="B502" s="1">
        <f>DATE(2010,10,6) + TIME(11,1,40)</f>
        <v>40457.459490740737</v>
      </c>
      <c r="C502">
        <v>90</v>
      </c>
      <c r="D502">
        <v>89.907035828000005</v>
      </c>
      <c r="E502">
        <v>30</v>
      </c>
      <c r="F502">
        <v>15.928880692</v>
      </c>
      <c r="G502">
        <v>1379.6448975000001</v>
      </c>
      <c r="H502">
        <v>1367.434082</v>
      </c>
      <c r="I502">
        <v>1255.8901367000001</v>
      </c>
      <c r="J502">
        <v>1216.1754149999999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158.877498</v>
      </c>
      <c r="B503" s="1">
        <f>DATE(2010,10,6) + TIME(21,3,35)</f>
        <v>40457.877488425926</v>
      </c>
      <c r="C503">
        <v>90</v>
      </c>
      <c r="D503">
        <v>89.907081603999998</v>
      </c>
      <c r="E503">
        <v>30</v>
      </c>
      <c r="F503">
        <v>15.972631454</v>
      </c>
      <c r="G503">
        <v>1379.6208495999999</v>
      </c>
      <c r="H503">
        <v>1367.4112548999999</v>
      </c>
      <c r="I503">
        <v>1255.9425048999999</v>
      </c>
      <c r="J503">
        <v>1216.2402344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159.29508899999999</v>
      </c>
      <c r="B504" s="1">
        <f>DATE(2010,10,7) + TIME(7,4,55)</f>
        <v>40458.295081018521</v>
      </c>
      <c r="C504">
        <v>90</v>
      </c>
      <c r="D504">
        <v>89.907135010000005</v>
      </c>
      <c r="E504">
        <v>30</v>
      </c>
      <c r="F504">
        <v>16.018083571999998</v>
      </c>
      <c r="G504">
        <v>1379.5968018000001</v>
      </c>
      <c r="H504">
        <v>1367.3884277</v>
      </c>
      <c r="I504">
        <v>1255.9952393000001</v>
      </c>
      <c r="J504">
        <v>1216.3065185999999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159.71237199999999</v>
      </c>
      <c r="B505" s="1">
        <f>DATE(2010,10,7) + TIME(17,5,48)</f>
        <v>40458.712361111109</v>
      </c>
      <c r="C505">
        <v>90</v>
      </c>
      <c r="D505">
        <v>89.907180785999998</v>
      </c>
      <c r="E505">
        <v>30</v>
      </c>
      <c r="F505">
        <v>16.065290450999999</v>
      </c>
      <c r="G505">
        <v>1379.5726318</v>
      </c>
      <c r="H505">
        <v>1367.3654785000001</v>
      </c>
      <c r="I505">
        <v>1256.0485839999999</v>
      </c>
      <c r="J505">
        <v>1216.3742675999999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160.12945999999999</v>
      </c>
      <c r="B506" s="1">
        <f>DATE(2010,10,8) + TIME(3,6,25)</f>
        <v>40459.12945601852</v>
      </c>
      <c r="C506">
        <v>90</v>
      </c>
      <c r="D506">
        <v>89.907234192000004</v>
      </c>
      <c r="E506">
        <v>30</v>
      </c>
      <c r="F506">
        <v>16.114309311</v>
      </c>
      <c r="G506">
        <v>1379.5487060999999</v>
      </c>
      <c r="H506">
        <v>1367.3427733999999</v>
      </c>
      <c r="I506">
        <v>1256.1025391000001</v>
      </c>
      <c r="J506">
        <v>1216.4436035000001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160.54647399999999</v>
      </c>
      <c r="B507" s="1">
        <f>DATE(2010,10,8) + TIME(13,6,55)</f>
        <v>40459.546469907407</v>
      </c>
      <c r="C507">
        <v>90</v>
      </c>
      <c r="D507">
        <v>89.907279967999997</v>
      </c>
      <c r="E507">
        <v>30</v>
      </c>
      <c r="F507">
        <v>16.165201187000001</v>
      </c>
      <c r="G507">
        <v>1379.5246582</v>
      </c>
      <c r="H507">
        <v>1367.3199463000001</v>
      </c>
      <c r="I507">
        <v>1256.1569824000001</v>
      </c>
      <c r="J507">
        <v>1216.5144043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160.96348599999999</v>
      </c>
      <c r="B508" s="1">
        <f>DATE(2010,10,8) + TIME(23,7,25)</f>
        <v>40459.963483796295</v>
      </c>
      <c r="C508">
        <v>90</v>
      </c>
      <c r="D508">
        <v>89.907325744999994</v>
      </c>
      <c r="E508">
        <v>30</v>
      </c>
      <c r="F508">
        <v>16.218019484999999</v>
      </c>
      <c r="G508">
        <v>1379.5006103999999</v>
      </c>
      <c r="H508">
        <v>1367.2971190999999</v>
      </c>
      <c r="I508">
        <v>1256.2119141000001</v>
      </c>
      <c r="J508">
        <v>1216.5869141000001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161.38049799999999</v>
      </c>
      <c r="B509" s="1">
        <f>DATE(2010,10,9) + TIME(9,7,55)</f>
        <v>40460.380497685182</v>
      </c>
      <c r="C509">
        <v>90</v>
      </c>
      <c r="D509">
        <v>89.907379149999997</v>
      </c>
      <c r="E509">
        <v>30</v>
      </c>
      <c r="F509">
        <v>16.272817612000001</v>
      </c>
      <c r="G509">
        <v>1379.4765625</v>
      </c>
      <c r="H509">
        <v>1367.2742920000001</v>
      </c>
      <c r="I509">
        <v>1256.2674560999999</v>
      </c>
      <c r="J509">
        <v>1216.6610106999999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161.79751099999999</v>
      </c>
      <c r="B510" s="1">
        <f>DATE(2010,10,9) + TIME(19,8,24)</f>
        <v>40460.797500000001</v>
      </c>
      <c r="C510">
        <v>90</v>
      </c>
      <c r="D510">
        <v>89.907424926999994</v>
      </c>
      <c r="E510">
        <v>30</v>
      </c>
      <c r="F510">
        <v>16.329639435000001</v>
      </c>
      <c r="G510">
        <v>1379.4525146000001</v>
      </c>
      <c r="H510">
        <v>1367.2514647999999</v>
      </c>
      <c r="I510">
        <v>1256.3234863</v>
      </c>
      <c r="J510">
        <v>1216.7369385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162.21452300000001</v>
      </c>
      <c r="B511" s="1">
        <f>DATE(2010,10,10) + TIME(5,8,54)</f>
        <v>40461.214513888888</v>
      </c>
      <c r="C511">
        <v>90</v>
      </c>
      <c r="D511">
        <v>89.907470703000001</v>
      </c>
      <c r="E511">
        <v>30</v>
      </c>
      <c r="F511">
        <v>16.388532639000001</v>
      </c>
      <c r="G511">
        <v>1379.4285889</v>
      </c>
      <c r="H511">
        <v>1367.2285156</v>
      </c>
      <c r="I511">
        <v>1256.3801269999999</v>
      </c>
      <c r="J511">
        <v>1216.8144531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162.63153500000001</v>
      </c>
      <c r="B512" s="1">
        <f>DATE(2010,10,10) + TIME(15,9,24)</f>
        <v>40461.631527777776</v>
      </c>
      <c r="C512">
        <v>90</v>
      </c>
      <c r="D512">
        <v>89.907524108999993</v>
      </c>
      <c r="E512">
        <v>30</v>
      </c>
      <c r="F512">
        <v>16.449541092</v>
      </c>
      <c r="G512">
        <v>1379.4045410000001</v>
      </c>
      <c r="H512">
        <v>1367.2056885</v>
      </c>
      <c r="I512">
        <v>1256.4372559000001</v>
      </c>
      <c r="J512">
        <v>1216.8937988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163.46556000000001</v>
      </c>
      <c r="B513" s="1">
        <f>DATE(2010,10,11) + TIME(11,10,24)</f>
        <v>40462.465555555558</v>
      </c>
      <c r="C513">
        <v>90</v>
      </c>
      <c r="D513">
        <v>89.907623290999993</v>
      </c>
      <c r="E513">
        <v>30</v>
      </c>
      <c r="F513">
        <v>16.544481276999999</v>
      </c>
      <c r="G513">
        <v>1379.3806152</v>
      </c>
      <c r="H513">
        <v>1367.1829834</v>
      </c>
      <c r="I513">
        <v>1256.4825439000001</v>
      </c>
      <c r="J513">
        <v>1216.9864502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164.30224899999999</v>
      </c>
      <c r="B514" s="1">
        <f>DATE(2010,10,12) + TIME(7,15,14)</f>
        <v>40463.302245370367</v>
      </c>
      <c r="C514">
        <v>90</v>
      </c>
      <c r="D514">
        <v>89.907722473000007</v>
      </c>
      <c r="E514">
        <v>30</v>
      </c>
      <c r="F514">
        <v>16.661920547000001</v>
      </c>
      <c r="G514">
        <v>1379.3331298999999</v>
      </c>
      <c r="H514">
        <v>1367.1378173999999</v>
      </c>
      <c r="I514">
        <v>1256.6035156</v>
      </c>
      <c r="J514">
        <v>1217.1468506000001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165.15797900000001</v>
      </c>
      <c r="B515" s="1">
        <f>DATE(2010,10,13) + TIME(3,47,29)</f>
        <v>40464.15797453704</v>
      </c>
      <c r="C515">
        <v>90</v>
      </c>
      <c r="D515">
        <v>89.907821655000006</v>
      </c>
      <c r="E515">
        <v>30</v>
      </c>
      <c r="F515">
        <v>16.796915053999999</v>
      </c>
      <c r="G515">
        <v>1379.2849120999999</v>
      </c>
      <c r="H515">
        <v>1367.0920410000001</v>
      </c>
      <c r="I515">
        <v>1256.723999</v>
      </c>
      <c r="J515">
        <v>1217.3183594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165.589822</v>
      </c>
      <c r="B516" s="1">
        <f>DATE(2010,10,13) + TIME(14,9,20)</f>
        <v>40464.589814814812</v>
      </c>
      <c r="C516">
        <v>90</v>
      </c>
      <c r="D516">
        <v>89.907867432000003</v>
      </c>
      <c r="E516">
        <v>30</v>
      </c>
      <c r="F516">
        <v>16.897230147999998</v>
      </c>
      <c r="G516">
        <v>1379.2359618999999</v>
      </c>
      <c r="H516">
        <v>1367.0454102000001</v>
      </c>
      <c r="I516">
        <v>1256.8679199000001</v>
      </c>
      <c r="J516">
        <v>1217.4844971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166.445143</v>
      </c>
      <c r="B517" s="1">
        <f>DATE(2010,10,14) + TIME(10,41,0)</f>
        <v>40465.445138888892</v>
      </c>
      <c r="C517">
        <v>90</v>
      </c>
      <c r="D517">
        <v>89.907966614000003</v>
      </c>
      <c r="E517">
        <v>30</v>
      </c>
      <c r="F517">
        <v>17.039564132999999</v>
      </c>
      <c r="G517">
        <v>1379.2104492000001</v>
      </c>
      <c r="H517">
        <v>1367.0209961</v>
      </c>
      <c r="I517">
        <v>1256.9079589999999</v>
      </c>
      <c r="J517">
        <v>1217.6044922000001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167.301072</v>
      </c>
      <c r="B518" s="1">
        <f>DATE(2010,10,15) + TIME(7,13,32)</f>
        <v>40466.301064814812</v>
      </c>
      <c r="C518">
        <v>90</v>
      </c>
      <c r="D518">
        <v>89.908065796000002</v>
      </c>
      <c r="E518">
        <v>30</v>
      </c>
      <c r="F518">
        <v>17.200103760000001</v>
      </c>
      <c r="G518">
        <v>1379.1616211</v>
      </c>
      <c r="H518">
        <v>1366.9746094</v>
      </c>
      <c r="I518">
        <v>1257.036499</v>
      </c>
      <c r="J518">
        <v>1217.7988281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168.157239</v>
      </c>
      <c r="B519" s="1">
        <f>DATE(2010,10,16) + TIME(3,46,25)</f>
        <v>40467.157233796293</v>
      </c>
      <c r="C519">
        <v>90</v>
      </c>
      <c r="D519">
        <v>89.908164978000002</v>
      </c>
      <c r="E519">
        <v>30</v>
      </c>
      <c r="F519">
        <v>17.374988556000002</v>
      </c>
      <c r="G519">
        <v>1379.1124268000001</v>
      </c>
      <c r="H519">
        <v>1366.9276123</v>
      </c>
      <c r="I519">
        <v>1257.1656493999999</v>
      </c>
      <c r="J519">
        <v>1218.0032959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169.014059</v>
      </c>
      <c r="B520" s="1">
        <f>DATE(2010,10,17) + TIME(0,20,14)</f>
        <v>40468.014050925929</v>
      </c>
      <c r="C520">
        <v>90</v>
      </c>
      <c r="D520">
        <v>89.908264160000002</v>
      </c>
      <c r="E520">
        <v>30</v>
      </c>
      <c r="F520">
        <v>17.562343597000002</v>
      </c>
      <c r="G520">
        <v>1379.0632324000001</v>
      </c>
      <c r="H520">
        <v>1366.8807373</v>
      </c>
      <c r="I520">
        <v>1257.2956543</v>
      </c>
      <c r="J520">
        <v>1218.2170410000001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169.87265500000001</v>
      </c>
      <c r="B521" s="1">
        <f>DATE(2010,10,17) + TIME(20,56,37)</f>
        <v>40468.872650462959</v>
      </c>
      <c r="C521">
        <v>90</v>
      </c>
      <c r="D521">
        <v>89.908363342000001</v>
      </c>
      <c r="E521">
        <v>30</v>
      </c>
      <c r="F521">
        <v>17.761369705</v>
      </c>
      <c r="G521">
        <v>1379.0140381000001</v>
      </c>
      <c r="H521">
        <v>1366.8337402</v>
      </c>
      <c r="I521">
        <v>1257.4270019999999</v>
      </c>
      <c r="J521">
        <v>1218.4395752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170.73446000000001</v>
      </c>
      <c r="B522" s="1">
        <f>DATE(2010,10,18) + TIME(17,37,37)</f>
        <v>40469.734456018516</v>
      </c>
      <c r="C522">
        <v>90</v>
      </c>
      <c r="D522">
        <v>89.908462524000001</v>
      </c>
      <c r="E522">
        <v>30</v>
      </c>
      <c r="F522">
        <v>17.971817016999999</v>
      </c>
      <c r="G522">
        <v>1378.9647216999999</v>
      </c>
      <c r="H522">
        <v>1366.7867432</v>
      </c>
      <c r="I522">
        <v>1257.5598144999999</v>
      </c>
      <c r="J522">
        <v>1218.6710204999999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171.60144399999999</v>
      </c>
      <c r="B523" s="1">
        <f>DATE(2010,10,19) + TIME(14,26,4)</f>
        <v>40470.601435185185</v>
      </c>
      <c r="C523">
        <v>90</v>
      </c>
      <c r="D523">
        <v>89.908561707000004</v>
      </c>
      <c r="E523">
        <v>30</v>
      </c>
      <c r="F523">
        <v>18.193773270000001</v>
      </c>
      <c r="G523">
        <v>1378.9152832</v>
      </c>
      <c r="H523">
        <v>1366.7395019999999</v>
      </c>
      <c r="I523">
        <v>1257.6944579999999</v>
      </c>
      <c r="J523">
        <v>1218.9117432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172.475717</v>
      </c>
      <c r="B524" s="1">
        <f>DATE(2010,10,20) + TIME(11,25,1)</f>
        <v>40471.475706018522</v>
      </c>
      <c r="C524">
        <v>90</v>
      </c>
      <c r="D524">
        <v>89.908660889000004</v>
      </c>
      <c r="E524">
        <v>30</v>
      </c>
      <c r="F524">
        <v>18.427509308000001</v>
      </c>
      <c r="G524">
        <v>1378.8657227000001</v>
      </c>
      <c r="H524">
        <v>1366.6921387</v>
      </c>
      <c r="I524">
        <v>1257.8312988</v>
      </c>
      <c r="J524">
        <v>1219.1622314000001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173.359397</v>
      </c>
      <c r="B525" s="1">
        <f>DATE(2010,10,21) + TIME(8,37,31)</f>
        <v>40472.359386574077</v>
      </c>
      <c r="C525">
        <v>90</v>
      </c>
      <c r="D525">
        <v>89.908760071000003</v>
      </c>
      <c r="E525">
        <v>30</v>
      </c>
      <c r="F525">
        <v>18.673395157000002</v>
      </c>
      <c r="G525">
        <v>1378.8156738</v>
      </c>
      <c r="H525">
        <v>1366.6442870999999</v>
      </c>
      <c r="I525">
        <v>1257.9705810999999</v>
      </c>
      <c r="J525">
        <v>1219.4229736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174.25542999999999</v>
      </c>
      <c r="B526" s="1">
        <f>DATE(2010,10,22) + TIME(6,7,49)</f>
        <v>40473.255428240744</v>
      </c>
      <c r="C526">
        <v>90</v>
      </c>
      <c r="D526">
        <v>89.908866881999998</v>
      </c>
      <c r="E526">
        <v>30</v>
      </c>
      <c r="F526">
        <v>18.931951522999999</v>
      </c>
      <c r="G526">
        <v>1378.7652588000001</v>
      </c>
      <c r="H526">
        <v>1366.5960693</v>
      </c>
      <c r="I526">
        <v>1258.1125488</v>
      </c>
      <c r="J526">
        <v>1219.6948242000001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175.15632400000001</v>
      </c>
      <c r="B527" s="1">
        <f>DATE(2010,10,23) + TIME(3,45,6)</f>
        <v>40474.156319444446</v>
      </c>
      <c r="C527">
        <v>90</v>
      </c>
      <c r="D527">
        <v>89.908966063999998</v>
      </c>
      <c r="E527">
        <v>30</v>
      </c>
      <c r="F527">
        <v>19.202249526999999</v>
      </c>
      <c r="G527">
        <v>1378.7142334</v>
      </c>
      <c r="H527">
        <v>1366.5472411999999</v>
      </c>
      <c r="I527">
        <v>1258.2585449000001</v>
      </c>
      <c r="J527">
        <v>1219.9779053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176.065279</v>
      </c>
      <c r="B528" s="1">
        <f>DATE(2010,10,24) + TIME(1,34,0)</f>
        <v>40475.06527777778</v>
      </c>
      <c r="C528">
        <v>90</v>
      </c>
      <c r="D528">
        <v>89.909065247000001</v>
      </c>
      <c r="E528">
        <v>30</v>
      </c>
      <c r="F528">
        <v>19.484018326000001</v>
      </c>
      <c r="G528">
        <v>1378.6629639</v>
      </c>
      <c r="H528">
        <v>1366.4982910000001</v>
      </c>
      <c r="I528">
        <v>1258.4063721</v>
      </c>
      <c r="J528">
        <v>1220.2707519999999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176.98624799999999</v>
      </c>
      <c r="B529" s="1">
        <f>DATE(2010,10,24) + TIME(23,40,11)</f>
        <v>40475.986238425925</v>
      </c>
      <c r="C529">
        <v>90</v>
      </c>
      <c r="D529">
        <v>89.909172057999996</v>
      </c>
      <c r="E529">
        <v>30</v>
      </c>
      <c r="F529">
        <v>19.777513504000002</v>
      </c>
      <c r="G529">
        <v>1378.6114502</v>
      </c>
      <c r="H529">
        <v>1366.4489745999999</v>
      </c>
      <c r="I529">
        <v>1258.5567627</v>
      </c>
      <c r="J529">
        <v>1220.5742187999999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177.921414</v>
      </c>
      <c r="B530" s="1">
        <f>DATE(2010,10,25) + TIME(22,6,50)</f>
        <v>40476.921412037038</v>
      </c>
      <c r="C530">
        <v>90</v>
      </c>
      <c r="D530">
        <v>89.909278869999994</v>
      </c>
      <c r="E530">
        <v>30</v>
      </c>
      <c r="F530">
        <v>20.083150864</v>
      </c>
      <c r="G530">
        <v>1378.5594481999999</v>
      </c>
      <c r="H530">
        <v>1366.3991699000001</v>
      </c>
      <c r="I530">
        <v>1258.7104492000001</v>
      </c>
      <c r="J530">
        <v>1220.8892822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178.87286</v>
      </c>
      <c r="B531" s="1">
        <f>DATE(2010,10,26) + TIME(20,56,55)</f>
        <v>40477.872858796298</v>
      </c>
      <c r="C531">
        <v>90</v>
      </c>
      <c r="D531">
        <v>89.909385681000003</v>
      </c>
      <c r="E531">
        <v>30</v>
      </c>
      <c r="F531">
        <v>20.401432036999999</v>
      </c>
      <c r="G531">
        <v>1378.5068358999999</v>
      </c>
      <c r="H531">
        <v>1366.3488769999999</v>
      </c>
      <c r="I531">
        <v>1258.8680420000001</v>
      </c>
      <c r="J531">
        <v>1221.2163086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179.84011699999999</v>
      </c>
      <c r="B532" s="1">
        <f>DATE(2010,10,27) + TIME(20,9,46)</f>
        <v>40478.840115740742</v>
      </c>
      <c r="C532">
        <v>90</v>
      </c>
      <c r="D532">
        <v>89.909492493000002</v>
      </c>
      <c r="E532">
        <v>30</v>
      </c>
      <c r="F532">
        <v>20.731912612999999</v>
      </c>
      <c r="G532">
        <v>1378.4534911999999</v>
      </c>
      <c r="H532">
        <v>1366.2977295000001</v>
      </c>
      <c r="I532">
        <v>1259.0301514</v>
      </c>
      <c r="J532">
        <v>1221.5559082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180.82197500000001</v>
      </c>
      <c r="B533" s="1">
        <f>DATE(2010,10,28) + TIME(19,43,38)</f>
        <v>40479.821967592594</v>
      </c>
      <c r="C533">
        <v>90</v>
      </c>
      <c r="D533">
        <v>89.909606933999996</v>
      </c>
      <c r="E533">
        <v>30</v>
      </c>
      <c r="F533">
        <v>21.073944092000001</v>
      </c>
      <c r="G533">
        <v>1378.3995361</v>
      </c>
      <c r="H533">
        <v>1366.2460937999999</v>
      </c>
      <c r="I533">
        <v>1259.1967772999999</v>
      </c>
      <c r="J533">
        <v>1221.9077147999999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181.82057800000001</v>
      </c>
      <c r="B534" s="1">
        <f>DATE(2010,10,29) + TIME(19,41,37)</f>
        <v>40480.820567129631</v>
      </c>
      <c r="C534">
        <v>90</v>
      </c>
      <c r="D534">
        <v>89.909721375000004</v>
      </c>
      <c r="E534">
        <v>30</v>
      </c>
      <c r="F534">
        <v>21.427125930999999</v>
      </c>
      <c r="G534">
        <v>1378.3449707</v>
      </c>
      <c r="H534">
        <v>1366.1938477000001</v>
      </c>
      <c r="I534">
        <v>1259.3676757999999</v>
      </c>
      <c r="J534">
        <v>1222.2712402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182.83388199999999</v>
      </c>
      <c r="B535" s="1">
        <f>DATE(2010,10,30) + TIME(20,0,47)</f>
        <v>40481.833877314813</v>
      </c>
      <c r="C535">
        <v>90</v>
      </c>
      <c r="D535">
        <v>89.909828185999999</v>
      </c>
      <c r="E535">
        <v>30</v>
      </c>
      <c r="F535">
        <v>21.790634154999999</v>
      </c>
      <c r="G535">
        <v>1378.2897949000001</v>
      </c>
      <c r="H535">
        <v>1366.1411132999999</v>
      </c>
      <c r="I535">
        <v>1259.5435791</v>
      </c>
      <c r="J535">
        <v>1222.6466064000001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183.86039400000001</v>
      </c>
      <c r="B536" s="1">
        <f>DATE(2010,10,31) + TIME(20,38,58)</f>
        <v>40482.860393518517</v>
      </c>
      <c r="C536">
        <v>90</v>
      </c>
      <c r="D536">
        <v>89.909942627000007</v>
      </c>
      <c r="E536">
        <v>30</v>
      </c>
      <c r="F536">
        <v>22.163370132000001</v>
      </c>
      <c r="G536">
        <v>1378.2342529</v>
      </c>
      <c r="H536">
        <v>1366.0878906</v>
      </c>
      <c r="I536">
        <v>1259.7241211</v>
      </c>
      <c r="J536">
        <v>1223.0329589999999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184</v>
      </c>
      <c r="B537" s="1">
        <f>DATE(2010,11,1) + TIME(0,0,0)</f>
        <v>40483</v>
      </c>
      <c r="C537">
        <v>90</v>
      </c>
      <c r="D537">
        <v>89.909950256000002</v>
      </c>
      <c r="E537">
        <v>30</v>
      </c>
      <c r="F537">
        <v>22.264627457</v>
      </c>
      <c r="G537">
        <v>1378.1828613</v>
      </c>
      <c r="H537">
        <v>1366.0388184000001</v>
      </c>
      <c r="I537">
        <v>1259.9818115</v>
      </c>
      <c r="J537">
        <v>1223.3062743999999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184.000001</v>
      </c>
      <c r="B538" s="1">
        <f>DATE(2010,11,1) + TIME(0,0,0)</f>
        <v>40483</v>
      </c>
      <c r="C538">
        <v>90</v>
      </c>
      <c r="D538">
        <v>89.909828185999999</v>
      </c>
      <c r="E538">
        <v>30</v>
      </c>
      <c r="F538">
        <v>22.264743804999998</v>
      </c>
      <c r="G538">
        <v>1365.1683350000001</v>
      </c>
      <c r="H538">
        <v>1354.6992187999999</v>
      </c>
      <c r="I538">
        <v>1297.4812012</v>
      </c>
      <c r="J538">
        <v>1260.9566649999999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184.00000399999999</v>
      </c>
      <c r="B539" s="1">
        <f>DATE(2010,11,1) + TIME(0,0,0)</f>
        <v>40483</v>
      </c>
      <c r="C539">
        <v>90</v>
      </c>
      <c r="D539">
        <v>89.909507751000007</v>
      </c>
      <c r="E539">
        <v>30</v>
      </c>
      <c r="F539">
        <v>22.265069961999998</v>
      </c>
      <c r="G539">
        <v>1363.0085449000001</v>
      </c>
      <c r="H539">
        <v>1352.5384521000001</v>
      </c>
      <c r="I539">
        <v>1299.9580077999999</v>
      </c>
      <c r="J539">
        <v>1263.6763916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184.000013</v>
      </c>
      <c r="B540" s="1">
        <f>DATE(2010,11,1) + TIME(0,0,1)</f>
        <v>40483.000011574077</v>
      </c>
      <c r="C540">
        <v>90</v>
      </c>
      <c r="D540">
        <v>89.908889771000005</v>
      </c>
      <c r="E540">
        <v>30</v>
      </c>
      <c r="F540">
        <v>22.265890121000002</v>
      </c>
      <c r="G540">
        <v>1358.7879639</v>
      </c>
      <c r="H540">
        <v>1348.3171387</v>
      </c>
      <c r="I540">
        <v>1306.2205810999999</v>
      </c>
      <c r="J540">
        <v>1270.4190673999999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184.00004000000001</v>
      </c>
      <c r="B541" s="1">
        <f>DATE(2010,11,1) + TIME(0,0,3)</f>
        <v>40483.000034722223</v>
      </c>
      <c r="C541">
        <v>90</v>
      </c>
      <c r="D541">
        <v>89.908004761000001</v>
      </c>
      <c r="E541">
        <v>30</v>
      </c>
      <c r="F541">
        <v>22.267587662</v>
      </c>
      <c r="G541">
        <v>1352.8414307</v>
      </c>
      <c r="H541">
        <v>1342.3728027</v>
      </c>
      <c r="I541">
        <v>1318.9055175999999</v>
      </c>
      <c r="J541">
        <v>1283.6506348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184.00012100000001</v>
      </c>
      <c r="B542" s="1">
        <f>DATE(2010,11,1) + TIME(0,0,10)</f>
        <v>40483.000115740739</v>
      </c>
      <c r="C542">
        <v>90</v>
      </c>
      <c r="D542">
        <v>89.907020568999997</v>
      </c>
      <c r="E542">
        <v>30</v>
      </c>
      <c r="F542">
        <v>22.270376205000002</v>
      </c>
      <c r="G542">
        <v>1346.3497314000001</v>
      </c>
      <c r="H542">
        <v>1335.8923339999999</v>
      </c>
      <c r="I542">
        <v>1337.4858397999999</v>
      </c>
      <c r="J542">
        <v>1302.3453368999999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184.00036399999999</v>
      </c>
      <c r="B543" s="1">
        <f>DATE(2010,11,1) + TIME(0,0,31)</f>
        <v>40483.000358796293</v>
      </c>
      <c r="C543">
        <v>90</v>
      </c>
      <c r="D543">
        <v>89.905967712000006</v>
      </c>
      <c r="E543">
        <v>30</v>
      </c>
      <c r="F543">
        <v>22.27491951</v>
      </c>
      <c r="G543">
        <v>1339.8386230000001</v>
      </c>
      <c r="H543">
        <v>1329.3922118999999</v>
      </c>
      <c r="I543">
        <v>1358.2919922000001</v>
      </c>
      <c r="J543">
        <v>1323.0665283000001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184.001093</v>
      </c>
      <c r="B544" s="1">
        <f>DATE(2010,11,1) + TIME(0,1,34)</f>
        <v>40483.001087962963</v>
      </c>
      <c r="C544">
        <v>90</v>
      </c>
      <c r="D544">
        <v>89.904685974000003</v>
      </c>
      <c r="E544">
        <v>30</v>
      </c>
      <c r="F544">
        <v>22.284091949</v>
      </c>
      <c r="G544">
        <v>1333.2028809000001</v>
      </c>
      <c r="H544">
        <v>1322.7301024999999</v>
      </c>
      <c r="I544">
        <v>1379.2366943</v>
      </c>
      <c r="J544">
        <v>1343.9628906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184.00327999999999</v>
      </c>
      <c r="B545" s="1">
        <f>DATE(2010,11,1) + TIME(0,4,43)</f>
        <v>40483.003275462965</v>
      </c>
      <c r="C545">
        <v>90</v>
      </c>
      <c r="D545">
        <v>89.902687072999996</v>
      </c>
      <c r="E545">
        <v>30</v>
      </c>
      <c r="F545">
        <v>22.307031631000001</v>
      </c>
      <c r="G545">
        <v>1325.8623047000001</v>
      </c>
      <c r="H545">
        <v>1315.2725829999999</v>
      </c>
      <c r="I545">
        <v>1399.6665039</v>
      </c>
      <c r="J545">
        <v>1364.2885742000001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184.00984099999999</v>
      </c>
      <c r="B546" s="1">
        <f>DATE(2010,11,1) + TIME(0,14,10)</f>
        <v>40483.009837962964</v>
      </c>
      <c r="C546">
        <v>90</v>
      </c>
      <c r="D546">
        <v>89.898666382000002</v>
      </c>
      <c r="E546">
        <v>30</v>
      </c>
      <c r="F546">
        <v>22.371107101</v>
      </c>
      <c r="G546">
        <v>1317.5189209</v>
      </c>
      <c r="H546">
        <v>1306.7957764</v>
      </c>
      <c r="I546">
        <v>1417.7691649999999</v>
      </c>
      <c r="J546">
        <v>1382.1959228999999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184.02952400000001</v>
      </c>
      <c r="B547" s="1">
        <f>DATE(2010,11,1) + TIME(0,42,30)</f>
        <v>40483.029513888891</v>
      </c>
      <c r="C547">
        <v>90</v>
      </c>
      <c r="D547">
        <v>89.889282226999995</v>
      </c>
      <c r="E547">
        <v>30</v>
      </c>
      <c r="F547">
        <v>22.555467606000001</v>
      </c>
      <c r="G547">
        <v>1309.8950195</v>
      </c>
      <c r="H547">
        <v>1299.1053466999999</v>
      </c>
      <c r="I547">
        <v>1430.0484618999999</v>
      </c>
      <c r="J547">
        <v>1394.4105225000001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184.088573</v>
      </c>
      <c r="B548" s="1">
        <f>DATE(2010,11,1) + TIME(2,7,32)</f>
        <v>40483.088564814818</v>
      </c>
      <c r="C548">
        <v>90</v>
      </c>
      <c r="D548">
        <v>89.865043639999996</v>
      </c>
      <c r="E548">
        <v>30</v>
      </c>
      <c r="F548">
        <v>23.067380905</v>
      </c>
      <c r="G548">
        <v>1305.5892334</v>
      </c>
      <c r="H548">
        <v>1294.7772216999999</v>
      </c>
      <c r="I548">
        <v>1434.3275146000001</v>
      </c>
      <c r="J548">
        <v>1399.1154785000001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184.157588</v>
      </c>
      <c r="B549" s="1">
        <f>DATE(2010,11,1) + TIME(3,46,55)</f>
        <v>40483.157581018517</v>
      </c>
      <c r="C549">
        <v>90</v>
      </c>
      <c r="D549">
        <v>89.838073730000005</v>
      </c>
      <c r="E549">
        <v>30</v>
      </c>
      <c r="F549">
        <v>23.616336823000001</v>
      </c>
      <c r="G549">
        <v>1304.5549315999999</v>
      </c>
      <c r="H549">
        <v>1293.7379149999999</v>
      </c>
      <c r="I549">
        <v>1434.1403809000001</v>
      </c>
      <c r="J549">
        <v>1399.4808350000001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184.23149599999999</v>
      </c>
      <c r="B550" s="1">
        <f>DATE(2010,11,1) + TIME(5,33,21)</f>
        <v>40483.231493055559</v>
      </c>
      <c r="C550">
        <v>90</v>
      </c>
      <c r="D550">
        <v>89.810028075999995</v>
      </c>
      <c r="E550">
        <v>30</v>
      </c>
      <c r="F550">
        <v>24.152994155999998</v>
      </c>
      <c r="G550">
        <v>1304.3024902</v>
      </c>
      <c r="H550">
        <v>1293.4837646000001</v>
      </c>
      <c r="I550">
        <v>1433.2441406</v>
      </c>
      <c r="J550">
        <v>1399.1314697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184.31097500000001</v>
      </c>
      <c r="B551" s="1">
        <f>DATE(2010,11,1) + TIME(7,27,48)</f>
        <v>40483.310972222222</v>
      </c>
      <c r="C551">
        <v>90</v>
      </c>
      <c r="D551">
        <v>89.780685425000001</v>
      </c>
      <c r="E551">
        <v>30</v>
      </c>
      <c r="F551">
        <v>24.676628113</v>
      </c>
      <c r="G551">
        <v>1304.2331543</v>
      </c>
      <c r="H551">
        <v>1293.4132079999999</v>
      </c>
      <c r="I551">
        <v>1432.2866211</v>
      </c>
      <c r="J551">
        <v>1398.6999512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184.396942</v>
      </c>
      <c r="B552" s="1">
        <f>DATE(2010,11,1) + TIME(9,31,35)</f>
        <v>40483.396932870368</v>
      </c>
      <c r="C552">
        <v>90</v>
      </c>
      <c r="D552">
        <v>89.749794006000002</v>
      </c>
      <c r="E552">
        <v>30</v>
      </c>
      <c r="F552">
        <v>25.187057495000001</v>
      </c>
      <c r="G552">
        <v>1304.2100829999999</v>
      </c>
      <c r="H552">
        <v>1293.3889160000001</v>
      </c>
      <c r="I552">
        <v>1431.3598632999999</v>
      </c>
      <c r="J552">
        <v>1398.2764893000001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184.49055899999999</v>
      </c>
      <c r="B553" s="1">
        <f>DATE(2010,11,1) + TIME(11,46,24)</f>
        <v>40483.490555555552</v>
      </c>
      <c r="C553">
        <v>90</v>
      </c>
      <c r="D553">
        <v>89.717102050999998</v>
      </c>
      <c r="E553">
        <v>30</v>
      </c>
      <c r="F553">
        <v>25.683994293000001</v>
      </c>
      <c r="G553">
        <v>1304.1992187999999</v>
      </c>
      <c r="H553">
        <v>1293.3768310999999</v>
      </c>
      <c r="I553">
        <v>1430.4704589999999</v>
      </c>
      <c r="J553">
        <v>1397.8677978999999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184.59324799999999</v>
      </c>
      <c r="B554" s="1">
        <f>DATE(2010,11,1) + TIME(14,14,16)</f>
        <v>40483.593240740738</v>
      </c>
      <c r="C554">
        <v>90</v>
      </c>
      <c r="D554">
        <v>89.682273864999999</v>
      </c>
      <c r="E554">
        <v>30</v>
      </c>
      <c r="F554">
        <v>26.166402817000002</v>
      </c>
      <c r="G554">
        <v>1304.1912841999999</v>
      </c>
      <c r="H554">
        <v>1293.3676757999999</v>
      </c>
      <c r="I554">
        <v>1429.6153564000001</v>
      </c>
      <c r="J554">
        <v>1397.4713135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184.707043</v>
      </c>
      <c r="B555" s="1">
        <f>DATE(2010,11,1) + TIME(16,58,8)</f>
        <v>40483.707037037035</v>
      </c>
      <c r="C555">
        <v>90</v>
      </c>
      <c r="D555">
        <v>89.644844054999993</v>
      </c>
      <c r="E555">
        <v>30</v>
      </c>
      <c r="F555">
        <v>26.633974075000001</v>
      </c>
      <c r="G555">
        <v>1304.1838379000001</v>
      </c>
      <c r="H555">
        <v>1293.3588867000001</v>
      </c>
      <c r="I555">
        <v>1428.7911377</v>
      </c>
      <c r="J555">
        <v>1397.0845947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184.834587</v>
      </c>
      <c r="B556" s="1">
        <f>DATE(2010,11,1) + TIME(20,1,48)</f>
        <v>40483.834583333337</v>
      </c>
      <c r="C556">
        <v>90</v>
      </c>
      <c r="D556">
        <v>89.604248046999999</v>
      </c>
      <c r="E556">
        <v>30</v>
      </c>
      <c r="F556">
        <v>27.085790633999999</v>
      </c>
      <c r="G556">
        <v>1304.1757812000001</v>
      </c>
      <c r="H556">
        <v>1293.3493652</v>
      </c>
      <c r="I556">
        <v>1427.9953613</v>
      </c>
      <c r="J556">
        <v>1396.7055664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184.979535</v>
      </c>
      <c r="B557" s="1">
        <f>DATE(2010,11,1) + TIME(23,30,31)</f>
        <v>40483.979525462964</v>
      </c>
      <c r="C557">
        <v>90</v>
      </c>
      <c r="D557">
        <v>89.559700011999993</v>
      </c>
      <c r="E557">
        <v>30</v>
      </c>
      <c r="F557">
        <v>27.520601273</v>
      </c>
      <c r="G557">
        <v>1304.1669922000001</v>
      </c>
      <c r="H557">
        <v>1293.3389893000001</v>
      </c>
      <c r="I557">
        <v>1427.2264404</v>
      </c>
      <c r="J557">
        <v>1396.3331298999999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185.147121</v>
      </c>
      <c r="B558" s="1">
        <f>DATE(2010,11,2) + TIME(3,31,51)</f>
        <v>40484.147118055553</v>
      </c>
      <c r="C558">
        <v>90</v>
      </c>
      <c r="D558">
        <v>89.510124207000004</v>
      </c>
      <c r="E558">
        <v>30</v>
      </c>
      <c r="F558">
        <v>27.936695099000001</v>
      </c>
      <c r="G558">
        <v>1304.1571045000001</v>
      </c>
      <c r="H558">
        <v>1293.3272704999999</v>
      </c>
      <c r="I558">
        <v>1426.4825439000001</v>
      </c>
      <c r="J558">
        <v>1395.965332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185.345102</v>
      </c>
      <c r="B559" s="1">
        <f>DATE(2010,11,2) + TIME(8,16,56)</f>
        <v>40484.345092592594</v>
      </c>
      <c r="C559">
        <v>90</v>
      </c>
      <c r="D559">
        <v>89.453979492000002</v>
      </c>
      <c r="E559">
        <v>30</v>
      </c>
      <c r="F559">
        <v>28.331575394000001</v>
      </c>
      <c r="G559">
        <v>1304.1456298999999</v>
      </c>
      <c r="H559">
        <v>1293.3139647999999</v>
      </c>
      <c r="I559">
        <v>1425.7626952999999</v>
      </c>
      <c r="J559">
        <v>1395.6007079999999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185.58574899999999</v>
      </c>
      <c r="B560" s="1">
        <f>DATE(2010,11,2) + TIME(14,3,28)</f>
        <v>40484.585740740738</v>
      </c>
      <c r="C560">
        <v>90</v>
      </c>
      <c r="D560">
        <v>89.388977050999998</v>
      </c>
      <c r="E560">
        <v>30</v>
      </c>
      <c r="F560">
        <v>28.701877593999999</v>
      </c>
      <c r="G560">
        <v>1304.1322021000001</v>
      </c>
      <c r="H560">
        <v>1293.2983397999999</v>
      </c>
      <c r="I560">
        <v>1425.0661620999999</v>
      </c>
      <c r="J560">
        <v>1395.2373047000001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185.86995999999999</v>
      </c>
      <c r="B561" s="1">
        <f>DATE(2010,11,2) + TIME(20,52,44)</f>
        <v>40484.869953703703</v>
      </c>
      <c r="C561">
        <v>90</v>
      </c>
      <c r="D561">
        <v>89.315261840999995</v>
      </c>
      <c r="E561">
        <v>30</v>
      </c>
      <c r="F561">
        <v>29.026283264</v>
      </c>
      <c r="G561">
        <v>1304.1159668</v>
      </c>
      <c r="H561">
        <v>1293.2796631000001</v>
      </c>
      <c r="I561">
        <v>1424.4191894999999</v>
      </c>
      <c r="J561">
        <v>1394.8850098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186.15904599999999</v>
      </c>
      <c r="B562" s="1">
        <f>DATE(2010,11,3) + TIME(3,49,1)</f>
        <v>40485.159039351849</v>
      </c>
      <c r="C562">
        <v>90</v>
      </c>
      <c r="D562">
        <v>89.240158081000004</v>
      </c>
      <c r="E562">
        <v>30</v>
      </c>
      <c r="F562">
        <v>29.270246505999999</v>
      </c>
      <c r="G562">
        <v>1304.0965576000001</v>
      </c>
      <c r="H562">
        <v>1293.2581786999999</v>
      </c>
      <c r="I562">
        <v>1423.8770752</v>
      </c>
      <c r="J562">
        <v>1394.5704346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186.46300400000001</v>
      </c>
      <c r="B563" s="1">
        <f>DATE(2010,11,3) + TIME(11,6,43)</f>
        <v>40485.462997685187</v>
      </c>
      <c r="C563">
        <v>90</v>
      </c>
      <c r="D563">
        <v>89.162010193</v>
      </c>
      <c r="E563">
        <v>30</v>
      </c>
      <c r="F563">
        <v>29.457597733</v>
      </c>
      <c r="G563">
        <v>1304.0770264</v>
      </c>
      <c r="H563">
        <v>1293.2362060999999</v>
      </c>
      <c r="I563">
        <v>1423.4227295000001</v>
      </c>
      <c r="J563">
        <v>1394.2963867000001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186.78723400000001</v>
      </c>
      <c r="B564" s="1">
        <f>DATE(2010,11,3) + TIME(18,53,36)</f>
        <v>40485.787222222221</v>
      </c>
      <c r="C564">
        <v>90</v>
      </c>
      <c r="D564">
        <v>89.079917907999999</v>
      </c>
      <c r="E564">
        <v>30</v>
      </c>
      <c r="F564">
        <v>29.601148604999999</v>
      </c>
      <c r="G564">
        <v>1304.0565185999999</v>
      </c>
      <c r="H564">
        <v>1293.2132568</v>
      </c>
      <c r="I564">
        <v>1423.0328368999999</v>
      </c>
      <c r="J564">
        <v>1394.0507812000001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187.138834</v>
      </c>
      <c r="B565" s="1">
        <f>DATE(2010,11,4) + TIME(3,19,55)</f>
        <v>40486.138831018521</v>
      </c>
      <c r="C565">
        <v>90</v>
      </c>
      <c r="D565">
        <v>88.992645264000004</v>
      </c>
      <c r="E565">
        <v>30</v>
      </c>
      <c r="F565">
        <v>29.710510253999999</v>
      </c>
      <c r="G565">
        <v>1304.0349120999999</v>
      </c>
      <c r="H565">
        <v>1293.1889647999999</v>
      </c>
      <c r="I565">
        <v>1422.6915283000001</v>
      </c>
      <c r="J565">
        <v>1393.8261719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187.52671900000001</v>
      </c>
      <c r="B566" s="1">
        <f>DATE(2010,11,4) + TIME(12,38,28)</f>
        <v>40486.526712962965</v>
      </c>
      <c r="C566">
        <v>90</v>
      </c>
      <c r="D566">
        <v>88.898651122999993</v>
      </c>
      <c r="E566">
        <v>30</v>
      </c>
      <c r="F566">
        <v>29.792867660999999</v>
      </c>
      <c r="G566">
        <v>1304.0117187999999</v>
      </c>
      <c r="H566">
        <v>1293.1627197</v>
      </c>
      <c r="I566">
        <v>1422.3864745999999</v>
      </c>
      <c r="J566">
        <v>1393.6164550999999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187.96297899999999</v>
      </c>
      <c r="B567" s="1">
        <f>DATE(2010,11,4) + TIME(23,6,41)</f>
        <v>40486.96297453704</v>
      </c>
      <c r="C567">
        <v>90</v>
      </c>
      <c r="D567">
        <v>88.795928954999994</v>
      </c>
      <c r="E567">
        <v>30</v>
      </c>
      <c r="F567">
        <v>29.853813170999999</v>
      </c>
      <c r="G567">
        <v>1303.9860839999999</v>
      </c>
      <c r="H567">
        <v>1293.1339111</v>
      </c>
      <c r="I567">
        <v>1422.1077881000001</v>
      </c>
      <c r="J567">
        <v>1393.4165039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188.463731</v>
      </c>
      <c r="B568" s="1">
        <f>DATE(2010,11,5) + TIME(11,7,46)</f>
        <v>40487.463726851849</v>
      </c>
      <c r="C568">
        <v>90</v>
      </c>
      <c r="D568">
        <v>88.681854247999993</v>
      </c>
      <c r="E568">
        <v>30</v>
      </c>
      <c r="F568">
        <v>29.897747039999999</v>
      </c>
      <c r="G568">
        <v>1303.9575195</v>
      </c>
      <c r="H568">
        <v>1293.1016846</v>
      </c>
      <c r="I568">
        <v>1421.8465576000001</v>
      </c>
      <c r="J568">
        <v>1393.2213135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189.00390200000001</v>
      </c>
      <c r="B569" s="1">
        <f>DATE(2010,11,6) + TIME(0,5,37)</f>
        <v>40488.003900462965</v>
      </c>
      <c r="C569">
        <v>90</v>
      </c>
      <c r="D569">
        <v>88.559333800999994</v>
      </c>
      <c r="E569">
        <v>30</v>
      </c>
      <c r="F569">
        <v>29.926761627000001</v>
      </c>
      <c r="G569">
        <v>1303.9245605000001</v>
      </c>
      <c r="H569">
        <v>1293.0650635</v>
      </c>
      <c r="I569">
        <v>1421.5976562000001</v>
      </c>
      <c r="J569">
        <v>1393.027832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189.57504800000001</v>
      </c>
      <c r="B570" s="1">
        <f>DATE(2010,11,6) + TIME(13,48,4)</f>
        <v>40488.575046296297</v>
      </c>
      <c r="C570">
        <v>90</v>
      </c>
      <c r="D570">
        <v>88.429924010999997</v>
      </c>
      <c r="E570">
        <v>30</v>
      </c>
      <c r="F570">
        <v>29.945219040000001</v>
      </c>
      <c r="G570">
        <v>1303.8890381000001</v>
      </c>
      <c r="H570">
        <v>1293.0255127</v>
      </c>
      <c r="I570">
        <v>1421.3686522999999</v>
      </c>
      <c r="J570">
        <v>1392.8448486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190.16832299999999</v>
      </c>
      <c r="B571" s="1">
        <f>DATE(2010,11,7) + TIME(4,2,23)</f>
        <v>40489.168321759258</v>
      </c>
      <c r="C571">
        <v>90</v>
      </c>
      <c r="D571">
        <v>88.295478821000003</v>
      </c>
      <c r="E571">
        <v>30</v>
      </c>
      <c r="F571">
        <v>29.956647873000001</v>
      </c>
      <c r="G571">
        <v>1303.8514404</v>
      </c>
      <c r="H571">
        <v>1292.9837646000001</v>
      </c>
      <c r="I571">
        <v>1421.1586914</v>
      </c>
      <c r="J571">
        <v>1392.6739502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190.77289500000001</v>
      </c>
      <c r="B572" s="1">
        <f>DATE(2010,11,7) + TIME(18,32,58)</f>
        <v>40489.772893518515</v>
      </c>
      <c r="C572">
        <v>90</v>
      </c>
      <c r="D572">
        <v>88.158279418999996</v>
      </c>
      <c r="E572">
        <v>30</v>
      </c>
      <c r="F572">
        <v>29.963588715</v>
      </c>
      <c r="G572">
        <v>1303.8123779</v>
      </c>
      <c r="H572">
        <v>1292.9404297000001</v>
      </c>
      <c r="I572">
        <v>1420.9670410000001</v>
      </c>
      <c r="J572">
        <v>1392.5158690999999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191.392718</v>
      </c>
      <c r="B573" s="1">
        <f>DATE(2010,11,8) + TIME(9,25,30)</f>
        <v>40490.392708333333</v>
      </c>
      <c r="C573">
        <v>90</v>
      </c>
      <c r="D573">
        <v>88.018775939999998</v>
      </c>
      <c r="E573">
        <v>30</v>
      </c>
      <c r="F573">
        <v>29.967826843000001</v>
      </c>
      <c r="G573">
        <v>1303.7728271000001</v>
      </c>
      <c r="H573">
        <v>1292.8962402</v>
      </c>
      <c r="I573">
        <v>1420.7930908000001</v>
      </c>
      <c r="J573">
        <v>1392.3712158000001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192.03179600000001</v>
      </c>
      <c r="B574" s="1">
        <f>DATE(2010,11,9) + TIME(0,45,47)</f>
        <v>40491.031793981485</v>
      </c>
      <c r="C574">
        <v>90</v>
      </c>
      <c r="D574">
        <v>87.876899718999994</v>
      </c>
      <c r="E574">
        <v>30</v>
      </c>
      <c r="F574">
        <v>29.970432281000001</v>
      </c>
      <c r="G574">
        <v>1303.7321777</v>
      </c>
      <c r="H574">
        <v>1292.8509521000001</v>
      </c>
      <c r="I574">
        <v>1420.6328125</v>
      </c>
      <c r="J574">
        <v>1392.2371826000001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192.694478</v>
      </c>
      <c r="B575" s="1">
        <f>DATE(2010,11,9) + TIME(16,40,2)</f>
        <v>40491.694467592592</v>
      </c>
      <c r="C575">
        <v>90</v>
      </c>
      <c r="D575">
        <v>87.732261657999999</v>
      </c>
      <c r="E575">
        <v>30</v>
      </c>
      <c r="F575">
        <v>29.972043991</v>
      </c>
      <c r="G575">
        <v>1303.6904297000001</v>
      </c>
      <c r="H575">
        <v>1292.8041992000001</v>
      </c>
      <c r="I575">
        <v>1420.4831543</v>
      </c>
      <c r="J575">
        <v>1392.1116943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193.38560699999999</v>
      </c>
      <c r="B576" s="1">
        <f>DATE(2010,11,10) + TIME(9,15,16)</f>
        <v>40492.385601851849</v>
      </c>
      <c r="C576">
        <v>90</v>
      </c>
      <c r="D576">
        <v>87.584236145000006</v>
      </c>
      <c r="E576">
        <v>30</v>
      </c>
      <c r="F576">
        <v>29.973052978999998</v>
      </c>
      <c r="G576">
        <v>1303.6470947</v>
      </c>
      <c r="H576">
        <v>1292.7557373</v>
      </c>
      <c r="I576">
        <v>1420.3419189000001</v>
      </c>
      <c r="J576">
        <v>1391.9927978999999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194.10051100000001</v>
      </c>
      <c r="B577" s="1">
        <f>DATE(2010,11,11) + TIME(2,24,44)</f>
        <v>40493.10050925926</v>
      </c>
      <c r="C577">
        <v>90</v>
      </c>
      <c r="D577">
        <v>87.433235167999996</v>
      </c>
      <c r="E577">
        <v>30</v>
      </c>
      <c r="F577">
        <v>29.973686218000001</v>
      </c>
      <c r="G577">
        <v>1303.6018065999999</v>
      </c>
      <c r="H577">
        <v>1292.7050781</v>
      </c>
      <c r="I577">
        <v>1420.2072754000001</v>
      </c>
      <c r="J577">
        <v>1391.8792725000001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194.827078</v>
      </c>
      <c r="B578" s="1">
        <f>DATE(2010,11,11) + TIME(19,50,59)</f>
        <v>40493.82707175926</v>
      </c>
      <c r="C578">
        <v>90</v>
      </c>
      <c r="D578">
        <v>87.280769348000007</v>
      </c>
      <c r="E578">
        <v>30</v>
      </c>
      <c r="F578">
        <v>29.974088669</v>
      </c>
      <c r="G578">
        <v>1303.5548096</v>
      </c>
      <c r="H578">
        <v>1292.6527100000001</v>
      </c>
      <c r="I578">
        <v>1420.0795897999999</v>
      </c>
      <c r="J578">
        <v>1391.7714844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195.56841399999999</v>
      </c>
      <c r="B579" s="1">
        <f>DATE(2010,11,12) + TIME(13,38,30)</f>
        <v>40494.568402777775</v>
      </c>
      <c r="C579">
        <v>90</v>
      </c>
      <c r="D579">
        <v>87.127105713000006</v>
      </c>
      <c r="E579">
        <v>30</v>
      </c>
      <c r="F579">
        <v>29.974351883000001</v>
      </c>
      <c r="G579">
        <v>1303.5069579999999</v>
      </c>
      <c r="H579">
        <v>1292.5991211</v>
      </c>
      <c r="I579">
        <v>1419.9602050999999</v>
      </c>
      <c r="J579">
        <v>1391.6706543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196.32819699999999</v>
      </c>
      <c r="B580" s="1">
        <f>DATE(2010,11,13) + TIME(7,52,36)</f>
        <v>40495.328194444446</v>
      </c>
      <c r="C580">
        <v>90</v>
      </c>
      <c r="D580">
        <v>86.972068786999998</v>
      </c>
      <c r="E580">
        <v>30</v>
      </c>
      <c r="F580">
        <v>29.974531173999999</v>
      </c>
      <c r="G580">
        <v>1303.4580077999999</v>
      </c>
      <c r="H580">
        <v>1292.5444336</v>
      </c>
      <c r="I580">
        <v>1419.8477783000001</v>
      </c>
      <c r="J580">
        <v>1391.5756836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197.11009899999999</v>
      </c>
      <c r="B581" s="1">
        <f>DATE(2010,11,14) + TIME(2,38,32)</f>
        <v>40496.110092592593</v>
      </c>
      <c r="C581">
        <v>90</v>
      </c>
      <c r="D581">
        <v>86.815269470000004</v>
      </c>
      <c r="E581">
        <v>30</v>
      </c>
      <c r="F581">
        <v>29.974658966</v>
      </c>
      <c r="G581">
        <v>1303.4078368999999</v>
      </c>
      <c r="H581">
        <v>1292.4880370999999</v>
      </c>
      <c r="I581">
        <v>1419.7410889</v>
      </c>
      <c r="J581">
        <v>1391.4853516000001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197.91815199999999</v>
      </c>
      <c r="B582" s="1">
        <f>DATE(2010,11,14) + TIME(22,2,8)</f>
        <v>40496.91814814815</v>
      </c>
      <c r="C582">
        <v>90</v>
      </c>
      <c r="D582">
        <v>86.656204224000007</v>
      </c>
      <c r="E582">
        <v>30</v>
      </c>
      <c r="F582">
        <v>29.974756241000001</v>
      </c>
      <c r="G582">
        <v>1303.355957</v>
      </c>
      <c r="H582">
        <v>1292.4298096</v>
      </c>
      <c r="I582">
        <v>1419.6390381000001</v>
      </c>
      <c r="J582">
        <v>1391.3990478999999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198.75477699999999</v>
      </c>
      <c r="B583" s="1">
        <f>DATE(2010,11,15) + TIME(18,6,52)</f>
        <v>40497.75476851852</v>
      </c>
      <c r="C583">
        <v>90</v>
      </c>
      <c r="D583">
        <v>86.494438170999999</v>
      </c>
      <c r="E583">
        <v>30</v>
      </c>
      <c r="F583">
        <v>29.974830626999999</v>
      </c>
      <c r="G583">
        <v>1303.302124</v>
      </c>
      <c r="H583">
        <v>1292.3692627</v>
      </c>
      <c r="I583">
        <v>1419.5408935999999</v>
      </c>
      <c r="J583">
        <v>1391.3160399999999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199.60290499999999</v>
      </c>
      <c r="B584" s="1">
        <f>DATE(2010,11,16) + TIME(14,28,11)</f>
        <v>40498.602905092594</v>
      </c>
      <c r="C584">
        <v>90</v>
      </c>
      <c r="D584">
        <v>86.331504821999999</v>
      </c>
      <c r="E584">
        <v>30</v>
      </c>
      <c r="F584">
        <v>29.974891663000001</v>
      </c>
      <c r="G584">
        <v>1303.2460937999999</v>
      </c>
      <c r="H584">
        <v>1292.3063964999999</v>
      </c>
      <c r="I584">
        <v>1419.4462891000001</v>
      </c>
      <c r="J584">
        <v>1391.2359618999999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200.46566200000001</v>
      </c>
      <c r="B585" s="1">
        <f>DATE(2010,11,17) + TIME(11,10,33)</f>
        <v>40499.46565972222</v>
      </c>
      <c r="C585">
        <v>90</v>
      </c>
      <c r="D585">
        <v>86.167823791999993</v>
      </c>
      <c r="E585">
        <v>30</v>
      </c>
      <c r="F585">
        <v>29.974941254000001</v>
      </c>
      <c r="G585">
        <v>1303.1889647999999</v>
      </c>
      <c r="H585">
        <v>1292.2420654</v>
      </c>
      <c r="I585">
        <v>1419.3568115</v>
      </c>
      <c r="J585">
        <v>1391.1601562000001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201.34613999999999</v>
      </c>
      <c r="B586" s="1">
        <f>DATE(2010,11,18) + TIME(8,18,26)</f>
        <v>40500.346134259256</v>
      </c>
      <c r="C586">
        <v>90</v>
      </c>
      <c r="D586">
        <v>86.003364563000005</v>
      </c>
      <c r="E586">
        <v>30</v>
      </c>
      <c r="F586">
        <v>29.974987030000001</v>
      </c>
      <c r="G586">
        <v>1303.1304932</v>
      </c>
      <c r="H586">
        <v>1292.1762695</v>
      </c>
      <c r="I586">
        <v>1419.2716064000001</v>
      </c>
      <c r="J586">
        <v>1391.0880127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202.247377</v>
      </c>
      <c r="B587" s="1">
        <f>DATE(2010,11,19) + TIME(5,56,13)</f>
        <v>40501.247372685182</v>
      </c>
      <c r="C587">
        <v>90</v>
      </c>
      <c r="D587">
        <v>85.837875366000006</v>
      </c>
      <c r="E587">
        <v>30</v>
      </c>
      <c r="F587">
        <v>29.975030899</v>
      </c>
      <c r="G587">
        <v>1303.0705565999999</v>
      </c>
      <c r="H587">
        <v>1292.1085204999999</v>
      </c>
      <c r="I587">
        <v>1419.1901855000001</v>
      </c>
      <c r="J587">
        <v>1391.019043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203.173056</v>
      </c>
      <c r="B588" s="1">
        <f>DATE(2010,11,20) + TIME(4,9,12)</f>
        <v>40502.173055555555</v>
      </c>
      <c r="C588">
        <v>90</v>
      </c>
      <c r="D588">
        <v>85.670936584000003</v>
      </c>
      <c r="E588">
        <v>30</v>
      </c>
      <c r="F588">
        <v>29.975070952999999</v>
      </c>
      <c r="G588">
        <v>1303.0087891000001</v>
      </c>
      <c r="H588">
        <v>1292.0384521000001</v>
      </c>
      <c r="I588">
        <v>1419.1119385</v>
      </c>
      <c r="J588">
        <v>1390.9527588000001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204.127239</v>
      </c>
      <c r="B589" s="1">
        <f>DATE(2010,11,21) + TIME(3,3,13)</f>
        <v>40503.127233796295</v>
      </c>
      <c r="C589">
        <v>90</v>
      </c>
      <c r="D589">
        <v>85.502059936999999</v>
      </c>
      <c r="E589">
        <v>30</v>
      </c>
      <c r="F589">
        <v>29.975111007999999</v>
      </c>
      <c r="G589">
        <v>1302.9448242000001</v>
      </c>
      <c r="H589">
        <v>1291.9659423999999</v>
      </c>
      <c r="I589">
        <v>1419.0363769999999</v>
      </c>
      <c r="J589">
        <v>1390.8886719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205.097713</v>
      </c>
      <c r="B590" s="1">
        <f>DATE(2010,11,22) + TIME(2,20,42)</f>
        <v>40504.097708333335</v>
      </c>
      <c r="C590">
        <v>90</v>
      </c>
      <c r="D590">
        <v>85.332054138000004</v>
      </c>
      <c r="E590">
        <v>30</v>
      </c>
      <c r="F590">
        <v>29.975149155</v>
      </c>
      <c r="G590">
        <v>1302.878418</v>
      </c>
      <c r="H590">
        <v>1291.890625</v>
      </c>
      <c r="I590">
        <v>1418.9631348</v>
      </c>
      <c r="J590">
        <v>1390.8265381000001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206.08218099999999</v>
      </c>
      <c r="B591" s="1">
        <f>DATE(2010,11,23) + TIME(1,58,20)</f>
        <v>40505.082175925927</v>
      </c>
      <c r="C591">
        <v>90</v>
      </c>
      <c r="D591">
        <v>85.161636353000006</v>
      </c>
      <c r="E591">
        <v>30</v>
      </c>
      <c r="F591">
        <v>29.975189209</v>
      </c>
      <c r="G591">
        <v>1302.8101807</v>
      </c>
      <c r="H591">
        <v>1291.8129882999999</v>
      </c>
      <c r="I591">
        <v>1418.8929443</v>
      </c>
      <c r="J591">
        <v>1390.7669678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207.083618</v>
      </c>
      <c r="B592" s="1">
        <f>DATE(2010,11,24) + TIME(2,0,24)</f>
        <v>40506.083611111113</v>
      </c>
      <c r="C592">
        <v>90</v>
      </c>
      <c r="D592">
        <v>84.990982056000007</v>
      </c>
      <c r="E592">
        <v>30</v>
      </c>
      <c r="F592">
        <v>29.975227356000001</v>
      </c>
      <c r="G592">
        <v>1302.7404785000001</v>
      </c>
      <c r="H592">
        <v>1291.7333983999999</v>
      </c>
      <c r="I592">
        <v>1418.8259277</v>
      </c>
      <c r="J592">
        <v>1390.7100829999999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208.10511299999999</v>
      </c>
      <c r="B593" s="1">
        <f>DATE(2010,11,25) + TIME(2,31,21)</f>
        <v>40507.105104166665</v>
      </c>
      <c r="C593">
        <v>90</v>
      </c>
      <c r="D593">
        <v>84.819755553999997</v>
      </c>
      <c r="E593">
        <v>30</v>
      </c>
      <c r="F593">
        <v>29.975267410000001</v>
      </c>
      <c r="G593">
        <v>1302.6688231999999</v>
      </c>
      <c r="H593">
        <v>1291.6513672000001</v>
      </c>
      <c r="I593">
        <v>1418.7614745999999</v>
      </c>
      <c r="J593">
        <v>1390.6553954999999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209.14998199999999</v>
      </c>
      <c r="B594" s="1">
        <f>DATE(2010,11,26) + TIME(3,35,58)</f>
        <v>40508.149976851855</v>
      </c>
      <c r="C594">
        <v>90</v>
      </c>
      <c r="D594">
        <v>84.647743224999999</v>
      </c>
      <c r="E594">
        <v>30</v>
      </c>
      <c r="F594">
        <v>29.975307465</v>
      </c>
      <c r="G594">
        <v>1302.5949707</v>
      </c>
      <c r="H594">
        <v>1291.5666504000001</v>
      </c>
      <c r="I594">
        <v>1418.6994629000001</v>
      </c>
      <c r="J594">
        <v>1390.6026611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210.221574</v>
      </c>
      <c r="B595" s="1">
        <f>DATE(2010,11,27) + TIME(5,19,4)</f>
        <v>40509.221574074072</v>
      </c>
      <c r="C595">
        <v>90</v>
      </c>
      <c r="D595">
        <v>84.474533081000004</v>
      </c>
      <c r="E595">
        <v>30</v>
      </c>
      <c r="F595">
        <v>29.975349426000001</v>
      </c>
      <c r="G595">
        <v>1302.5186768000001</v>
      </c>
      <c r="H595">
        <v>1291.4788818</v>
      </c>
      <c r="I595">
        <v>1418.6394043</v>
      </c>
      <c r="J595">
        <v>1390.5516356999999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211.31525400000001</v>
      </c>
      <c r="B596" s="1">
        <f>DATE(2010,11,28) + TIME(7,33,57)</f>
        <v>40510.315243055556</v>
      </c>
      <c r="C596">
        <v>90</v>
      </c>
      <c r="D596">
        <v>84.300292968999997</v>
      </c>
      <c r="E596">
        <v>30</v>
      </c>
      <c r="F596">
        <v>29.975393295</v>
      </c>
      <c r="G596">
        <v>1302.4395752</v>
      </c>
      <c r="H596">
        <v>1291.3876952999999</v>
      </c>
      <c r="I596">
        <v>1418.5810547000001</v>
      </c>
      <c r="J596">
        <v>1390.5019531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212.422158</v>
      </c>
      <c r="B597" s="1">
        <f>DATE(2010,11,29) + TIME(10,7,54)</f>
        <v>40511.422152777777</v>
      </c>
      <c r="C597">
        <v>90</v>
      </c>
      <c r="D597">
        <v>84.125831603999998</v>
      </c>
      <c r="E597">
        <v>30</v>
      </c>
      <c r="F597">
        <v>29.975435257000001</v>
      </c>
      <c r="G597">
        <v>1302.3577881000001</v>
      </c>
      <c r="H597">
        <v>1291.2932129000001</v>
      </c>
      <c r="I597">
        <v>1418.5246582</v>
      </c>
      <c r="J597">
        <v>1390.4539795000001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213.54522499999999</v>
      </c>
      <c r="B598" s="1">
        <f>DATE(2010,11,30) + TIME(13,5,7)</f>
        <v>40512.545219907406</v>
      </c>
      <c r="C598">
        <v>90</v>
      </c>
      <c r="D598">
        <v>83.951477050999998</v>
      </c>
      <c r="E598">
        <v>30</v>
      </c>
      <c r="F598">
        <v>29.975479126</v>
      </c>
      <c r="G598">
        <v>1302.2740478999999</v>
      </c>
      <c r="H598">
        <v>1291.1960449000001</v>
      </c>
      <c r="I598">
        <v>1418.4705810999999</v>
      </c>
      <c r="J598">
        <v>1390.4079589999999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214</v>
      </c>
      <c r="B599" s="1">
        <f>DATE(2010,12,1) + TIME(0,0,0)</f>
        <v>40513</v>
      </c>
      <c r="C599">
        <v>90</v>
      </c>
      <c r="D599">
        <v>83.846488953000005</v>
      </c>
      <c r="E599">
        <v>30</v>
      </c>
      <c r="F599">
        <v>29.975494385000001</v>
      </c>
      <c r="G599">
        <v>1302.1861572</v>
      </c>
      <c r="H599">
        <v>1291.1003418</v>
      </c>
      <c r="I599">
        <v>1418.4176024999999</v>
      </c>
      <c r="J599">
        <v>1390.3626709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215.14220900000001</v>
      </c>
      <c r="B600" s="1">
        <f>DATE(2010,12,2) + TIME(3,24,46)</f>
        <v>40514.142199074071</v>
      </c>
      <c r="C600">
        <v>90</v>
      </c>
      <c r="D600">
        <v>83.692573546999995</v>
      </c>
      <c r="E600">
        <v>30</v>
      </c>
      <c r="F600">
        <v>29.975542067999999</v>
      </c>
      <c r="G600">
        <v>1302.1518555</v>
      </c>
      <c r="H600">
        <v>1291.0517577999999</v>
      </c>
      <c r="I600">
        <v>1418.3983154</v>
      </c>
      <c r="J600">
        <v>1390.3464355000001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216.31682000000001</v>
      </c>
      <c r="B601" s="1">
        <f>DATE(2010,12,3) + TIME(7,36,13)</f>
        <v>40515.316817129627</v>
      </c>
      <c r="C601">
        <v>90</v>
      </c>
      <c r="D601">
        <v>83.526939392000003</v>
      </c>
      <c r="E601">
        <v>30</v>
      </c>
      <c r="F601">
        <v>29.975589752000001</v>
      </c>
      <c r="G601">
        <v>1302.0633545000001</v>
      </c>
      <c r="H601">
        <v>1290.9492187999999</v>
      </c>
      <c r="I601">
        <v>1418.348999</v>
      </c>
      <c r="J601">
        <v>1390.3044434000001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217.518362</v>
      </c>
      <c r="B602" s="1">
        <f>DATE(2010,12,4) + TIME(12,26,26)</f>
        <v>40516.51835648148</v>
      </c>
      <c r="C602">
        <v>90</v>
      </c>
      <c r="D602">
        <v>83.355323791999993</v>
      </c>
      <c r="E602">
        <v>30</v>
      </c>
      <c r="F602">
        <v>29.975637436</v>
      </c>
      <c r="G602">
        <v>1301.9704589999999</v>
      </c>
      <c r="H602">
        <v>1290.8408202999999</v>
      </c>
      <c r="I602">
        <v>1418.3007812000001</v>
      </c>
      <c r="J602">
        <v>1390.2633057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218.740589</v>
      </c>
      <c r="B603" s="1">
        <f>DATE(2010,12,5) + TIME(17,46,26)</f>
        <v>40517.740578703706</v>
      </c>
      <c r="C603">
        <v>90</v>
      </c>
      <c r="D603">
        <v>83.180877686000002</v>
      </c>
      <c r="E603">
        <v>30</v>
      </c>
      <c r="F603">
        <v>29.975685120000001</v>
      </c>
      <c r="G603">
        <v>1301.8741454999999</v>
      </c>
      <c r="H603">
        <v>1290.7276611</v>
      </c>
      <c r="I603">
        <v>1418.2539062000001</v>
      </c>
      <c r="J603">
        <v>1390.2232666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219.97617600000001</v>
      </c>
      <c r="B604" s="1">
        <f>DATE(2010,12,6) + TIME(23,25,41)</f>
        <v>40518.976168981484</v>
      </c>
      <c r="C604">
        <v>90</v>
      </c>
      <c r="D604">
        <v>83.005584717000005</v>
      </c>
      <c r="E604">
        <v>30</v>
      </c>
      <c r="F604">
        <v>29.975734711000001</v>
      </c>
      <c r="G604">
        <v>1301.7745361</v>
      </c>
      <c r="H604">
        <v>1290.6102295000001</v>
      </c>
      <c r="I604">
        <v>1418.208374</v>
      </c>
      <c r="J604">
        <v>1390.1844481999999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221.228162</v>
      </c>
      <c r="B605" s="1">
        <f>DATE(2010,12,8) + TIME(5,28,33)</f>
        <v>40520.228159722225</v>
      </c>
      <c r="C605">
        <v>90</v>
      </c>
      <c r="D605">
        <v>82.830291747999993</v>
      </c>
      <c r="E605">
        <v>30</v>
      </c>
      <c r="F605">
        <v>29.975784302000001</v>
      </c>
      <c r="G605">
        <v>1301.6722411999999</v>
      </c>
      <c r="H605">
        <v>1290.4890137</v>
      </c>
      <c r="I605">
        <v>1418.1646728999999</v>
      </c>
      <c r="J605">
        <v>1390.1470947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222.49953099999999</v>
      </c>
      <c r="B606" s="1">
        <f>DATE(2010,12,9) + TIME(11,59,19)</f>
        <v>40521.499525462961</v>
      </c>
      <c r="C606">
        <v>90</v>
      </c>
      <c r="D606">
        <v>82.655128478999998</v>
      </c>
      <c r="E606">
        <v>30</v>
      </c>
      <c r="F606">
        <v>29.975833893000001</v>
      </c>
      <c r="G606">
        <v>1301.5670166</v>
      </c>
      <c r="H606">
        <v>1290.3637695</v>
      </c>
      <c r="I606">
        <v>1418.1224365</v>
      </c>
      <c r="J606">
        <v>1390.1109618999999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223.79343399999999</v>
      </c>
      <c r="B607" s="1">
        <f>DATE(2010,12,10) + TIME(19,2,32)</f>
        <v>40522.793425925927</v>
      </c>
      <c r="C607">
        <v>90</v>
      </c>
      <c r="D607">
        <v>82.479919433999996</v>
      </c>
      <c r="E607">
        <v>30</v>
      </c>
      <c r="F607">
        <v>29.975885390999998</v>
      </c>
      <c r="G607">
        <v>1301.458374</v>
      </c>
      <c r="H607">
        <v>1290.2341309000001</v>
      </c>
      <c r="I607">
        <v>1418.081543</v>
      </c>
      <c r="J607">
        <v>1390.0760498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225.11323300000001</v>
      </c>
      <c r="B608" s="1">
        <f>DATE(2010,12,12) + TIME(2,43,3)</f>
        <v>40524.113229166665</v>
      </c>
      <c r="C608">
        <v>90</v>
      </c>
      <c r="D608">
        <v>82.304367064999994</v>
      </c>
      <c r="E608">
        <v>30</v>
      </c>
      <c r="F608">
        <v>29.975938797000001</v>
      </c>
      <c r="G608">
        <v>1301.3460693</v>
      </c>
      <c r="H608">
        <v>1290.0994873</v>
      </c>
      <c r="I608">
        <v>1418.0417480000001</v>
      </c>
      <c r="J608">
        <v>1390.0419922000001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226.458673</v>
      </c>
      <c r="B609" s="1">
        <f>DATE(2010,12,13) + TIME(11,0,29)</f>
        <v>40525.458668981482</v>
      </c>
      <c r="C609">
        <v>90</v>
      </c>
      <c r="D609">
        <v>82.128288268999995</v>
      </c>
      <c r="E609">
        <v>30</v>
      </c>
      <c r="F609">
        <v>29.975992203000001</v>
      </c>
      <c r="G609">
        <v>1301.2296143000001</v>
      </c>
      <c r="H609">
        <v>1289.9594727000001</v>
      </c>
      <c r="I609">
        <v>1418.0030518000001</v>
      </c>
      <c r="J609">
        <v>1390.0089111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227.81635399999999</v>
      </c>
      <c r="B610" s="1">
        <f>DATE(2010,12,14) + TIME(19,35,33)</f>
        <v>40526.816354166665</v>
      </c>
      <c r="C610">
        <v>90</v>
      </c>
      <c r="D610">
        <v>81.952339171999995</v>
      </c>
      <c r="E610">
        <v>30</v>
      </c>
      <c r="F610">
        <v>29.976045609</v>
      </c>
      <c r="G610">
        <v>1301.1087646000001</v>
      </c>
      <c r="H610">
        <v>1289.8137207</v>
      </c>
      <c r="I610">
        <v>1417.9654541</v>
      </c>
      <c r="J610">
        <v>1389.9766846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229.18929499999999</v>
      </c>
      <c r="B611" s="1">
        <f>DATE(2010,12,16) + TIME(4,32,35)</f>
        <v>40528.189293981479</v>
      </c>
      <c r="C611">
        <v>90</v>
      </c>
      <c r="D611">
        <v>81.776977539000001</v>
      </c>
      <c r="E611">
        <v>30</v>
      </c>
      <c r="F611">
        <v>29.976100922000001</v>
      </c>
      <c r="G611">
        <v>1300.9846190999999</v>
      </c>
      <c r="H611">
        <v>1289.6633300999999</v>
      </c>
      <c r="I611">
        <v>1417.9290771000001</v>
      </c>
      <c r="J611">
        <v>1389.9455565999999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230.58053899999999</v>
      </c>
      <c r="B612" s="1">
        <f>DATE(2010,12,17) + TIME(13,55,58)</f>
        <v>40529.58053240741</v>
      </c>
      <c r="C612">
        <v>90</v>
      </c>
      <c r="D612">
        <v>81.602119446000003</v>
      </c>
      <c r="E612">
        <v>30</v>
      </c>
      <c r="F612">
        <v>29.976156235000001</v>
      </c>
      <c r="G612">
        <v>1300.8569336</v>
      </c>
      <c r="H612">
        <v>1289.5079346</v>
      </c>
      <c r="I612">
        <v>1417.8939209</v>
      </c>
      <c r="J612">
        <v>1389.9154053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231.993279</v>
      </c>
      <c r="B613" s="1">
        <f>DATE(2010,12,18) + TIME(23,50,19)</f>
        <v>40530.993275462963</v>
      </c>
      <c r="C613">
        <v>90</v>
      </c>
      <c r="D613">
        <v>81.427497864000003</v>
      </c>
      <c r="E613">
        <v>30</v>
      </c>
      <c r="F613">
        <v>29.976211547999998</v>
      </c>
      <c r="G613">
        <v>1300.7250977000001</v>
      </c>
      <c r="H613">
        <v>1289.3470459</v>
      </c>
      <c r="I613">
        <v>1417.8599853999999</v>
      </c>
      <c r="J613">
        <v>1389.8862305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233.43081100000001</v>
      </c>
      <c r="B614" s="1">
        <f>DATE(2010,12,20) + TIME(10,20,22)</f>
        <v>40532.430810185186</v>
      </c>
      <c r="C614">
        <v>90</v>
      </c>
      <c r="D614">
        <v>81.252761840999995</v>
      </c>
      <c r="E614">
        <v>30</v>
      </c>
      <c r="F614">
        <v>29.976268768000001</v>
      </c>
      <c r="G614">
        <v>1300.5889893000001</v>
      </c>
      <c r="H614">
        <v>1289.1801757999999</v>
      </c>
      <c r="I614">
        <v>1417.8269043</v>
      </c>
      <c r="J614">
        <v>1389.8577881000001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234.89665099999999</v>
      </c>
      <c r="B615" s="1">
        <f>DATE(2010,12,21) + TIME(21,31,10)</f>
        <v>40533.896643518521</v>
      </c>
      <c r="C615">
        <v>90</v>
      </c>
      <c r="D615">
        <v>81.077514648000005</v>
      </c>
      <c r="E615">
        <v>30</v>
      </c>
      <c r="F615">
        <v>29.976325988999999</v>
      </c>
      <c r="G615">
        <v>1300.4477539</v>
      </c>
      <c r="H615">
        <v>1289.0065918</v>
      </c>
      <c r="I615">
        <v>1417.7946777</v>
      </c>
      <c r="J615">
        <v>1389.8302002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236.37504799999999</v>
      </c>
      <c r="B616" s="1">
        <f>DATE(2010,12,23) + TIME(9,0,4)</f>
        <v>40535.3750462963</v>
      </c>
      <c r="C616">
        <v>90</v>
      </c>
      <c r="D616">
        <v>80.902198791999993</v>
      </c>
      <c r="E616">
        <v>30</v>
      </c>
      <c r="F616">
        <v>29.976383209000002</v>
      </c>
      <c r="G616">
        <v>1300.3011475000001</v>
      </c>
      <c r="H616">
        <v>1288.8256836</v>
      </c>
      <c r="I616">
        <v>1417.7631836</v>
      </c>
      <c r="J616">
        <v>1389.8031006000001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237.86748600000001</v>
      </c>
      <c r="B617" s="1">
        <f>DATE(2010,12,24) + TIME(20,49,10)</f>
        <v>40536.867476851854</v>
      </c>
      <c r="C617">
        <v>90</v>
      </c>
      <c r="D617">
        <v>80.727348328000005</v>
      </c>
      <c r="E617">
        <v>30</v>
      </c>
      <c r="F617">
        <v>29.976442337000002</v>
      </c>
      <c r="G617">
        <v>1300.1505127</v>
      </c>
      <c r="H617">
        <v>1288.6389160000001</v>
      </c>
      <c r="I617">
        <v>1417.7326660000001</v>
      </c>
      <c r="J617">
        <v>1389.7769774999999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239.37710000000001</v>
      </c>
      <c r="B618" s="1">
        <f>DATE(2010,12,26) + TIME(9,3,1)</f>
        <v>40538.37709490741</v>
      </c>
      <c r="C618">
        <v>90</v>
      </c>
      <c r="D618">
        <v>80.552917480000005</v>
      </c>
      <c r="E618">
        <v>30</v>
      </c>
      <c r="F618">
        <v>29.976501464999998</v>
      </c>
      <c r="G618">
        <v>1299.9953613</v>
      </c>
      <c r="H618">
        <v>1288.4460449000001</v>
      </c>
      <c r="I618">
        <v>1417.7032471</v>
      </c>
      <c r="J618">
        <v>1389.7515868999999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240.90705600000001</v>
      </c>
      <c r="B619" s="1">
        <f>DATE(2010,12,27) + TIME(21,46,9)</f>
        <v>40539.907048611109</v>
      </c>
      <c r="C619">
        <v>90</v>
      </c>
      <c r="D619">
        <v>80.378631592000005</v>
      </c>
      <c r="E619">
        <v>30</v>
      </c>
      <c r="F619">
        <v>29.976560592999999</v>
      </c>
      <c r="G619">
        <v>1299.8355713000001</v>
      </c>
      <c r="H619">
        <v>1288.2464600000001</v>
      </c>
      <c r="I619">
        <v>1417.6746826000001</v>
      </c>
      <c r="J619">
        <v>1389.7270507999999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242.46076299999999</v>
      </c>
      <c r="B620" s="1">
        <f>DATE(2010,12,29) + TIME(11,3,29)</f>
        <v>40541.460752314815</v>
      </c>
      <c r="C620">
        <v>90</v>
      </c>
      <c r="D620">
        <v>80.204101562000005</v>
      </c>
      <c r="E620">
        <v>30</v>
      </c>
      <c r="F620">
        <v>29.976621628</v>
      </c>
      <c r="G620">
        <v>1299.6704102000001</v>
      </c>
      <c r="H620">
        <v>1288.0395507999999</v>
      </c>
      <c r="I620">
        <v>1417.6469727000001</v>
      </c>
      <c r="J620">
        <v>1389.703125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244.041707</v>
      </c>
      <c r="B621" s="1">
        <f>DATE(2010,12,31) + TIME(1,0,3)</f>
        <v>40543.041701388887</v>
      </c>
      <c r="C621">
        <v>90</v>
      </c>
      <c r="D621">
        <v>80.028900145999998</v>
      </c>
      <c r="E621">
        <v>30</v>
      </c>
      <c r="F621">
        <v>29.976682662999998</v>
      </c>
      <c r="G621">
        <v>1299.4996338000001</v>
      </c>
      <c r="H621">
        <v>1287.824707</v>
      </c>
      <c r="I621">
        <v>1417.6198730000001</v>
      </c>
      <c r="J621">
        <v>1389.6798096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245</v>
      </c>
      <c r="B622" s="1">
        <f>DATE(2011,1,1) + TIME(0,0,0)</f>
        <v>40544</v>
      </c>
      <c r="C622">
        <v>90</v>
      </c>
      <c r="D622">
        <v>79.886833190999994</v>
      </c>
      <c r="E622">
        <v>30</v>
      </c>
      <c r="F622">
        <v>29.976718902999998</v>
      </c>
      <c r="G622">
        <v>1299.3243408000001</v>
      </c>
      <c r="H622">
        <v>1287.6087646000001</v>
      </c>
      <c r="I622">
        <v>1417.5926514</v>
      </c>
      <c r="J622">
        <v>1389.6563721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246.597106</v>
      </c>
      <c r="B623" s="1">
        <f>DATE(2011,1,2) + TIME(14,19,49)</f>
        <v>40545.597094907411</v>
      </c>
      <c r="C623">
        <v>90</v>
      </c>
      <c r="D623">
        <v>79.734664917000003</v>
      </c>
      <c r="E623">
        <v>30</v>
      </c>
      <c r="F623">
        <v>29.976781845000001</v>
      </c>
      <c r="G623">
        <v>1299.2086182</v>
      </c>
      <c r="H623">
        <v>1287.4537353999999</v>
      </c>
      <c r="I623">
        <v>1417.5780029</v>
      </c>
      <c r="J623">
        <v>1389.6436768000001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248.215791</v>
      </c>
      <c r="B624" s="1">
        <f>DATE(2011,1,4) + TIME(5,10,44)</f>
        <v>40547.215787037036</v>
      </c>
      <c r="C624">
        <v>90</v>
      </c>
      <c r="D624">
        <v>79.567367554</v>
      </c>
      <c r="E624">
        <v>30</v>
      </c>
      <c r="F624">
        <v>29.97684288</v>
      </c>
      <c r="G624">
        <v>1299.0270995999999</v>
      </c>
      <c r="H624">
        <v>1287.2253418</v>
      </c>
      <c r="I624">
        <v>1417.5528564000001</v>
      </c>
      <c r="J624">
        <v>1389.6220702999999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249.85246900000001</v>
      </c>
      <c r="B625" s="1">
        <f>DATE(2011,1,5) + TIME(20,27,33)</f>
        <v>40548.852465277778</v>
      </c>
      <c r="C625">
        <v>90</v>
      </c>
      <c r="D625">
        <v>79.394180297999995</v>
      </c>
      <c r="E625">
        <v>30</v>
      </c>
      <c r="F625">
        <v>29.976905822999999</v>
      </c>
      <c r="G625">
        <v>1298.8374022999999</v>
      </c>
      <c r="H625">
        <v>1286.9844971</v>
      </c>
      <c r="I625">
        <v>1417.5284423999999</v>
      </c>
      <c r="J625">
        <v>1389.6009521000001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251.51048</v>
      </c>
      <c r="B626" s="1">
        <f>DATE(2011,1,7) + TIME(12,15,5)</f>
        <v>40550.510474537034</v>
      </c>
      <c r="C626">
        <v>90</v>
      </c>
      <c r="D626">
        <v>79.218307495000005</v>
      </c>
      <c r="E626">
        <v>30</v>
      </c>
      <c r="F626">
        <v>29.976968764999999</v>
      </c>
      <c r="G626">
        <v>1298.6412353999999</v>
      </c>
      <c r="H626">
        <v>1286.7340088000001</v>
      </c>
      <c r="I626">
        <v>1417.5046387</v>
      </c>
      <c r="J626">
        <v>1389.5804443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253.19288800000001</v>
      </c>
      <c r="B627" s="1">
        <f>DATE(2011,1,9) + TIME(4,37,45)</f>
        <v>40552.192881944444</v>
      </c>
      <c r="C627">
        <v>90</v>
      </c>
      <c r="D627">
        <v>79.040565490999995</v>
      </c>
      <c r="E627">
        <v>30</v>
      </c>
      <c r="F627">
        <v>29.977033615</v>
      </c>
      <c r="G627">
        <v>1298.4384766000001</v>
      </c>
      <c r="H627">
        <v>1286.4741211</v>
      </c>
      <c r="I627">
        <v>1417.4814452999999</v>
      </c>
      <c r="J627">
        <v>1389.5604248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254.88590300000001</v>
      </c>
      <c r="B628" s="1">
        <f>DATE(2011,1,10) + TIME(21,15,41)</f>
        <v>40553.885891203703</v>
      </c>
      <c r="C628">
        <v>90</v>
      </c>
      <c r="D628">
        <v>78.861488342000001</v>
      </c>
      <c r="E628">
        <v>30</v>
      </c>
      <c r="F628">
        <v>29.977096558</v>
      </c>
      <c r="G628">
        <v>1298.2288818</v>
      </c>
      <c r="H628">
        <v>1286.2044678</v>
      </c>
      <c r="I628">
        <v>1417.4587402</v>
      </c>
      <c r="J628">
        <v>1389.5408935999999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256.59181100000001</v>
      </c>
      <c r="B629" s="1">
        <f>DATE(2011,1,12) + TIME(14,12,12)</f>
        <v>40555.591805555552</v>
      </c>
      <c r="C629">
        <v>90</v>
      </c>
      <c r="D629">
        <v>78.681510924999998</v>
      </c>
      <c r="E629">
        <v>30</v>
      </c>
      <c r="F629">
        <v>29.977161407000001</v>
      </c>
      <c r="G629">
        <v>1298.0137939000001</v>
      </c>
      <c r="H629">
        <v>1285.9267577999999</v>
      </c>
      <c r="I629">
        <v>1417.4368896000001</v>
      </c>
      <c r="J629">
        <v>1389.5219727000001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258.31279999999998</v>
      </c>
      <c r="B630" s="1">
        <f>DATE(2011,1,14) + TIME(7,30,25)</f>
        <v>40557.312789351854</v>
      </c>
      <c r="C630">
        <v>90</v>
      </c>
      <c r="D630">
        <v>78.500450134000005</v>
      </c>
      <c r="E630">
        <v>30</v>
      </c>
      <c r="F630">
        <v>29.977226257000002</v>
      </c>
      <c r="G630">
        <v>1297.7929687999999</v>
      </c>
      <c r="H630">
        <v>1285.6405029</v>
      </c>
      <c r="I630">
        <v>1417.4155272999999</v>
      </c>
      <c r="J630">
        <v>1389.5035399999999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260.050071</v>
      </c>
      <c r="B631" s="1">
        <f>DATE(2011,1,16) + TIME(1,12,6)</f>
        <v>40559.050069444442</v>
      </c>
      <c r="C631">
        <v>90</v>
      </c>
      <c r="D631">
        <v>78.317955017000003</v>
      </c>
      <c r="E631">
        <v>30</v>
      </c>
      <c r="F631">
        <v>29.977289200000001</v>
      </c>
      <c r="G631">
        <v>1297.5661620999999</v>
      </c>
      <c r="H631">
        <v>1285.3455810999999</v>
      </c>
      <c r="I631">
        <v>1417.3947754000001</v>
      </c>
      <c r="J631">
        <v>1389.4855957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261.80230299999999</v>
      </c>
      <c r="B632" s="1">
        <f>DATE(2011,1,17) + TIME(19,15,18)</f>
        <v>40560.802291666667</v>
      </c>
      <c r="C632">
        <v>90</v>
      </c>
      <c r="D632">
        <v>78.133735657000003</v>
      </c>
      <c r="E632">
        <v>30</v>
      </c>
      <c r="F632">
        <v>29.977354049999999</v>
      </c>
      <c r="G632">
        <v>1297.3330077999999</v>
      </c>
      <c r="H632">
        <v>1285.0415039</v>
      </c>
      <c r="I632">
        <v>1417.3745117000001</v>
      </c>
      <c r="J632">
        <v>1389.4681396000001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263.569029</v>
      </c>
      <c r="B633" s="1">
        <f>DATE(2011,1,19) + TIME(13,39,24)</f>
        <v>40562.569027777776</v>
      </c>
      <c r="C633">
        <v>90</v>
      </c>
      <c r="D633">
        <v>77.947540282999995</v>
      </c>
      <c r="E633">
        <v>30</v>
      </c>
      <c r="F633">
        <v>29.9774189</v>
      </c>
      <c r="G633">
        <v>1297.0936279</v>
      </c>
      <c r="H633">
        <v>1284.7282714999999</v>
      </c>
      <c r="I633">
        <v>1417.3548584</v>
      </c>
      <c r="J633">
        <v>1389.4511719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265.35106100000002</v>
      </c>
      <c r="B634" s="1">
        <f>DATE(2011,1,21) + TIME(8,25,31)</f>
        <v>40564.351053240738</v>
      </c>
      <c r="C634">
        <v>90</v>
      </c>
      <c r="D634">
        <v>77.759063721000004</v>
      </c>
      <c r="E634">
        <v>30</v>
      </c>
      <c r="F634">
        <v>29.977485656999999</v>
      </c>
      <c r="G634">
        <v>1296.8479004000001</v>
      </c>
      <c r="H634">
        <v>1284.4056396000001</v>
      </c>
      <c r="I634">
        <v>1417.3356934000001</v>
      </c>
      <c r="J634">
        <v>1389.4345702999999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267.14348999999999</v>
      </c>
      <c r="B635" s="1">
        <f>DATE(2011,1,23) + TIME(3,26,37)</f>
        <v>40566.143483796295</v>
      </c>
      <c r="C635">
        <v>90</v>
      </c>
      <c r="D635">
        <v>77.568115234000004</v>
      </c>
      <c r="E635">
        <v>30</v>
      </c>
      <c r="F635">
        <v>29.977550507</v>
      </c>
      <c r="G635">
        <v>1296.5957031</v>
      </c>
      <c r="H635">
        <v>1284.0737305</v>
      </c>
      <c r="I635">
        <v>1417.3168945</v>
      </c>
      <c r="J635">
        <v>1389.4183350000001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268.94861600000002</v>
      </c>
      <c r="B636" s="1">
        <f>DATE(2011,1,24) + TIME(22,46,0)</f>
        <v>40567.948611111111</v>
      </c>
      <c r="C636">
        <v>90</v>
      </c>
      <c r="D636">
        <v>77.374504088999998</v>
      </c>
      <c r="E636">
        <v>30</v>
      </c>
      <c r="F636">
        <v>29.977615356000001</v>
      </c>
      <c r="G636">
        <v>1296.3377685999999</v>
      </c>
      <c r="H636">
        <v>1283.7327881000001</v>
      </c>
      <c r="I636">
        <v>1417.2987060999999</v>
      </c>
      <c r="J636">
        <v>1389.4025879000001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270.76863100000003</v>
      </c>
      <c r="B637" s="1">
        <f>DATE(2011,1,26) + TIME(18,26,49)</f>
        <v>40569.768622685187</v>
      </c>
      <c r="C637">
        <v>90</v>
      </c>
      <c r="D637">
        <v>77.177742003999995</v>
      </c>
      <c r="E637">
        <v>30</v>
      </c>
      <c r="F637">
        <v>29.977680205999999</v>
      </c>
      <c r="G637">
        <v>1296.0734863</v>
      </c>
      <c r="H637">
        <v>1283.3826904</v>
      </c>
      <c r="I637">
        <v>1417.2808838000001</v>
      </c>
      <c r="J637">
        <v>1389.387207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272.60460499999999</v>
      </c>
      <c r="B638" s="1">
        <f>DATE(2011,1,28) + TIME(14,30,37)</f>
        <v>40571.604594907411</v>
      </c>
      <c r="C638">
        <v>90</v>
      </c>
      <c r="D638">
        <v>76.977287292</v>
      </c>
      <c r="E638">
        <v>30</v>
      </c>
      <c r="F638">
        <v>29.977746964000001</v>
      </c>
      <c r="G638">
        <v>1295.8027344</v>
      </c>
      <c r="H638">
        <v>1283.0228271000001</v>
      </c>
      <c r="I638">
        <v>1417.2635498</v>
      </c>
      <c r="J638">
        <v>1389.3721923999999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274.45729699999998</v>
      </c>
      <c r="B639" s="1">
        <f>DATE(2011,1,30) + TIME(10,58,30)</f>
        <v>40573.457291666666</v>
      </c>
      <c r="C639">
        <v>90</v>
      </c>
      <c r="D639">
        <v>76.772613524999997</v>
      </c>
      <c r="E639">
        <v>30</v>
      </c>
      <c r="F639">
        <v>29.977813721</v>
      </c>
      <c r="G639">
        <v>1295.5252685999999</v>
      </c>
      <c r="H639">
        <v>1282.6529541</v>
      </c>
      <c r="I639">
        <v>1417.246582</v>
      </c>
      <c r="J639">
        <v>1389.3574219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276</v>
      </c>
      <c r="B640" s="1">
        <f>DATE(2011,2,1) + TIME(0,0,0)</f>
        <v>40575</v>
      </c>
      <c r="C640">
        <v>90</v>
      </c>
      <c r="D640">
        <v>76.576042174999998</v>
      </c>
      <c r="E640">
        <v>30</v>
      </c>
      <c r="F640">
        <v>29.977867126</v>
      </c>
      <c r="G640">
        <v>1295.2425536999999</v>
      </c>
      <c r="H640">
        <v>1282.277832</v>
      </c>
      <c r="I640">
        <v>1417.2296143000001</v>
      </c>
      <c r="J640">
        <v>1389.3427733999999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277.86681900000002</v>
      </c>
      <c r="B641" s="1">
        <f>DATE(2011,2,2) + TIME(20,48,13)</f>
        <v>40576.86681712963</v>
      </c>
      <c r="C641">
        <v>90</v>
      </c>
      <c r="D641">
        <v>76.379302979000002</v>
      </c>
      <c r="E641">
        <v>30</v>
      </c>
      <c r="F641">
        <v>29.977933883999999</v>
      </c>
      <c r="G641">
        <v>1294.9951172000001</v>
      </c>
      <c r="H641">
        <v>1281.9405518000001</v>
      </c>
      <c r="I641">
        <v>1417.2163086</v>
      </c>
      <c r="J641">
        <v>1389.3312988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279.763665</v>
      </c>
      <c r="B642" s="1">
        <f>DATE(2011,2,4) + TIME(18,19,40)</f>
        <v>40578.763657407406</v>
      </c>
      <c r="C642">
        <v>90</v>
      </c>
      <c r="D642">
        <v>76.166145325000002</v>
      </c>
      <c r="E642">
        <v>30</v>
      </c>
      <c r="F642">
        <v>29.978000641000001</v>
      </c>
      <c r="G642">
        <v>1294.7037353999999</v>
      </c>
      <c r="H642">
        <v>1281.5505370999999</v>
      </c>
      <c r="I642">
        <v>1417.2003173999999</v>
      </c>
      <c r="J642">
        <v>1389.3175048999999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281.67541399999999</v>
      </c>
      <c r="B643" s="1">
        <f>DATE(2011,2,6) + TIME(16,12,35)</f>
        <v>40580.675405092596</v>
      </c>
      <c r="C643">
        <v>90</v>
      </c>
      <c r="D643">
        <v>75.942985535000005</v>
      </c>
      <c r="E643">
        <v>30</v>
      </c>
      <c r="F643">
        <v>29.978065490999999</v>
      </c>
      <c r="G643">
        <v>1294.401001</v>
      </c>
      <c r="H643">
        <v>1281.1430664</v>
      </c>
      <c r="I643">
        <v>1417.1845702999999</v>
      </c>
      <c r="J643">
        <v>1389.3037108999999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283.59848099999999</v>
      </c>
      <c r="B644" s="1">
        <f>DATE(2011,2,8) + TIME(14,21,48)</f>
        <v>40582.59847222222</v>
      </c>
      <c r="C644">
        <v>90</v>
      </c>
      <c r="D644">
        <v>75.712326050000001</v>
      </c>
      <c r="E644">
        <v>30</v>
      </c>
      <c r="F644">
        <v>29.978132248000001</v>
      </c>
      <c r="G644">
        <v>1294.0905762</v>
      </c>
      <c r="H644">
        <v>1280.7236327999999</v>
      </c>
      <c r="I644">
        <v>1417.1689452999999</v>
      </c>
      <c r="J644">
        <v>1389.2902832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285.535482</v>
      </c>
      <c r="B645" s="1">
        <f>DATE(2011,2,10) + TIME(12,51,5)</f>
        <v>40584.535474537035</v>
      </c>
      <c r="C645">
        <v>90</v>
      </c>
      <c r="D645">
        <v>75.474693298000005</v>
      </c>
      <c r="E645">
        <v>30</v>
      </c>
      <c r="F645">
        <v>29.978199005</v>
      </c>
      <c r="G645">
        <v>1293.7734375</v>
      </c>
      <c r="H645">
        <v>1280.2937012</v>
      </c>
      <c r="I645">
        <v>1417.1536865</v>
      </c>
      <c r="J645">
        <v>1389.2770995999999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287.48862600000001</v>
      </c>
      <c r="B646" s="1">
        <f>DATE(2011,2,12) + TIME(11,43,37)</f>
        <v>40586.488622685189</v>
      </c>
      <c r="C646">
        <v>90</v>
      </c>
      <c r="D646">
        <v>75.229751586999996</v>
      </c>
      <c r="E646">
        <v>30</v>
      </c>
      <c r="F646">
        <v>29.978265761999999</v>
      </c>
      <c r="G646">
        <v>1293.4495850000001</v>
      </c>
      <c r="H646">
        <v>1279.8532714999999</v>
      </c>
      <c r="I646">
        <v>1417.1386719</v>
      </c>
      <c r="J646">
        <v>1389.2640381000001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289.456503</v>
      </c>
      <c r="B647" s="1">
        <f>DATE(2011,2,14) + TIME(10,57,21)</f>
        <v>40588.456493055557</v>
      </c>
      <c r="C647">
        <v>90</v>
      </c>
      <c r="D647">
        <v>74.976913452000005</v>
      </c>
      <c r="E647">
        <v>30</v>
      </c>
      <c r="F647">
        <v>29.978332519999999</v>
      </c>
      <c r="G647">
        <v>1293.1187743999999</v>
      </c>
      <c r="H647">
        <v>1279.4020995999999</v>
      </c>
      <c r="I647">
        <v>1417.1237793</v>
      </c>
      <c r="J647">
        <v>1389.2512207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291.438604</v>
      </c>
      <c r="B648" s="1">
        <f>DATE(2011,2,16) + TIME(10,31,35)</f>
        <v>40590.438599537039</v>
      </c>
      <c r="C648">
        <v>90</v>
      </c>
      <c r="D648">
        <v>74.715408324999999</v>
      </c>
      <c r="E648">
        <v>30</v>
      </c>
      <c r="F648">
        <v>29.978399277000001</v>
      </c>
      <c r="G648">
        <v>1292.7810059000001</v>
      </c>
      <c r="H648">
        <v>1278.9401855000001</v>
      </c>
      <c r="I648">
        <v>1417.1091309000001</v>
      </c>
      <c r="J648">
        <v>1389.2385254000001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293.43239299999999</v>
      </c>
      <c r="B649" s="1">
        <f>DATE(2011,2,18) + TIME(10,22,38)</f>
        <v>40592.432384259257</v>
      </c>
      <c r="C649">
        <v>90</v>
      </c>
      <c r="D649">
        <v>74.445068359000004</v>
      </c>
      <c r="E649">
        <v>30</v>
      </c>
      <c r="F649">
        <v>29.978466034</v>
      </c>
      <c r="G649">
        <v>1292.4365233999999</v>
      </c>
      <c r="H649">
        <v>1278.4677733999999</v>
      </c>
      <c r="I649">
        <v>1417.0947266000001</v>
      </c>
      <c r="J649">
        <v>1389.2259521000001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295.43838</v>
      </c>
      <c r="B650" s="1">
        <f>DATE(2011,2,20) + TIME(10,31,15)</f>
        <v>40594.438368055555</v>
      </c>
      <c r="C650">
        <v>90</v>
      </c>
      <c r="D650">
        <v>74.165542603000006</v>
      </c>
      <c r="E650">
        <v>30</v>
      </c>
      <c r="F650">
        <v>29.978534698000001</v>
      </c>
      <c r="G650">
        <v>1292.0858154</v>
      </c>
      <c r="H650">
        <v>1277.9852295000001</v>
      </c>
      <c r="I650">
        <v>1417.0804443</v>
      </c>
      <c r="J650">
        <v>1389.2136230000001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297.45892199999997</v>
      </c>
      <c r="B651" s="1">
        <f>DATE(2011,2,22) + TIME(11,0,50)</f>
        <v>40596.458912037036</v>
      </c>
      <c r="C651">
        <v>90</v>
      </c>
      <c r="D651">
        <v>73.876197814999998</v>
      </c>
      <c r="E651">
        <v>30</v>
      </c>
      <c r="F651">
        <v>29.978601456</v>
      </c>
      <c r="G651">
        <v>1291.7286377</v>
      </c>
      <c r="H651">
        <v>1277.4924315999999</v>
      </c>
      <c r="I651">
        <v>1417.0662841999999</v>
      </c>
      <c r="J651">
        <v>1389.2012939000001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299.49521600000003</v>
      </c>
      <c r="B652" s="1">
        <f>DATE(2011,2,24) + TIME(11,53,6)</f>
        <v>40598.495208333334</v>
      </c>
      <c r="C652">
        <v>90</v>
      </c>
      <c r="D652">
        <v>73.576278686999999</v>
      </c>
      <c r="E652">
        <v>30</v>
      </c>
      <c r="F652">
        <v>29.978668212999999</v>
      </c>
      <c r="G652">
        <v>1291.3648682</v>
      </c>
      <c r="H652">
        <v>1276.9891356999999</v>
      </c>
      <c r="I652">
        <v>1417.0522461</v>
      </c>
      <c r="J652">
        <v>1389.1890868999999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301.54822200000001</v>
      </c>
      <c r="B653" s="1">
        <f>DATE(2011,2,26) + TIME(13,9,26)</f>
        <v>40600.548217592594</v>
      </c>
      <c r="C653">
        <v>90</v>
      </c>
      <c r="D653">
        <v>73.265068053999997</v>
      </c>
      <c r="E653">
        <v>30</v>
      </c>
      <c r="F653">
        <v>29.978734970000001</v>
      </c>
      <c r="G653">
        <v>1290.9942627</v>
      </c>
      <c r="H653">
        <v>1276.4748535000001</v>
      </c>
      <c r="I653">
        <v>1417.0383300999999</v>
      </c>
      <c r="J653">
        <v>1389.1770019999999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303.617007</v>
      </c>
      <c r="B654" s="1">
        <f>DATE(2011,2,28) + TIME(14,48,29)</f>
        <v>40602.617002314815</v>
      </c>
      <c r="C654">
        <v>90</v>
      </c>
      <c r="D654">
        <v>72.941940308</v>
      </c>
      <c r="E654">
        <v>30</v>
      </c>
      <c r="F654">
        <v>29.978801727</v>
      </c>
      <c r="G654">
        <v>1290.6168213000001</v>
      </c>
      <c r="H654">
        <v>1275.9495850000001</v>
      </c>
      <c r="I654">
        <v>1417.0244141000001</v>
      </c>
      <c r="J654">
        <v>1389.1649170000001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304</v>
      </c>
      <c r="B655" s="1">
        <f>DATE(2011,3,1) + TIME(0,0,0)</f>
        <v>40603</v>
      </c>
      <c r="C655">
        <v>90</v>
      </c>
      <c r="D655">
        <v>72.789001464999998</v>
      </c>
      <c r="E655">
        <v>30</v>
      </c>
      <c r="F655">
        <v>29.978813170999999</v>
      </c>
      <c r="G655">
        <v>1290.2580565999999</v>
      </c>
      <c r="H655">
        <v>1275.4941406</v>
      </c>
      <c r="I655">
        <v>1417.0089111</v>
      </c>
      <c r="J655">
        <v>1389.1512451000001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306.08422899999999</v>
      </c>
      <c r="B656" s="1">
        <f>DATE(2011,3,3) + TIME(2,1,17)</f>
        <v>40605.084224537037</v>
      </c>
      <c r="C656">
        <v>90</v>
      </c>
      <c r="D656">
        <v>72.517959594999994</v>
      </c>
      <c r="E656">
        <v>30</v>
      </c>
      <c r="F656">
        <v>29.978881835999999</v>
      </c>
      <c r="G656">
        <v>1290.1446533000001</v>
      </c>
      <c r="H656">
        <v>1275.2807617000001</v>
      </c>
      <c r="I656">
        <v>1417.0081786999999</v>
      </c>
      <c r="J656">
        <v>1389.1507568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308.183718</v>
      </c>
      <c r="B657" s="1">
        <f>DATE(2011,3,5) + TIME(4,24,33)</f>
        <v>40607.183715277781</v>
      </c>
      <c r="C657">
        <v>90</v>
      </c>
      <c r="D657">
        <v>72.185562133999994</v>
      </c>
      <c r="E657">
        <v>30</v>
      </c>
      <c r="F657">
        <v>29.978948592999998</v>
      </c>
      <c r="G657">
        <v>1289.7648925999999</v>
      </c>
      <c r="H657">
        <v>1274.7558594</v>
      </c>
      <c r="I657">
        <v>1416.9943848</v>
      </c>
      <c r="J657">
        <v>1389.1386719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310.29893800000002</v>
      </c>
      <c r="B658" s="1">
        <f>DATE(2011,3,7) + TIME(7,10,28)</f>
        <v>40609.298935185187</v>
      </c>
      <c r="C658">
        <v>90</v>
      </c>
      <c r="D658">
        <v>71.826560974000003</v>
      </c>
      <c r="E658">
        <v>30</v>
      </c>
      <c r="F658">
        <v>29.979015350000001</v>
      </c>
      <c r="G658">
        <v>1289.3698730000001</v>
      </c>
      <c r="H658">
        <v>1274.2028809000001</v>
      </c>
      <c r="I658">
        <v>1416.9805908000001</v>
      </c>
      <c r="J658">
        <v>1389.1267089999999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312.43020999999999</v>
      </c>
      <c r="B659" s="1">
        <f>DATE(2011,3,9) + TIME(10,19,30)</f>
        <v>40611.430208333331</v>
      </c>
      <c r="C659">
        <v>90</v>
      </c>
      <c r="D659">
        <v>71.450119018999999</v>
      </c>
      <c r="E659">
        <v>30</v>
      </c>
      <c r="F659">
        <v>29.979082108</v>
      </c>
      <c r="G659">
        <v>1288.9661865</v>
      </c>
      <c r="H659">
        <v>1273.6345214999999</v>
      </c>
      <c r="I659">
        <v>1416.9667969</v>
      </c>
      <c r="J659">
        <v>1389.114624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314.571799</v>
      </c>
      <c r="B660" s="1">
        <f>DATE(2011,3,11) + TIME(13,43,23)</f>
        <v>40613.571793981479</v>
      </c>
      <c r="C660">
        <v>90</v>
      </c>
      <c r="D660">
        <v>71.058685303000004</v>
      </c>
      <c r="E660">
        <v>30</v>
      </c>
      <c r="F660">
        <v>29.979148864999999</v>
      </c>
      <c r="G660">
        <v>1288.5554199000001</v>
      </c>
      <c r="H660">
        <v>1273.0541992000001</v>
      </c>
      <c r="I660">
        <v>1416.9530029</v>
      </c>
      <c r="J660">
        <v>1389.1026611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316.723974</v>
      </c>
      <c r="B661" s="1">
        <f>DATE(2011,3,13) + TIME(17,22,31)</f>
        <v>40615.723969907405</v>
      </c>
      <c r="C661">
        <v>90</v>
      </c>
      <c r="D661">
        <v>70.653282165999997</v>
      </c>
      <c r="E661">
        <v>30</v>
      </c>
      <c r="F661">
        <v>29.979215622000002</v>
      </c>
      <c r="G661">
        <v>1288.1391602000001</v>
      </c>
      <c r="H661">
        <v>1272.4642334</v>
      </c>
      <c r="I661">
        <v>1416.9392089999999</v>
      </c>
      <c r="J661">
        <v>1389.0905762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318.88948799999997</v>
      </c>
      <c r="B662" s="1">
        <f>DATE(2011,3,15) + TIME(21,20,51)</f>
        <v>40617.889479166668</v>
      </c>
      <c r="C662">
        <v>90</v>
      </c>
      <c r="D662">
        <v>70.233695983999993</v>
      </c>
      <c r="E662">
        <v>30</v>
      </c>
      <c r="F662">
        <v>29.979282379000001</v>
      </c>
      <c r="G662">
        <v>1287.7175293</v>
      </c>
      <c r="H662">
        <v>1271.8647461</v>
      </c>
      <c r="I662">
        <v>1416.9254149999999</v>
      </c>
      <c r="J662">
        <v>1389.0784911999999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321.07078300000001</v>
      </c>
      <c r="B663" s="1">
        <f>DATE(2011,3,18) + TIME(1,41,55)</f>
        <v>40620.070775462962</v>
      </c>
      <c r="C663">
        <v>90</v>
      </c>
      <c r="D663">
        <v>69.798973083000007</v>
      </c>
      <c r="E663">
        <v>30</v>
      </c>
      <c r="F663">
        <v>29.979349136</v>
      </c>
      <c r="G663">
        <v>1287.2902832</v>
      </c>
      <c r="H663">
        <v>1271.2554932</v>
      </c>
      <c r="I663">
        <v>1416.911499</v>
      </c>
      <c r="J663">
        <v>1389.0662841999999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323.26919500000002</v>
      </c>
      <c r="B664" s="1">
        <f>DATE(2011,3,20) + TIME(6,27,38)</f>
        <v>40622.269189814811</v>
      </c>
      <c r="C664">
        <v>90</v>
      </c>
      <c r="D664">
        <v>69.348373413000004</v>
      </c>
      <c r="E664">
        <v>30</v>
      </c>
      <c r="F664">
        <v>29.979415893999999</v>
      </c>
      <c r="G664">
        <v>1286.8572998</v>
      </c>
      <c r="H664">
        <v>1270.6358643000001</v>
      </c>
      <c r="I664">
        <v>1416.8975829999999</v>
      </c>
      <c r="J664">
        <v>1389.0539550999999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325.480975</v>
      </c>
      <c r="B665" s="1">
        <f>DATE(2011,3,22) + TIME(11,32,36)</f>
        <v>40624.48097222222</v>
      </c>
      <c r="C665">
        <v>90</v>
      </c>
      <c r="D665">
        <v>68.881835937999995</v>
      </c>
      <c r="E665">
        <v>30</v>
      </c>
      <c r="F665">
        <v>29.979482651000001</v>
      </c>
      <c r="G665">
        <v>1286.4182129000001</v>
      </c>
      <c r="H665">
        <v>1270.0058594</v>
      </c>
      <c r="I665">
        <v>1416.8834228999999</v>
      </c>
      <c r="J665">
        <v>1389.041626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327.70410299999998</v>
      </c>
      <c r="B666" s="1">
        <f>DATE(2011,3,24) + TIME(16,53,54)</f>
        <v>40626.704097222224</v>
      </c>
      <c r="C666">
        <v>90</v>
      </c>
      <c r="D666">
        <v>68.399818420000003</v>
      </c>
      <c r="E666">
        <v>30</v>
      </c>
      <c r="F666">
        <v>29.979549408</v>
      </c>
      <c r="G666">
        <v>1285.973999</v>
      </c>
      <c r="H666">
        <v>1269.3663329999999</v>
      </c>
      <c r="I666">
        <v>1416.8692627</v>
      </c>
      <c r="J666">
        <v>1389.0290527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329.940718</v>
      </c>
      <c r="B667" s="1">
        <f>DATE(2011,3,26) + TIME(22,34,38)</f>
        <v>40628.940717592595</v>
      </c>
      <c r="C667">
        <v>90</v>
      </c>
      <c r="D667">
        <v>67.902282714999998</v>
      </c>
      <c r="E667">
        <v>30</v>
      </c>
      <c r="F667">
        <v>29.979616164999999</v>
      </c>
      <c r="G667">
        <v>1285.5251464999999</v>
      </c>
      <c r="H667">
        <v>1268.7178954999999</v>
      </c>
      <c r="I667">
        <v>1416.8549805</v>
      </c>
      <c r="J667">
        <v>1389.0163574000001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332.18710600000003</v>
      </c>
      <c r="B668" s="1">
        <f>DATE(2011,3,29) + TIME(4,29,25)</f>
        <v>40631.187094907407</v>
      </c>
      <c r="C668">
        <v>90</v>
      </c>
      <c r="D668">
        <v>67.389213561999995</v>
      </c>
      <c r="E668">
        <v>30</v>
      </c>
      <c r="F668">
        <v>29.979682921999999</v>
      </c>
      <c r="G668">
        <v>1285.0715332</v>
      </c>
      <c r="H668">
        <v>1268.0605469</v>
      </c>
      <c r="I668">
        <v>1416.8405762</v>
      </c>
      <c r="J668">
        <v>1389.0036620999999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334.443577</v>
      </c>
      <c r="B669" s="1">
        <f>DATE(2011,3,31) + TIME(10,38,45)</f>
        <v>40633.443576388891</v>
      </c>
      <c r="C669">
        <v>90</v>
      </c>
      <c r="D669">
        <v>66.861061096</v>
      </c>
      <c r="E669">
        <v>30</v>
      </c>
      <c r="F669">
        <v>29.979747772</v>
      </c>
      <c r="G669">
        <v>1284.6140137</v>
      </c>
      <c r="H669">
        <v>1267.3952637</v>
      </c>
      <c r="I669">
        <v>1416.8260498</v>
      </c>
      <c r="J669">
        <v>1388.9907227000001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335</v>
      </c>
      <c r="B670" s="1">
        <f>DATE(2011,4,1) + TIME(0,0,0)</f>
        <v>40634</v>
      </c>
      <c r="C670">
        <v>90</v>
      </c>
      <c r="D670">
        <v>66.547851562000005</v>
      </c>
      <c r="E670">
        <v>30</v>
      </c>
      <c r="F670">
        <v>29.979763031000001</v>
      </c>
      <c r="G670">
        <v>1284.1719971</v>
      </c>
      <c r="H670">
        <v>1266.8143310999999</v>
      </c>
      <c r="I670">
        <v>1416.8101807</v>
      </c>
      <c r="J670">
        <v>1388.9764404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337.26979299999999</v>
      </c>
      <c r="B671" s="1">
        <f>DATE(2011,4,3) + TIME(6,28,30)</f>
        <v>40636.269791666666</v>
      </c>
      <c r="C671">
        <v>90</v>
      </c>
      <c r="D671">
        <v>66.137939453000001</v>
      </c>
      <c r="E671">
        <v>30</v>
      </c>
      <c r="F671">
        <v>29.979831696000002</v>
      </c>
      <c r="G671">
        <v>1284.0200195</v>
      </c>
      <c r="H671">
        <v>1266.5124512</v>
      </c>
      <c r="I671">
        <v>1416.8077393000001</v>
      </c>
      <c r="J671">
        <v>1388.9743652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339.54996899999998</v>
      </c>
      <c r="B672" s="1">
        <f>DATE(2011,4,5) + TIME(13,11,57)</f>
        <v>40638.54996527778</v>
      </c>
      <c r="C672">
        <v>90</v>
      </c>
      <c r="D672">
        <v>65.609077454000001</v>
      </c>
      <c r="E672">
        <v>30</v>
      </c>
      <c r="F672">
        <v>29.979896544999999</v>
      </c>
      <c r="G672">
        <v>1283.5683594</v>
      </c>
      <c r="H672">
        <v>1265.862793</v>
      </c>
      <c r="I672">
        <v>1416.7928466999999</v>
      </c>
      <c r="J672">
        <v>1388.9610596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341.84222899999997</v>
      </c>
      <c r="B673" s="1">
        <f>DATE(2011,4,7) + TIME(20,12,48)</f>
        <v>40640.842222222222</v>
      </c>
      <c r="C673">
        <v>90</v>
      </c>
      <c r="D673">
        <v>65.040733337000006</v>
      </c>
      <c r="E673">
        <v>30</v>
      </c>
      <c r="F673">
        <v>29.979961395</v>
      </c>
      <c r="G673">
        <v>1283.1031493999999</v>
      </c>
      <c r="H673">
        <v>1265.1816406</v>
      </c>
      <c r="I673">
        <v>1416.7777100000001</v>
      </c>
      <c r="J673">
        <v>1388.9476318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344.146478</v>
      </c>
      <c r="B674" s="1">
        <f>DATE(2011,4,10) + TIME(3,30,55)</f>
        <v>40643.146469907406</v>
      </c>
      <c r="C674">
        <v>90</v>
      </c>
      <c r="D674">
        <v>64.452262877999999</v>
      </c>
      <c r="E674">
        <v>30</v>
      </c>
      <c r="F674">
        <v>29.980028151999999</v>
      </c>
      <c r="G674">
        <v>1282.6317139</v>
      </c>
      <c r="H674">
        <v>1264.4870605000001</v>
      </c>
      <c r="I674">
        <v>1416.7624512</v>
      </c>
      <c r="J674">
        <v>1388.9339600000001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346.46330899999998</v>
      </c>
      <c r="B675" s="1">
        <f>DATE(2011,4,12) + TIME(11,7,9)</f>
        <v>40645.46329861111</v>
      </c>
      <c r="C675">
        <v>90</v>
      </c>
      <c r="D675">
        <v>63.848308563000003</v>
      </c>
      <c r="E675">
        <v>30</v>
      </c>
      <c r="F675">
        <v>29.980093002</v>
      </c>
      <c r="G675">
        <v>1282.1566161999999</v>
      </c>
      <c r="H675">
        <v>1263.7840576000001</v>
      </c>
      <c r="I675">
        <v>1416.7470702999999</v>
      </c>
      <c r="J675">
        <v>1388.9200439000001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348.79647499999999</v>
      </c>
      <c r="B676" s="1">
        <f>DATE(2011,4,14) + TIME(19,6,55)</f>
        <v>40647.796469907407</v>
      </c>
      <c r="C676">
        <v>90</v>
      </c>
      <c r="D676">
        <v>63.230003357000001</v>
      </c>
      <c r="E676">
        <v>30</v>
      </c>
      <c r="F676">
        <v>29.980157852000001</v>
      </c>
      <c r="G676">
        <v>1281.6782227000001</v>
      </c>
      <c r="H676">
        <v>1263.0736084</v>
      </c>
      <c r="I676">
        <v>1416.7313231999999</v>
      </c>
      <c r="J676">
        <v>1388.9058838000001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351.14814699999999</v>
      </c>
      <c r="B677" s="1">
        <f>DATE(2011,4,17) + TIME(3,33,19)</f>
        <v>40650.148136574076</v>
      </c>
      <c r="C677">
        <v>90</v>
      </c>
      <c r="D677">
        <v>62.597259520999998</v>
      </c>
      <c r="E677">
        <v>30</v>
      </c>
      <c r="F677">
        <v>29.980222701999999</v>
      </c>
      <c r="G677">
        <v>1281.1965332</v>
      </c>
      <c r="H677">
        <v>1262.3555908000001</v>
      </c>
      <c r="I677">
        <v>1416.7154541</v>
      </c>
      <c r="J677">
        <v>1388.8914795000001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353.520399</v>
      </c>
      <c r="B678" s="1">
        <f>DATE(2011,4,19) + TIME(12,29,22)</f>
        <v>40652.52039351852</v>
      </c>
      <c r="C678">
        <v>90</v>
      </c>
      <c r="D678">
        <v>61.950317382999998</v>
      </c>
      <c r="E678">
        <v>30</v>
      </c>
      <c r="F678">
        <v>29.980289459000002</v>
      </c>
      <c r="G678">
        <v>1280.7110596</v>
      </c>
      <c r="H678">
        <v>1261.6296387</v>
      </c>
      <c r="I678">
        <v>1416.6992187999999</v>
      </c>
      <c r="J678">
        <v>1388.8768310999999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355.91701999999998</v>
      </c>
      <c r="B679" s="1">
        <f>DATE(2011,4,21) + TIME(22,0,30)</f>
        <v>40654.917013888888</v>
      </c>
      <c r="C679">
        <v>90</v>
      </c>
      <c r="D679">
        <v>61.288799286</v>
      </c>
      <c r="E679">
        <v>30</v>
      </c>
      <c r="F679">
        <v>29.980354308999999</v>
      </c>
      <c r="G679">
        <v>1280.2219238</v>
      </c>
      <c r="H679">
        <v>1260.8955077999999</v>
      </c>
      <c r="I679">
        <v>1416.6827393000001</v>
      </c>
      <c r="J679">
        <v>1388.8619385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358.33673499999998</v>
      </c>
      <c r="B680" s="1">
        <f>DATE(2011,4,24) + TIME(8,4,53)</f>
        <v>40657.336724537039</v>
      </c>
      <c r="C680">
        <v>90</v>
      </c>
      <c r="D680">
        <v>60.612449646000002</v>
      </c>
      <c r="E680">
        <v>30</v>
      </c>
      <c r="F680">
        <v>29.980419159</v>
      </c>
      <c r="G680">
        <v>1279.7286377</v>
      </c>
      <c r="H680">
        <v>1260.1525879000001</v>
      </c>
      <c r="I680">
        <v>1416.6658935999999</v>
      </c>
      <c r="J680">
        <v>1388.8465576000001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360.77339899999998</v>
      </c>
      <c r="B681" s="1">
        <f>DATE(2011,4,26) + TIME(18,33,41)</f>
        <v>40659.7733912037</v>
      </c>
      <c r="C681">
        <v>90</v>
      </c>
      <c r="D681">
        <v>59.92219162</v>
      </c>
      <c r="E681">
        <v>30</v>
      </c>
      <c r="F681">
        <v>29.980485915999999</v>
      </c>
      <c r="G681">
        <v>1279.2316894999999</v>
      </c>
      <c r="H681">
        <v>1259.4014893000001</v>
      </c>
      <c r="I681">
        <v>1416.6486815999999</v>
      </c>
      <c r="J681">
        <v>1388.8309326000001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363.231021</v>
      </c>
      <c r="B682" s="1">
        <f>DATE(2011,4,29) + TIME(5,32,40)</f>
        <v>40662.23101851852</v>
      </c>
      <c r="C682">
        <v>90</v>
      </c>
      <c r="D682">
        <v>59.218997954999999</v>
      </c>
      <c r="E682">
        <v>30</v>
      </c>
      <c r="F682">
        <v>29.980550766</v>
      </c>
      <c r="G682">
        <v>1278.7326660000001</v>
      </c>
      <c r="H682">
        <v>1258.6441649999999</v>
      </c>
      <c r="I682">
        <v>1416.6312256000001</v>
      </c>
      <c r="J682">
        <v>1388.8149414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365</v>
      </c>
      <c r="B683" s="1">
        <f>DATE(2011,5,1) + TIME(0,0,0)</f>
        <v>40664</v>
      </c>
      <c r="C683">
        <v>90</v>
      </c>
      <c r="D683">
        <v>58.561054230000003</v>
      </c>
      <c r="E683">
        <v>30</v>
      </c>
      <c r="F683">
        <v>29.980596542000001</v>
      </c>
      <c r="G683">
        <v>1278.2340088000001</v>
      </c>
      <c r="H683">
        <v>1257.9035644999999</v>
      </c>
      <c r="I683">
        <v>1416.6131591999999</v>
      </c>
      <c r="J683">
        <v>1388.7984618999999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365.000001</v>
      </c>
      <c r="B684" s="1">
        <f>DATE(2011,5,1) + TIME(0,0,0)</f>
        <v>40664</v>
      </c>
      <c r="C684">
        <v>90</v>
      </c>
      <c r="D684">
        <v>58.561241150000001</v>
      </c>
      <c r="E684">
        <v>30</v>
      </c>
      <c r="F684">
        <v>29.980497360000001</v>
      </c>
      <c r="G684">
        <v>1300.5672606999999</v>
      </c>
      <c r="H684">
        <v>1279.3170166</v>
      </c>
      <c r="I684">
        <v>1387.9233397999999</v>
      </c>
      <c r="J684">
        <v>1360.3161620999999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365.00000399999999</v>
      </c>
      <c r="B685" s="1">
        <f>DATE(2011,5,1) + TIME(0,0,0)</f>
        <v>40664</v>
      </c>
      <c r="C685">
        <v>90</v>
      </c>
      <c r="D685">
        <v>58.561748504999997</v>
      </c>
      <c r="E685">
        <v>30</v>
      </c>
      <c r="F685">
        <v>29.980222701999999</v>
      </c>
      <c r="G685">
        <v>1302.989624</v>
      </c>
      <c r="H685">
        <v>1282.1373291</v>
      </c>
      <c r="I685">
        <v>1385.5074463000001</v>
      </c>
      <c r="J685">
        <v>1357.8992920000001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365.00001300000002</v>
      </c>
      <c r="B686" s="1">
        <f>DATE(2011,5,1) + TIME(0,0,1)</f>
        <v>40664.000011574077</v>
      </c>
      <c r="C686">
        <v>90</v>
      </c>
      <c r="D686">
        <v>58.562950133999998</v>
      </c>
      <c r="E686">
        <v>30</v>
      </c>
      <c r="F686">
        <v>29.979560851999999</v>
      </c>
      <c r="G686">
        <v>1308.4697266000001</v>
      </c>
      <c r="H686">
        <v>1288.1873779</v>
      </c>
      <c r="I686">
        <v>1379.6668701000001</v>
      </c>
      <c r="J686">
        <v>1352.0571289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365.00004000000001</v>
      </c>
      <c r="B687" s="1">
        <f>DATE(2011,5,1) + TIME(0,0,3)</f>
        <v>40664.000034722223</v>
      </c>
      <c r="C687">
        <v>90</v>
      </c>
      <c r="D687">
        <v>58.565433501999998</v>
      </c>
      <c r="E687">
        <v>30</v>
      </c>
      <c r="F687">
        <v>29.978317261000001</v>
      </c>
      <c r="G687">
        <v>1317.7976074000001</v>
      </c>
      <c r="H687">
        <v>1297.7999268000001</v>
      </c>
      <c r="I687">
        <v>1368.7313231999999</v>
      </c>
      <c r="J687">
        <v>1341.1206055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365.00012099999998</v>
      </c>
      <c r="B688" s="1">
        <f>DATE(2011,5,1) + TIME(0,0,10)</f>
        <v>40664.000115740739</v>
      </c>
      <c r="C688">
        <v>90</v>
      </c>
      <c r="D688">
        <v>58.570632934999999</v>
      </c>
      <c r="E688">
        <v>30</v>
      </c>
      <c r="F688">
        <v>29.976634979</v>
      </c>
      <c r="G688">
        <v>1329.4582519999999</v>
      </c>
      <c r="H688">
        <v>1309.3126221</v>
      </c>
      <c r="I688">
        <v>1353.9617920000001</v>
      </c>
      <c r="J688">
        <v>1326.3557129000001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365.00036399999999</v>
      </c>
      <c r="B689" s="1">
        <f>DATE(2011,5,1) + TIME(0,0,31)</f>
        <v>40664.000358796293</v>
      </c>
      <c r="C689">
        <v>90</v>
      </c>
      <c r="D689">
        <v>58.583419800000001</v>
      </c>
      <c r="E689">
        <v>30</v>
      </c>
      <c r="F689">
        <v>29.974821090999999</v>
      </c>
      <c r="G689">
        <v>1341.7526855000001</v>
      </c>
      <c r="H689">
        <v>1321.3739014</v>
      </c>
      <c r="I689">
        <v>1338.1373291</v>
      </c>
      <c r="J689">
        <v>1310.5418701000001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365.00109300000003</v>
      </c>
      <c r="B690" s="1">
        <f>DATE(2011,5,1) + TIME(0,1,34)</f>
        <v>40664.001087962963</v>
      </c>
      <c r="C690">
        <v>90</v>
      </c>
      <c r="D690">
        <v>58.619010924999998</v>
      </c>
      <c r="E690">
        <v>30</v>
      </c>
      <c r="F690">
        <v>29.972963332999999</v>
      </c>
      <c r="G690">
        <v>1354.5299072</v>
      </c>
      <c r="H690">
        <v>1333.9443358999999</v>
      </c>
      <c r="I690">
        <v>1322.2801514</v>
      </c>
      <c r="J690">
        <v>1294.7017822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365.00328000000002</v>
      </c>
      <c r="B691" s="1">
        <f>DATE(2011,5,1) + TIME(0,4,43)</f>
        <v>40664.003275462965</v>
      </c>
      <c r="C691">
        <v>90</v>
      </c>
      <c r="D691">
        <v>58.723274230999998</v>
      </c>
      <c r="E691">
        <v>30</v>
      </c>
      <c r="F691">
        <v>29.970977782999999</v>
      </c>
      <c r="G691">
        <v>1368.3651123</v>
      </c>
      <c r="H691">
        <v>1347.6148682</v>
      </c>
      <c r="I691">
        <v>1306.3804932</v>
      </c>
      <c r="J691">
        <v>1278.8144531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365.00984099999999</v>
      </c>
      <c r="B692" s="1">
        <f>DATE(2011,5,1) + TIME(0,14,10)</f>
        <v>40664.009837962964</v>
      </c>
      <c r="C692">
        <v>90</v>
      </c>
      <c r="D692">
        <v>59.031963347999998</v>
      </c>
      <c r="E692">
        <v>30</v>
      </c>
      <c r="F692">
        <v>29.968669891000001</v>
      </c>
      <c r="G692">
        <v>1382.9449463000001</v>
      </c>
      <c r="H692">
        <v>1362.1289062000001</v>
      </c>
      <c r="I692">
        <v>1290.8173827999999</v>
      </c>
      <c r="J692">
        <v>1263.2310791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365.02835099999999</v>
      </c>
      <c r="B693" s="1">
        <f>DATE(2011,5,1) + TIME(0,40,49)</f>
        <v>40664.028344907405</v>
      </c>
      <c r="C693">
        <v>90</v>
      </c>
      <c r="D693">
        <v>59.879474639999998</v>
      </c>
      <c r="E693">
        <v>30</v>
      </c>
      <c r="F693">
        <v>29.965759277</v>
      </c>
      <c r="G693">
        <v>1394.8540039</v>
      </c>
      <c r="H693">
        <v>1374.2021483999999</v>
      </c>
      <c r="I693">
        <v>1278.5180664</v>
      </c>
      <c r="J693">
        <v>1250.8957519999999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365.04732000000001</v>
      </c>
      <c r="B694" s="1">
        <f>DATE(2011,5,1) + TIME(1,8,8)</f>
        <v>40664.047314814816</v>
      </c>
      <c r="C694">
        <v>90</v>
      </c>
      <c r="D694">
        <v>60.724311829000001</v>
      </c>
      <c r="E694">
        <v>30</v>
      </c>
      <c r="F694">
        <v>29.963678359999999</v>
      </c>
      <c r="G694">
        <v>1399.4079589999999</v>
      </c>
      <c r="H694">
        <v>1378.9705810999999</v>
      </c>
      <c r="I694">
        <v>1273.9523925999999</v>
      </c>
      <c r="J694">
        <v>1246.3160399999999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365.06667099999999</v>
      </c>
      <c r="B695" s="1">
        <f>DATE(2011,5,1) + TIME(1,36,0)</f>
        <v>40664.066666666666</v>
      </c>
      <c r="C695">
        <v>90</v>
      </c>
      <c r="D695">
        <v>61.562198639000002</v>
      </c>
      <c r="E695">
        <v>30</v>
      </c>
      <c r="F695">
        <v>29.961877822999998</v>
      </c>
      <c r="G695">
        <v>1401.2923584</v>
      </c>
      <c r="H695">
        <v>1381.0850829999999</v>
      </c>
      <c r="I695">
        <v>1272.1103516000001</v>
      </c>
      <c r="J695">
        <v>1244.4682617000001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365.08639699999998</v>
      </c>
      <c r="B696" s="1">
        <f>DATE(2011,5,1) + TIME(2,4,24)</f>
        <v>40664.086388888885</v>
      </c>
      <c r="C696">
        <v>90</v>
      </c>
      <c r="D696">
        <v>62.392059326000002</v>
      </c>
      <c r="E696">
        <v>30</v>
      </c>
      <c r="F696">
        <v>29.960180283</v>
      </c>
      <c r="G696">
        <v>1402.041626</v>
      </c>
      <c r="H696">
        <v>1382.0645752</v>
      </c>
      <c r="I696">
        <v>1271.3662108999999</v>
      </c>
      <c r="J696">
        <v>1243.7214355000001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365.10647699999998</v>
      </c>
      <c r="B697" s="1">
        <f>DATE(2011,5,1) + TIME(2,33,19)</f>
        <v>40664.106469907405</v>
      </c>
      <c r="C697">
        <v>90</v>
      </c>
      <c r="D697">
        <v>63.212329865000001</v>
      </c>
      <c r="E697">
        <v>30</v>
      </c>
      <c r="F697">
        <v>29.958517075</v>
      </c>
      <c r="G697">
        <v>1402.2629394999999</v>
      </c>
      <c r="H697">
        <v>1382.5112305</v>
      </c>
      <c r="I697">
        <v>1271.0847168</v>
      </c>
      <c r="J697">
        <v>1243.4387207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365.12691699999999</v>
      </c>
      <c r="B698" s="1">
        <f>DATE(2011,5,1) + TIME(3,2,45)</f>
        <v>40664.126909722225</v>
      </c>
      <c r="C698">
        <v>90</v>
      </c>
      <c r="D698">
        <v>64.022727966000005</v>
      </c>
      <c r="E698">
        <v>30</v>
      </c>
      <c r="F698">
        <v>29.956855774000001</v>
      </c>
      <c r="G698">
        <v>1402.2275391000001</v>
      </c>
      <c r="H698">
        <v>1382.6943358999999</v>
      </c>
      <c r="I698">
        <v>1270.9959716999999</v>
      </c>
      <c r="J698">
        <v>1243.3492432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365.14772900000003</v>
      </c>
      <c r="B699" s="1">
        <f>DATE(2011,5,1) + TIME(3,32,43)</f>
        <v>40664.147719907407</v>
      </c>
      <c r="C699">
        <v>90</v>
      </c>
      <c r="D699">
        <v>64.823020935000002</v>
      </c>
      <c r="E699">
        <v>30</v>
      </c>
      <c r="F699">
        <v>29.955184936999999</v>
      </c>
      <c r="G699">
        <v>1402.0648193</v>
      </c>
      <c r="H699">
        <v>1382.7431641000001</v>
      </c>
      <c r="I699">
        <v>1270.9827881000001</v>
      </c>
      <c r="J699">
        <v>1243.3355713000001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365.16893099999999</v>
      </c>
      <c r="B700" s="1">
        <f>DATE(2011,5,1) + TIME(4,3,15)</f>
        <v>40664.168923611112</v>
      </c>
      <c r="C700">
        <v>90</v>
      </c>
      <c r="D700">
        <v>65.613510132000002</v>
      </c>
      <c r="E700">
        <v>30</v>
      </c>
      <c r="F700">
        <v>29.953496933</v>
      </c>
      <c r="G700">
        <v>1401.8392334</v>
      </c>
      <c r="H700">
        <v>1382.7219238</v>
      </c>
      <c r="I700">
        <v>1270.9953613</v>
      </c>
      <c r="J700">
        <v>1243.3477783000001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365.19054</v>
      </c>
      <c r="B701" s="1">
        <f>DATE(2011,5,1) + TIME(4,34,22)</f>
        <v>40664.190532407411</v>
      </c>
      <c r="C701">
        <v>90</v>
      </c>
      <c r="D701">
        <v>66.394096375000004</v>
      </c>
      <c r="E701">
        <v>30</v>
      </c>
      <c r="F701">
        <v>29.951789856000001</v>
      </c>
      <c r="G701">
        <v>1401.5836182</v>
      </c>
      <c r="H701">
        <v>1382.6636963000001</v>
      </c>
      <c r="I701">
        <v>1271.0134277</v>
      </c>
      <c r="J701">
        <v>1243.3654785000001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365.21254399999998</v>
      </c>
      <c r="B702" s="1">
        <f>DATE(2011,5,1) + TIME(5,6,3)</f>
        <v>40664.212534722225</v>
      </c>
      <c r="C702">
        <v>90</v>
      </c>
      <c r="D702">
        <v>67.163681030000006</v>
      </c>
      <c r="E702">
        <v>30</v>
      </c>
      <c r="F702">
        <v>29.950061798</v>
      </c>
      <c r="G702">
        <v>1401.3157959</v>
      </c>
      <c r="H702">
        <v>1382.5861815999999</v>
      </c>
      <c r="I702">
        <v>1271.0299072</v>
      </c>
      <c r="J702">
        <v>1243.3815918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365.23494799999997</v>
      </c>
      <c r="B703" s="1">
        <f>DATE(2011,5,1) + TIME(5,38,19)</f>
        <v>40664.234942129631</v>
      </c>
      <c r="C703">
        <v>90</v>
      </c>
      <c r="D703">
        <v>67.921875</v>
      </c>
      <c r="E703">
        <v>30</v>
      </c>
      <c r="F703">
        <v>29.948316574</v>
      </c>
      <c r="G703">
        <v>1401.0451660000001</v>
      </c>
      <c r="H703">
        <v>1382.4987793</v>
      </c>
      <c r="I703">
        <v>1271.0427245999999</v>
      </c>
      <c r="J703">
        <v>1243.3941649999999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365.25777299999999</v>
      </c>
      <c r="B704" s="1">
        <f>DATE(2011,5,1) + TIME(6,11,11)</f>
        <v>40664.2577662037</v>
      </c>
      <c r="C704">
        <v>90</v>
      </c>
      <c r="D704">
        <v>68.668884277000004</v>
      </c>
      <c r="E704">
        <v>30</v>
      </c>
      <c r="F704">
        <v>29.946548461999999</v>
      </c>
      <c r="G704">
        <v>1400.7767334</v>
      </c>
      <c r="H704">
        <v>1382.4069824000001</v>
      </c>
      <c r="I704">
        <v>1271.052124</v>
      </c>
      <c r="J704">
        <v>1243.4033202999999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365.28104000000002</v>
      </c>
      <c r="B705" s="1">
        <f>DATE(2011,5,1) + TIME(6,44,41)</f>
        <v>40664.281030092592</v>
      </c>
      <c r="C705">
        <v>90</v>
      </c>
      <c r="D705">
        <v>69.404731749999996</v>
      </c>
      <c r="E705">
        <v>30</v>
      </c>
      <c r="F705">
        <v>29.944759369</v>
      </c>
      <c r="G705">
        <v>1400.5130615</v>
      </c>
      <c r="H705">
        <v>1382.3137207</v>
      </c>
      <c r="I705">
        <v>1271.0588379000001</v>
      </c>
      <c r="J705">
        <v>1243.409668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365.30477000000002</v>
      </c>
      <c r="B706" s="1">
        <f>DATE(2011,5,1) + TIME(7,18,52)</f>
        <v>40664.304768518516</v>
      </c>
      <c r="C706">
        <v>90</v>
      </c>
      <c r="D706">
        <v>70.129356384000005</v>
      </c>
      <c r="E706">
        <v>30</v>
      </c>
      <c r="F706">
        <v>29.942947388</v>
      </c>
      <c r="G706">
        <v>1400.2556152</v>
      </c>
      <c r="H706">
        <v>1382.2205810999999</v>
      </c>
      <c r="I706">
        <v>1271.0633545000001</v>
      </c>
      <c r="J706">
        <v>1243.4139404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365.32896699999998</v>
      </c>
      <c r="B707" s="1">
        <f>DATE(2011,5,1) + TIME(7,53,42)</f>
        <v>40664.328958333332</v>
      </c>
      <c r="C707">
        <v>90</v>
      </c>
      <c r="D707">
        <v>70.841972350999995</v>
      </c>
      <c r="E707">
        <v>30</v>
      </c>
      <c r="F707">
        <v>29.941112518000001</v>
      </c>
      <c r="G707">
        <v>1400.0053711</v>
      </c>
      <c r="H707">
        <v>1382.1286620999999</v>
      </c>
      <c r="I707">
        <v>1271.0666504000001</v>
      </c>
      <c r="J707">
        <v>1243.4167480000001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365.35363599999999</v>
      </c>
      <c r="B708" s="1">
        <f>DATE(2011,5,1) + TIME(8,29,14)</f>
        <v>40664.353634259256</v>
      </c>
      <c r="C708">
        <v>90</v>
      </c>
      <c r="D708">
        <v>71.542541503999999</v>
      </c>
      <c r="E708">
        <v>30</v>
      </c>
      <c r="F708">
        <v>29.939254761000001</v>
      </c>
      <c r="G708">
        <v>1399.7628173999999</v>
      </c>
      <c r="H708">
        <v>1382.0385742000001</v>
      </c>
      <c r="I708">
        <v>1271.0688477000001</v>
      </c>
      <c r="J708">
        <v>1243.4187012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365.37879900000001</v>
      </c>
      <c r="B709" s="1">
        <f>DATE(2011,5,1) + TIME(9,5,28)</f>
        <v>40664.378796296296</v>
      </c>
      <c r="C709">
        <v>90</v>
      </c>
      <c r="D709">
        <v>72.231079101999995</v>
      </c>
      <c r="E709">
        <v>30</v>
      </c>
      <c r="F709">
        <v>29.937374115000001</v>
      </c>
      <c r="G709">
        <v>1399.527832</v>
      </c>
      <c r="H709">
        <v>1381.9505615</v>
      </c>
      <c r="I709">
        <v>1271.0703125</v>
      </c>
      <c r="J709">
        <v>1243.4199219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365.40448099999998</v>
      </c>
      <c r="B710" s="1">
        <f>DATE(2011,5,1) + TIME(9,42,27)</f>
        <v>40664.404479166667</v>
      </c>
      <c r="C710">
        <v>90</v>
      </c>
      <c r="D710">
        <v>72.907630920000003</v>
      </c>
      <c r="E710">
        <v>30</v>
      </c>
      <c r="F710">
        <v>29.935466766000001</v>
      </c>
      <c r="G710">
        <v>1399.3004149999999</v>
      </c>
      <c r="H710">
        <v>1381.8647461</v>
      </c>
      <c r="I710">
        <v>1271.0714111</v>
      </c>
      <c r="J710">
        <v>1243.4206543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365.43070499999999</v>
      </c>
      <c r="B711" s="1">
        <f>DATE(2011,5,1) + TIME(10,20,12)</f>
        <v>40664.430694444447</v>
      </c>
      <c r="C711">
        <v>90</v>
      </c>
      <c r="D711">
        <v>73.572189331000004</v>
      </c>
      <c r="E711">
        <v>30</v>
      </c>
      <c r="F711">
        <v>29.933534622</v>
      </c>
      <c r="G711">
        <v>1399.0802002</v>
      </c>
      <c r="H711">
        <v>1381.7810059000001</v>
      </c>
      <c r="I711">
        <v>1271.0722656</v>
      </c>
      <c r="J711">
        <v>1243.4211425999999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365.45749799999999</v>
      </c>
      <c r="B712" s="1">
        <f>DATE(2011,5,1) + TIME(10,58,47)</f>
        <v>40664.457488425927</v>
      </c>
      <c r="C712">
        <v>90</v>
      </c>
      <c r="D712">
        <v>74.224777222</v>
      </c>
      <c r="E712">
        <v>30</v>
      </c>
      <c r="F712">
        <v>29.931571959999999</v>
      </c>
      <c r="G712">
        <v>1398.8670654</v>
      </c>
      <c r="H712">
        <v>1381.6994629000001</v>
      </c>
      <c r="I712">
        <v>1271.072876</v>
      </c>
      <c r="J712">
        <v>1243.4213867000001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365.48488900000001</v>
      </c>
      <c r="B713" s="1">
        <f>DATE(2011,5,1) + TIME(11,38,14)</f>
        <v>40664.484884259262</v>
      </c>
      <c r="C713">
        <v>90</v>
      </c>
      <c r="D713">
        <v>74.865371703999998</v>
      </c>
      <c r="E713">
        <v>30</v>
      </c>
      <c r="F713">
        <v>29.929582595999999</v>
      </c>
      <c r="G713">
        <v>1398.6606445</v>
      </c>
      <c r="H713">
        <v>1381.6199951000001</v>
      </c>
      <c r="I713">
        <v>1271.0733643000001</v>
      </c>
      <c r="J713">
        <v>1243.4213867000001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365.51290899999998</v>
      </c>
      <c r="B714" s="1">
        <f>DATE(2011,5,1) + TIME(12,18,35)</f>
        <v>40664.51290509259</v>
      </c>
      <c r="C714">
        <v>90</v>
      </c>
      <c r="D714">
        <v>75.493606567</v>
      </c>
      <c r="E714">
        <v>30</v>
      </c>
      <c r="F714">
        <v>29.927560805999999</v>
      </c>
      <c r="G714">
        <v>1398.4605713000001</v>
      </c>
      <c r="H714">
        <v>1381.5423584</v>
      </c>
      <c r="I714">
        <v>1271.0737305</v>
      </c>
      <c r="J714">
        <v>1243.4213867000001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365.54158799999999</v>
      </c>
      <c r="B715" s="1">
        <f>DATE(2011,5,1) + TIME(12,59,53)</f>
        <v>40664.541585648149</v>
      </c>
      <c r="C715">
        <v>90</v>
      </c>
      <c r="D715">
        <v>76.109710692999997</v>
      </c>
      <c r="E715">
        <v>30</v>
      </c>
      <c r="F715">
        <v>29.925506592000001</v>
      </c>
      <c r="G715">
        <v>1398.2668457</v>
      </c>
      <c r="H715">
        <v>1381.4665527</v>
      </c>
      <c r="I715">
        <v>1271.0739745999999</v>
      </c>
      <c r="J715">
        <v>1243.4212646000001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365.57096899999999</v>
      </c>
      <c r="B716" s="1">
        <f>DATE(2011,5,1) + TIME(13,42,11)</f>
        <v>40664.570960648147</v>
      </c>
      <c r="C716">
        <v>90</v>
      </c>
      <c r="D716">
        <v>76.713882446</v>
      </c>
      <c r="E716">
        <v>30</v>
      </c>
      <c r="F716">
        <v>29.923418044999998</v>
      </c>
      <c r="G716">
        <v>1398.0788574000001</v>
      </c>
      <c r="H716">
        <v>1381.3924560999999</v>
      </c>
      <c r="I716">
        <v>1271.0742187999999</v>
      </c>
      <c r="J716">
        <v>1243.4211425999999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365.60109</v>
      </c>
      <c r="B717" s="1">
        <f>DATE(2011,5,1) + TIME(14,25,34)</f>
        <v>40664.601087962961</v>
      </c>
      <c r="C717">
        <v>90</v>
      </c>
      <c r="D717">
        <v>77.306076050000001</v>
      </c>
      <c r="E717">
        <v>30</v>
      </c>
      <c r="F717">
        <v>29.921291351000001</v>
      </c>
      <c r="G717">
        <v>1397.8964844</v>
      </c>
      <c r="H717">
        <v>1381.3199463000001</v>
      </c>
      <c r="I717">
        <v>1271.0743408000001</v>
      </c>
      <c r="J717">
        <v>1243.4208983999999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365.63198399999999</v>
      </c>
      <c r="B718" s="1">
        <f>DATE(2011,5,1) + TIME(15,10,3)</f>
        <v>40664.631979166668</v>
      </c>
      <c r="C718">
        <v>90</v>
      </c>
      <c r="D718">
        <v>77.886108398000005</v>
      </c>
      <c r="E718">
        <v>30</v>
      </c>
      <c r="F718">
        <v>29.919126511000002</v>
      </c>
      <c r="G718">
        <v>1397.7193603999999</v>
      </c>
      <c r="H718">
        <v>1381.2487793</v>
      </c>
      <c r="I718">
        <v>1271.0744629000001</v>
      </c>
      <c r="J718">
        <v>1243.4206543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365.66369400000002</v>
      </c>
      <c r="B719" s="1">
        <f>DATE(2011,5,1) + TIME(15,55,43)</f>
        <v>40664.66369212963</v>
      </c>
      <c r="C719">
        <v>90</v>
      </c>
      <c r="D719">
        <v>78.453933715999995</v>
      </c>
      <c r="E719">
        <v>30</v>
      </c>
      <c r="F719">
        <v>29.916921616</v>
      </c>
      <c r="G719">
        <v>1397.5473632999999</v>
      </c>
      <c r="H719">
        <v>1381.1789550999999</v>
      </c>
      <c r="I719">
        <v>1271.0744629000001</v>
      </c>
      <c r="J719">
        <v>1243.4202881000001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365.69626699999998</v>
      </c>
      <c r="B720" s="1">
        <f>DATE(2011,5,1) + TIME(16,42,37)</f>
        <v>40664.696261574078</v>
      </c>
      <c r="C720">
        <v>90</v>
      </c>
      <c r="D720">
        <v>79.009468079000001</v>
      </c>
      <c r="E720">
        <v>30</v>
      </c>
      <c r="F720">
        <v>29.914670944000001</v>
      </c>
      <c r="G720">
        <v>1397.3801269999999</v>
      </c>
      <c r="H720">
        <v>1381.1103516000001</v>
      </c>
      <c r="I720">
        <v>1271.0745850000001</v>
      </c>
      <c r="J720">
        <v>1243.4199219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365.72975200000002</v>
      </c>
      <c r="B721" s="1">
        <f>DATE(2011,5,1) + TIME(17,30,50)</f>
        <v>40664.729745370372</v>
      </c>
      <c r="C721">
        <v>90</v>
      </c>
      <c r="D721">
        <v>79.552650451999995</v>
      </c>
      <c r="E721">
        <v>30</v>
      </c>
      <c r="F721">
        <v>29.912376404</v>
      </c>
      <c r="G721">
        <v>1397.2175293</v>
      </c>
      <c r="H721">
        <v>1381.0427245999999</v>
      </c>
      <c r="I721">
        <v>1271.0745850000001</v>
      </c>
      <c r="J721">
        <v>1243.4194336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365.76420400000001</v>
      </c>
      <c r="B722" s="1">
        <f>DATE(2011,5,1) + TIME(18,20,27)</f>
        <v>40664.764201388891</v>
      </c>
      <c r="C722">
        <v>90</v>
      </c>
      <c r="D722">
        <v>80.083381653000004</v>
      </c>
      <c r="E722">
        <v>30</v>
      </c>
      <c r="F722">
        <v>29.91003418</v>
      </c>
      <c r="G722">
        <v>1397.059082</v>
      </c>
      <c r="H722">
        <v>1380.9760742000001</v>
      </c>
      <c r="I722">
        <v>1271.0744629000001</v>
      </c>
      <c r="J722">
        <v>1243.4189452999999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365.79968200000002</v>
      </c>
      <c r="B723" s="1">
        <f>DATE(2011,5,1) + TIME(19,11,32)</f>
        <v>40664.799675925926</v>
      </c>
      <c r="C723">
        <v>90</v>
      </c>
      <c r="D723">
        <v>80.601486206000004</v>
      </c>
      <c r="E723">
        <v>30</v>
      </c>
      <c r="F723">
        <v>29.907638550000001</v>
      </c>
      <c r="G723">
        <v>1396.9047852000001</v>
      </c>
      <c r="H723">
        <v>1380.9102783000001</v>
      </c>
      <c r="I723">
        <v>1271.0744629000001</v>
      </c>
      <c r="J723">
        <v>1243.418457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365.83625000000001</v>
      </c>
      <c r="B724" s="1">
        <f>DATE(2011,5,1) + TIME(20,4,12)</f>
        <v>40664.83625</v>
      </c>
      <c r="C724">
        <v>90</v>
      </c>
      <c r="D724">
        <v>81.106964110999996</v>
      </c>
      <c r="E724">
        <v>30</v>
      </c>
      <c r="F724">
        <v>29.905187606999998</v>
      </c>
      <c r="G724">
        <v>1396.7543945</v>
      </c>
      <c r="H724">
        <v>1380.8452147999999</v>
      </c>
      <c r="I724">
        <v>1271.0743408000001</v>
      </c>
      <c r="J724">
        <v>1243.4179687999999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365.87397800000002</v>
      </c>
      <c r="B725" s="1">
        <f>DATE(2011,5,1) + TIME(20,58,31)</f>
        <v>40664.873969907407</v>
      </c>
      <c r="C725">
        <v>90</v>
      </c>
      <c r="D725">
        <v>81.599731445000003</v>
      </c>
      <c r="E725">
        <v>30</v>
      </c>
      <c r="F725">
        <v>29.902679443</v>
      </c>
      <c r="G725">
        <v>1396.6075439000001</v>
      </c>
      <c r="H725">
        <v>1380.7806396000001</v>
      </c>
      <c r="I725">
        <v>1271.0742187999999</v>
      </c>
      <c r="J725">
        <v>1243.4173584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365.91294799999997</v>
      </c>
      <c r="B726" s="1">
        <f>DATE(2011,5,1) + TIME(21,54,38)</f>
        <v>40664.912939814814</v>
      </c>
      <c r="C726">
        <v>90</v>
      </c>
      <c r="D726">
        <v>82.079742432000003</v>
      </c>
      <c r="E726">
        <v>30</v>
      </c>
      <c r="F726">
        <v>29.900108336999999</v>
      </c>
      <c r="G726">
        <v>1396.4641113</v>
      </c>
      <c r="H726">
        <v>1380.7164307</v>
      </c>
      <c r="I726">
        <v>1271.0740966999999</v>
      </c>
      <c r="J726">
        <v>1243.4167480000001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365.953261</v>
      </c>
      <c r="B727" s="1">
        <f>DATE(2011,5,1) + TIME(22,52,41)</f>
        <v>40664.953252314815</v>
      </c>
      <c r="C727">
        <v>90</v>
      </c>
      <c r="D727">
        <v>82.547065735000004</v>
      </c>
      <c r="E727">
        <v>30</v>
      </c>
      <c r="F727">
        <v>29.897468567000001</v>
      </c>
      <c r="G727">
        <v>1396.3237305</v>
      </c>
      <c r="H727">
        <v>1380.6525879000001</v>
      </c>
      <c r="I727">
        <v>1271.0738524999999</v>
      </c>
      <c r="J727">
        <v>1243.4161377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365.99499100000003</v>
      </c>
      <c r="B728" s="1">
        <f>DATE(2011,5,1) + TIME(23,52,47)</f>
        <v>40664.994988425926</v>
      </c>
      <c r="C728">
        <v>90</v>
      </c>
      <c r="D728">
        <v>83.001335143999995</v>
      </c>
      <c r="E728">
        <v>30</v>
      </c>
      <c r="F728">
        <v>29.894758224</v>
      </c>
      <c r="G728">
        <v>1396.1864014</v>
      </c>
      <c r="H728">
        <v>1380.5889893000001</v>
      </c>
      <c r="I728">
        <v>1271.0736084</v>
      </c>
      <c r="J728">
        <v>1243.4154053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366.03823899999998</v>
      </c>
      <c r="B729" s="1">
        <f>DATE(2011,5,2) + TIME(0,55,3)</f>
        <v>40665.038229166668</v>
      </c>
      <c r="C729">
        <v>90</v>
      </c>
      <c r="D729">
        <v>83.442428589000002</v>
      </c>
      <c r="E729">
        <v>30</v>
      </c>
      <c r="F729">
        <v>29.891971588000001</v>
      </c>
      <c r="G729">
        <v>1396.0517577999999</v>
      </c>
      <c r="H729">
        <v>1380.5253906</v>
      </c>
      <c r="I729">
        <v>1271.0734863</v>
      </c>
      <c r="J729">
        <v>1243.4146728999999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366.08311800000001</v>
      </c>
      <c r="B730" s="1">
        <f>DATE(2011,5,2) + TIME(1,59,41)</f>
        <v>40665.083113425928</v>
      </c>
      <c r="C730">
        <v>90</v>
      </c>
      <c r="D730">
        <v>83.870208739999995</v>
      </c>
      <c r="E730">
        <v>30</v>
      </c>
      <c r="F730">
        <v>29.889101027999999</v>
      </c>
      <c r="G730">
        <v>1395.9196777</v>
      </c>
      <c r="H730">
        <v>1380.4617920000001</v>
      </c>
      <c r="I730">
        <v>1271.0732422000001</v>
      </c>
      <c r="J730">
        <v>1243.4139404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366.12975399999999</v>
      </c>
      <c r="B731" s="1">
        <f>DATE(2011,5,2) + TIME(3,6,50)</f>
        <v>40665.129745370374</v>
      </c>
      <c r="C731">
        <v>90</v>
      </c>
      <c r="D731">
        <v>84.284553528000004</v>
      </c>
      <c r="E731">
        <v>30</v>
      </c>
      <c r="F731">
        <v>29.886142731</v>
      </c>
      <c r="G731">
        <v>1395.7899170000001</v>
      </c>
      <c r="H731">
        <v>1380.3979492000001</v>
      </c>
      <c r="I731">
        <v>1271.072876</v>
      </c>
      <c r="J731">
        <v>1243.4130858999999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366.17827499999999</v>
      </c>
      <c r="B732" s="1">
        <f>DATE(2011,5,2) + TIME(4,16,43)</f>
        <v>40665.17827546296</v>
      </c>
      <c r="C732">
        <v>90</v>
      </c>
      <c r="D732">
        <v>84.685234070000007</v>
      </c>
      <c r="E732">
        <v>30</v>
      </c>
      <c r="F732">
        <v>29.883090973000002</v>
      </c>
      <c r="G732">
        <v>1395.6623535000001</v>
      </c>
      <c r="H732">
        <v>1380.3337402</v>
      </c>
      <c r="I732">
        <v>1271.0726318</v>
      </c>
      <c r="J732">
        <v>1243.4123535000001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366.22885000000002</v>
      </c>
      <c r="B733" s="1">
        <f>DATE(2011,5,2) + TIME(5,29,32)</f>
        <v>40665.228842592594</v>
      </c>
      <c r="C733">
        <v>90</v>
      </c>
      <c r="D733">
        <v>85.072151184000006</v>
      </c>
      <c r="E733">
        <v>30</v>
      </c>
      <c r="F733">
        <v>29.879934311</v>
      </c>
      <c r="G733">
        <v>1395.5366211</v>
      </c>
      <c r="H733">
        <v>1380.269043</v>
      </c>
      <c r="I733">
        <v>1271.0723877</v>
      </c>
      <c r="J733">
        <v>1243.411499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366.281655</v>
      </c>
      <c r="B734" s="1">
        <f>DATE(2011,5,2) + TIME(6,45,34)</f>
        <v>40665.281643518516</v>
      </c>
      <c r="C734">
        <v>90</v>
      </c>
      <c r="D734">
        <v>85.444984435999999</v>
      </c>
      <c r="E734">
        <v>30</v>
      </c>
      <c r="F734">
        <v>29.876667023</v>
      </c>
      <c r="G734">
        <v>1395.4125977000001</v>
      </c>
      <c r="H734">
        <v>1380.2038574000001</v>
      </c>
      <c r="I734">
        <v>1271.0720214999999</v>
      </c>
      <c r="J734">
        <v>1243.4105225000001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366.33688799999999</v>
      </c>
      <c r="B735" s="1">
        <f>DATE(2011,5,2) + TIME(8,5,7)</f>
        <v>40665.336886574078</v>
      </c>
      <c r="C735">
        <v>90</v>
      </c>
      <c r="D735">
        <v>85.803810119999994</v>
      </c>
      <c r="E735">
        <v>30</v>
      </c>
      <c r="F735">
        <v>29.873277664</v>
      </c>
      <c r="G735">
        <v>1395.2899170000001</v>
      </c>
      <c r="H735">
        <v>1380.1378173999999</v>
      </c>
      <c r="I735">
        <v>1271.0716553</v>
      </c>
      <c r="J735">
        <v>1243.409668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366.39477799999997</v>
      </c>
      <c r="B736" s="1">
        <f>DATE(2011,5,2) + TIME(9,28,28)</f>
        <v>40665.394768518519</v>
      </c>
      <c r="C736">
        <v>90</v>
      </c>
      <c r="D736">
        <v>86.148483275999993</v>
      </c>
      <c r="E736">
        <v>30</v>
      </c>
      <c r="F736">
        <v>29.869756699</v>
      </c>
      <c r="G736">
        <v>1395.168457</v>
      </c>
      <c r="H736">
        <v>1380.0708007999999</v>
      </c>
      <c r="I736">
        <v>1271.0712891000001</v>
      </c>
      <c r="J736">
        <v>1243.4086914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366.45561900000001</v>
      </c>
      <c r="B737" s="1">
        <f>DATE(2011,5,2) + TIME(10,56,5)</f>
        <v>40665.455613425926</v>
      </c>
      <c r="C737">
        <v>90</v>
      </c>
      <c r="D737">
        <v>86.479026794000006</v>
      </c>
      <c r="E737">
        <v>30</v>
      </c>
      <c r="F737">
        <v>29.866086960000001</v>
      </c>
      <c r="G737">
        <v>1395.0479736</v>
      </c>
      <c r="H737">
        <v>1380.0026855000001</v>
      </c>
      <c r="I737">
        <v>1271.0709228999999</v>
      </c>
      <c r="J737">
        <v>1243.4075928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366.51969000000003</v>
      </c>
      <c r="B738" s="1">
        <f>DATE(2011,5,2) + TIME(12,28,21)</f>
        <v>40665.519687499997</v>
      </c>
      <c r="C738">
        <v>90</v>
      </c>
      <c r="D738">
        <v>86.795173645000006</v>
      </c>
      <c r="E738">
        <v>30</v>
      </c>
      <c r="F738">
        <v>29.862258911000001</v>
      </c>
      <c r="G738">
        <v>1394.9282227000001</v>
      </c>
      <c r="H738">
        <v>1379.9332274999999</v>
      </c>
      <c r="I738">
        <v>1271.0704346</v>
      </c>
      <c r="J738">
        <v>1243.4064940999999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366.58732700000002</v>
      </c>
      <c r="B739" s="1">
        <f>DATE(2011,5,2) + TIME(14,5,45)</f>
        <v>40665.587326388886</v>
      </c>
      <c r="C739">
        <v>90</v>
      </c>
      <c r="D739">
        <v>87.096717834000003</v>
      </c>
      <c r="E739">
        <v>30</v>
      </c>
      <c r="F739">
        <v>29.858251572</v>
      </c>
      <c r="G739">
        <v>1394.8087158000001</v>
      </c>
      <c r="H739">
        <v>1379.8621826000001</v>
      </c>
      <c r="I739">
        <v>1271.0700684000001</v>
      </c>
      <c r="J739">
        <v>1243.4053954999999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366.65893499999999</v>
      </c>
      <c r="B740" s="1">
        <f>DATE(2011,5,2) + TIME(15,48,52)</f>
        <v>40665.658935185187</v>
      </c>
      <c r="C740">
        <v>90</v>
      </c>
      <c r="D740">
        <v>87.383514403999996</v>
      </c>
      <c r="E740">
        <v>30</v>
      </c>
      <c r="F740">
        <v>29.854049683</v>
      </c>
      <c r="G740">
        <v>1394.6894531</v>
      </c>
      <c r="H740">
        <v>1379.7894286999999</v>
      </c>
      <c r="I740">
        <v>1271.0695800999999</v>
      </c>
      <c r="J740">
        <v>1243.4042969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366.73498899999998</v>
      </c>
      <c r="B741" s="1">
        <f>DATE(2011,5,2) + TIME(17,38,23)</f>
        <v>40665.734988425924</v>
      </c>
      <c r="C741">
        <v>90</v>
      </c>
      <c r="D741">
        <v>87.655418396000002</v>
      </c>
      <c r="E741">
        <v>30</v>
      </c>
      <c r="F741">
        <v>29.849630355999999</v>
      </c>
      <c r="G741">
        <v>1394.5699463000001</v>
      </c>
      <c r="H741">
        <v>1379.7147216999999</v>
      </c>
      <c r="I741">
        <v>1271.0690918</v>
      </c>
      <c r="J741">
        <v>1243.4030762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366.816081</v>
      </c>
      <c r="B742" s="1">
        <f>DATE(2011,5,2) + TIME(19,35,9)</f>
        <v>40665.816076388888</v>
      </c>
      <c r="C742">
        <v>90</v>
      </c>
      <c r="D742">
        <v>87.912384032999995</v>
      </c>
      <c r="E742">
        <v>30</v>
      </c>
      <c r="F742">
        <v>29.844964981</v>
      </c>
      <c r="G742">
        <v>1394.4498291</v>
      </c>
      <c r="H742">
        <v>1379.6376952999999</v>
      </c>
      <c r="I742">
        <v>1271.0684814000001</v>
      </c>
      <c r="J742">
        <v>1243.4017334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366.90103299999998</v>
      </c>
      <c r="B743" s="1">
        <f>DATE(2011,5,2) + TIME(21,37,29)</f>
        <v>40665.901030092595</v>
      </c>
      <c r="C743">
        <v>90</v>
      </c>
      <c r="D743">
        <v>88.149681091000005</v>
      </c>
      <c r="E743">
        <v>30</v>
      </c>
      <c r="F743">
        <v>29.840116501000001</v>
      </c>
      <c r="G743">
        <v>1394.3308105000001</v>
      </c>
      <c r="H743">
        <v>1379.559082</v>
      </c>
      <c r="I743">
        <v>1271.0678711</v>
      </c>
      <c r="J743">
        <v>1243.4003906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366.98652099999998</v>
      </c>
      <c r="B744" s="1">
        <f>DATE(2011,5,2) + TIME(23,40,35)</f>
        <v>40665.986516203702</v>
      </c>
      <c r="C744">
        <v>90</v>
      </c>
      <c r="D744">
        <v>88.360038756999998</v>
      </c>
      <c r="E744">
        <v>30</v>
      </c>
      <c r="F744">
        <v>29.835260390999998</v>
      </c>
      <c r="G744">
        <v>1394.2163086</v>
      </c>
      <c r="H744">
        <v>1379.4808350000001</v>
      </c>
      <c r="I744">
        <v>1271.0672606999999</v>
      </c>
      <c r="J744">
        <v>1243.3989257999999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367.07278600000001</v>
      </c>
      <c r="B745" s="1">
        <f>DATE(2011,5,3) + TIME(1,44,48)</f>
        <v>40666.072777777779</v>
      </c>
      <c r="C745">
        <v>90</v>
      </c>
      <c r="D745">
        <v>88.546821593999994</v>
      </c>
      <c r="E745">
        <v>30</v>
      </c>
      <c r="F745">
        <v>29.830381393</v>
      </c>
      <c r="G745">
        <v>1394.1063231999999</v>
      </c>
      <c r="H745">
        <v>1379.4041748</v>
      </c>
      <c r="I745">
        <v>1271.0665283000001</v>
      </c>
      <c r="J745">
        <v>1243.3974608999999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367.15997399999998</v>
      </c>
      <c r="B746" s="1">
        <f>DATE(2011,5,3) + TIME(3,50,21)</f>
        <v>40666.15996527778</v>
      </c>
      <c r="C746">
        <v>90</v>
      </c>
      <c r="D746">
        <v>88.712722778</v>
      </c>
      <c r="E746">
        <v>30</v>
      </c>
      <c r="F746">
        <v>29.825475693000001</v>
      </c>
      <c r="G746">
        <v>1394.0002440999999</v>
      </c>
      <c r="H746">
        <v>1379.3287353999999</v>
      </c>
      <c r="I746">
        <v>1271.0657959</v>
      </c>
      <c r="J746">
        <v>1243.3959961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367.24803000000003</v>
      </c>
      <c r="B747" s="1">
        <f>DATE(2011,5,3) + TIME(5,57,9)</f>
        <v>40666.248020833336</v>
      </c>
      <c r="C747">
        <v>90</v>
      </c>
      <c r="D747">
        <v>88.859794617000006</v>
      </c>
      <c r="E747">
        <v>30</v>
      </c>
      <c r="F747">
        <v>29.820541381999998</v>
      </c>
      <c r="G747">
        <v>1393.8977050999999</v>
      </c>
      <c r="H747">
        <v>1379.2545166</v>
      </c>
      <c r="I747">
        <v>1271.0650635</v>
      </c>
      <c r="J747">
        <v>1243.3945312000001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367.33698299999998</v>
      </c>
      <c r="B748" s="1">
        <f>DATE(2011,5,3) + TIME(8,5,15)</f>
        <v>40666.33697916667</v>
      </c>
      <c r="C748">
        <v>90</v>
      </c>
      <c r="D748">
        <v>88.990058899000005</v>
      </c>
      <c r="E748">
        <v>30</v>
      </c>
      <c r="F748">
        <v>29.815578461000001</v>
      </c>
      <c r="G748">
        <v>1393.7984618999999</v>
      </c>
      <c r="H748">
        <v>1379.1813964999999</v>
      </c>
      <c r="I748">
        <v>1271.0643310999999</v>
      </c>
      <c r="J748">
        <v>1243.3930664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367.42698300000001</v>
      </c>
      <c r="B749" s="1">
        <f>DATE(2011,5,3) + TIME(10,14,51)</f>
        <v>40666.426979166667</v>
      </c>
      <c r="C749">
        <v>90</v>
      </c>
      <c r="D749">
        <v>89.105461121000005</v>
      </c>
      <c r="E749">
        <v>30</v>
      </c>
      <c r="F749">
        <v>29.810579300000001</v>
      </c>
      <c r="G749">
        <v>1393.7020264</v>
      </c>
      <c r="H749">
        <v>1379.109375</v>
      </c>
      <c r="I749">
        <v>1271.0635986</v>
      </c>
      <c r="J749">
        <v>1243.3916016000001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367.51813800000002</v>
      </c>
      <c r="B750" s="1">
        <f>DATE(2011,5,3) + TIME(12,26,7)</f>
        <v>40666.518136574072</v>
      </c>
      <c r="C750">
        <v>90</v>
      </c>
      <c r="D750">
        <v>89.207641601999995</v>
      </c>
      <c r="E750">
        <v>30</v>
      </c>
      <c r="F750">
        <v>29.805538176999999</v>
      </c>
      <c r="G750">
        <v>1393.6082764</v>
      </c>
      <c r="H750">
        <v>1379.0382079999999</v>
      </c>
      <c r="I750">
        <v>1271.0628661999999</v>
      </c>
      <c r="J750">
        <v>1243.3900146000001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367.61058600000001</v>
      </c>
      <c r="B751" s="1">
        <f>DATE(2011,5,3) + TIME(14,39,14)</f>
        <v>40666.610578703701</v>
      </c>
      <c r="C751">
        <v>90</v>
      </c>
      <c r="D751">
        <v>89.298088074000006</v>
      </c>
      <c r="E751">
        <v>30</v>
      </c>
      <c r="F751">
        <v>29.800447464000001</v>
      </c>
      <c r="G751">
        <v>1393.5167236</v>
      </c>
      <c r="H751">
        <v>1378.9678954999999</v>
      </c>
      <c r="I751">
        <v>1271.0620117000001</v>
      </c>
      <c r="J751">
        <v>1243.3885498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367.70446700000002</v>
      </c>
      <c r="B752" s="1">
        <f>DATE(2011,5,3) + TIME(16,54,25)</f>
        <v>40666.704456018517</v>
      </c>
      <c r="C752">
        <v>90</v>
      </c>
      <c r="D752">
        <v>89.378112793</v>
      </c>
      <c r="E752">
        <v>30</v>
      </c>
      <c r="F752">
        <v>29.795301436999999</v>
      </c>
      <c r="G752">
        <v>1393.4272461</v>
      </c>
      <c r="H752">
        <v>1378.8983154</v>
      </c>
      <c r="I752">
        <v>1271.0612793</v>
      </c>
      <c r="J752">
        <v>1243.3869629000001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367.79992600000003</v>
      </c>
      <c r="B753" s="1">
        <f>DATE(2011,5,3) + TIME(19,11,53)</f>
        <v>40666.79991898148</v>
      </c>
      <c r="C753">
        <v>90</v>
      </c>
      <c r="D753">
        <v>89.448860167999996</v>
      </c>
      <c r="E753">
        <v>30</v>
      </c>
      <c r="F753">
        <v>29.790092468000001</v>
      </c>
      <c r="G753">
        <v>1393.3393555</v>
      </c>
      <c r="H753">
        <v>1378.8293457</v>
      </c>
      <c r="I753">
        <v>1271.0604248</v>
      </c>
      <c r="J753">
        <v>1243.385376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367.897111</v>
      </c>
      <c r="B754" s="1">
        <f>DATE(2011,5,3) + TIME(21,31,50)</f>
        <v>40666.897106481483</v>
      </c>
      <c r="C754">
        <v>90</v>
      </c>
      <c r="D754">
        <v>89.511360167999996</v>
      </c>
      <c r="E754">
        <v>30</v>
      </c>
      <c r="F754">
        <v>29.784812927000001</v>
      </c>
      <c r="G754">
        <v>1393.2529297000001</v>
      </c>
      <c r="H754">
        <v>1378.7608643000001</v>
      </c>
      <c r="I754">
        <v>1271.0595702999999</v>
      </c>
      <c r="J754">
        <v>1243.3837891000001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367.99618199999998</v>
      </c>
      <c r="B755" s="1">
        <f>DATE(2011,5,3) + TIME(23,54,30)</f>
        <v>40666.996180555558</v>
      </c>
      <c r="C755">
        <v>90</v>
      </c>
      <c r="D755">
        <v>89.566505432</v>
      </c>
      <c r="E755">
        <v>30</v>
      </c>
      <c r="F755">
        <v>29.779455185</v>
      </c>
      <c r="G755">
        <v>1393.1679687999999</v>
      </c>
      <c r="H755">
        <v>1378.6928711</v>
      </c>
      <c r="I755">
        <v>1271.0587158000001</v>
      </c>
      <c r="J755">
        <v>1243.3820800999999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368.09730500000001</v>
      </c>
      <c r="B756" s="1">
        <f>DATE(2011,5,4) + TIME(2,20,7)</f>
        <v>40667.097303240742</v>
      </c>
      <c r="C756">
        <v>90</v>
      </c>
      <c r="D756">
        <v>89.615104674999998</v>
      </c>
      <c r="E756">
        <v>30</v>
      </c>
      <c r="F756">
        <v>29.774011611999999</v>
      </c>
      <c r="G756">
        <v>1393.0839844</v>
      </c>
      <c r="H756">
        <v>1378.6251221</v>
      </c>
      <c r="I756">
        <v>1271.0578613</v>
      </c>
      <c r="J756">
        <v>1243.3803711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368.20029699999998</v>
      </c>
      <c r="B757" s="1">
        <f>DATE(2011,5,4) + TIME(4,48,25)</f>
        <v>40667.200289351851</v>
      </c>
      <c r="C757">
        <v>90</v>
      </c>
      <c r="D757">
        <v>89.657745360999996</v>
      </c>
      <c r="E757">
        <v>30</v>
      </c>
      <c r="F757">
        <v>29.768489838000001</v>
      </c>
      <c r="G757">
        <v>1393.0009766000001</v>
      </c>
      <c r="H757">
        <v>1378.5577393000001</v>
      </c>
      <c r="I757">
        <v>1271.0568848</v>
      </c>
      <c r="J757">
        <v>1243.3786620999999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368.30529000000001</v>
      </c>
      <c r="B758" s="1">
        <f>DATE(2011,5,4) + TIME(7,19,37)</f>
        <v>40667.305289351854</v>
      </c>
      <c r="C758">
        <v>90</v>
      </c>
      <c r="D758">
        <v>89.695114136000001</v>
      </c>
      <c r="E758">
        <v>30</v>
      </c>
      <c r="F758">
        <v>29.762886046999999</v>
      </c>
      <c r="G758">
        <v>1392.9189452999999</v>
      </c>
      <c r="H758">
        <v>1378.4907227000001</v>
      </c>
      <c r="I758">
        <v>1271.0559082</v>
      </c>
      <c r="J758">
        <v>1243.3768310999999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368.41244599999999</v>
      </c>
      <c r="B759" s="1">
        <f>DATE(2011,5,4) + TIME(9,53,55)</f>
        <v>40667.412442129629</v>
      </c>
      <c r="C759">
        <v>90</v>
      </c>
      <c r="D759">
        <v>89.727806091000005</v>
      </c>
      <c r="E759">
        <v>30</v>
      </c>
      <c r="F759">
        <v>29.757188797000001</v>
      </c>
      <c r="G759">
        <v>1392.8378906</v>
      </c>
      <c r="H759">
        <v>1378.4240723</v>
      </c>
      <c r="I759">
        <v>1271.0549315999999</v>
      </c>
      <c r="J759">
        <v>1243.375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368.52194100000003</v>
      </c>
      <c r="B760" s="1">
        <f>DATE(2011,5,4) + TIME(12,31,35)</f>
        <v>40667.521932870368</v>
      </c>
      <c r="C760">
        <v>90</v>
      </c>
      <c r="D760">
        <v>89.756362914999997</v>
      </c>
      <c r="E760">
        <v>30</v>
      </c>
      <c r="F760">
        <v>29.751394271999999</v>
      </c>
      <c r="G760">
        <v>1392.7574463000001</v>
      </c>
      <c r="H760">
        <v>1378.3576660000001</v>
      </c>
      <c r="I760">
        <v>1271.0539550999999</v>
      </c>
      <c r="J760">
        <v>1243.3731689000001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368.633962</v>
      </c>
      <c r="B761" s="1">
        <f>DATE(2011,5,4) + TIME(15,12,54)</f>
        <v>40667.633958333332</v>
      </c>
      <c r="C761">
        <v>90</v>
      </c>
      <c r="D761">
        <v>89.781272888000004</v>
      </c>
      <c r="E761">
        <v>30</v>
      </c>
      <c r="F761">
        <v>29.745491028</v>
      </c>
      <c r="G761">
        <v>1392.6776123</v>
      </c>
      <c r="H761">
        <v>1378.2913818</v>
      </c>
      <c r="I761">
        <v>1271.0529785000001</v>
      </c>
      <c r="J761">
        <v>1243.3713379000001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368.74871000000002</v>
      </c>
      <c r="B762" s="1">
        <f>DATE(2011,5,4) + TIME(17,58,8)</f>
        <v>40667.748703703706</v>
      </c>
      <c r="C762">
        <v>90</v>
      </c>
      <c r="D762">
        <v>89.802963257000002</v>
      </c>
      <c r="E762">
        <v>30</v>
      </c>
      <c r="F762">
        <v>29.739469528000001</v>
      </c>
      <c r="G762">
        <v>1392.5981445</v>
      </c>
      <c r="H762">
        <v>1378.2252197</v>
      </c>
      <c r="I762">
        <v>1271.0518798999999</v>
      </c>
      <c r="J762">
        <v>1243.3693848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368.86648000000002</v>
      </c>
      <c r="B763" s="1">
        <f>DATE(2011,5,4) + TIME(20,47,43)</f>
        <v>40667.866469907407</v>
      </c>
      <c r="C763">
        <v>90</v>
      </c>
      <c r="D763">
        <v>89.821823120000005</v>
      </c>
      <c r="E763">
        <v>30</v>
      </c>
      <c r="F763">
        <v>29.733320236000001</v>
      </c>
      <c r="G763">
        <v>1392.519043</v>
      </c>
      <c r="H763">
        <v>1378.1591797000001</v>
      </c>
      <c r="I763">
        <v>1271.0507812000001</v>
      </c>
      <c r="J763">
        <v>1243.3673096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368.98744199999999</v>
      </c>
      <c r="B764" s="1">
        <f>DATE(2011,5,4) + TIME(23,41,55)</f>
        <v>40667.987442129626</v>
      </c>
      <c r="C764">
        <v>90</v>
      </c>
      <c r="D764">
        <v>89.838172912999994</v>
      </c>
      <c r="E764">
        <v>30</v>
      </c>
      <c r="F764">
        <v>29.7270298</v>
      </c>
      <c r="G764">
        <v>1392.4400635</v>
      </c>
      <c r="H764">
        <v>1378.0928954999999</v>
      </c>
      <c r="I764">
        <v>1271.0496826000001</v>
      </c>
      <c r="J764">
        <v>1243.3653564000001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369.11185499999999</v>
      </c>
      <c r="B765" s="1">
        <f>DATE(2011,5,5) + TIME(2,41,4)</f>
        <v>40668.111851851849</v>
      </c>
      <c r="C765">
        <v>90</v>
      </c>
      <c r="D765">
        <v>89.852317810000002</v>
      </c>
      <c r="E765">
        <v>30</v>
      </c>
      <c r="F765">
        <v>29.720592498999999</v>
      </c>
      <c r="G765">
        <v>1392.3610839999999</v>
      </c>
      <c r="H765">
        <v>1378.0266113</v>
      </c>
      <c r="I765">
        <v>1271.0484618999999</v>
      </c>
      <c r="J765">
        <v>1243.3631591999999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369.240004</v>
      </c>
      <c r="B766" s="1">
        <f>DATE(2011,5,5) + TIME(5,45,36)</f>
        <v>40668.239999999998</v>
      </c>
      <c r="C766">
        <v>90</v>
      </c>
      <c r="D766">
        <v>89.864517211999996</v>
      </c>
      <c r="E766">
        <v>30</v>
      </c>
      <c r="F766">
        <v>29.713991164999999</v>
      </c>
      <c r="G766">
        <v>1392.2821045000001</v>
      </c>
      <c r="H766">
        <v>1377.9599608999999</v>
      </c>
      <c r="I766">
        <v>1271.0472411999999</v>
      </c>
      <c r="J766">
        <v>1243.3609618999999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369.37220500000001</v>
      </c>
      <c r="B767" s="1">
        <f>DATE(2011,5,5) + TIME(8,55,58)</f>
        <v>40668.372199074074</v>
      </c>
      <c r="C767">
        <v>90</v>
      </c>
      <c r="D767">
        <v>89.875022888000004</v>
      </c>
      <c r="E767">
        <v>30</v>
      </c>
      <c r="F767">
        <v>29.707214355000001</v>
      </c>
      <c r="G767">
        <v>1392.2027588000001</v>
      </c>
      <c r="H767">
        <v>1377.8930664</v>
      </c>
      <c r="I767">
        <v>1271.0460204999999</v>
      </c>
      <c r="J767">
        <v>1243.3587646000001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369.50878</v>
      </c>
      <c r="B768" s="1">
        <f>DATE(2011,5,5) + TIME(12,12,38)</f>
        <v>40668.508773148147</v>
      </c>
      <c r="C768">
        <v>90</v>
      </c>
      <c r="D768">
        <v>89.884040833</v>
      </c>
      <c r="E768">
        <v>30</v>
      </c>
      <c r="F768">
        <v>29.700246811</v>
      </c>
      <c r="G768">
        <v>1392.1231689000001</v>
      </c>
      <c r="H768">
        <v>1377.8258057</v>
      </c>
      <c r="I768">
        <v>1271.0446777</v>
      </c>
      <c r="J768">
        <v>1243.3564452999999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369.65013599999997</v>
      </c>
      <c r="B769" s="1">
        <f>DATE(2011,5,5) + TIME(15,36,11)</f>
        <v>40668.650127314817</v>
      </c>
      <c r="C769">
        <v>90</v>
      </c>
      <c r="D769">
        <v>89.891761779999996</v>
      </c>
      <c r="E769">
        <v>30</v>
      </c>
      <c r="F769">
        <v>29.693071365000002</v>
      </c>
      <c r="G769">
        <v>1392.0429687999999</v>
      </c>
      <c r="H769">
        <v>1377.7579346</v>
      </c>
      <c r="I769">
        <v>1271.0433350000001</v>
      </c>
      <c r="J769">
        <v>1243.3540039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369.79671200000001</v>
      </c>
      <c r="B770" s="1">
        <f>DATE(2011,5,5) + TIME(19,7,15)</f>
        <v>40668.796701388892</v>
      </c>
      <c r="C770">
        <v>90</v>
      </c>
      <c r="D770">
        <v>89.898345946999996</v>
      </c>
      <c r="E770">
        <v>30</v>
      </c>
      <c r="F770">
        <v>29.685668945</v>
      </c>
      <c r="G770">
        <v>1391.9621582</v>
      </c>
      <c r="H770">
        <v>1377.6895752</v>
      </c>
      <c r="I770">
        <v>1271.0419922000001</v>
      </c>
      <c r="J770">
        <v>1243.3515625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369.94899600000002</v>
      </c>
      <c r="B771" s="1">
        <f>DATE(2011,5,5) + TIME(22,46,33)</f>
        <v>40668.948993055557</v>
      </c>
      <c r="C771">
        <v>90</v>
      </c>
      <c r="D771">
        <v>89.903953552000004</v>
      </c>
      <c r="E771">
        <v>30</v>
      </c>
      <c r="F771">
        <v>29.678018569999999</v>
      </c>
      <c r="G771">
        <v>1391.8806152</v>
      </c>
      <c r="H771">
        <v>1377.6203613</v>
      </c>
      <c r="I771">
        <v>1271.0405272999999</v>
      </c>
      <c r="J771">
        <v>1243.348999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370.10572000000002</v>
      </c>
      <c r="B772" s="1">
        <f>DATE(2011,5,6) + TIME(2,32,14)</f>
        <v>40669.105717592596</v>
      </c>
      <c r="C772">
        <v>90</v>
      </c>
      <c r="D772">
        <v>89.908653259000005</v>
      </c>
      <c r="E772">
        <v>30</v>
      </c>
      <c r="F772">
        <v>29.670175552</v>
      </c>
      <c r="G772">
        <v>1391.7979736</v>
      </c>
      <c r="H772">
        <v>1377.5504149999999</v>
      </c>
      <c r="I772">
        <v>1271.0389404</v>
      </c>
      <c r="J772">
        <v>1243.3463135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370.26725299999998</v>
      </c>
      <c r="B773" s="1">
        <f>DATE(2011,5,6) + TIME(6,24,50)</f>
        <v>40669.267245370371</v>
      </c>
      <c r="C773">
        <v>90</v>
      </c>
      <c r="D773">
        <v>89.912605286000002</v>
      </c>
      <c r="E773">
        <v>30</v>
      </c>
      <c r="F773">
        <v>29.662122726</v>
      </c>
      <c r="G773">
        <v>1391.7152100000001</v>
      </c>
      <c r="H773">
        <v>1377.4802245999999</v>
      </c>
      <c r="I773">
        <v>1271.0373535000001</v>
      </c>
      <c r="J773">
        <v>1243.3435059000001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370.43398500000001</v>
      </c>
      <c r="B774" s="1">
        <f>DATE(2011,5,6) + TIME(10,24,56)</f>
        <v>40669.433981481481</v>
      </c>
      <c r="C774">
        <v>90</v>
      </c>
      <c r="D774">
        <v>89.915908813000001</v>
      </c>
      <c r="E774">
        <v>30</v>
      </c>
      <c r="F774">
        <v>29.653844833000001</v>
      </c>
      <c r="G774">
        <v>1391.6320800999999</v>
      </c>
      <c r="H774">
        <v>1377.4097899999999</v>
      </c>
      <c r="I774">
        <v>1271.0357666</v>
      </c>
      <c r="J774">
        <v>1243.3405762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370.60631799999999</v>
      </c>
      <c r="B775" s="1">
        <f>DATE(2011,5,6) + TIME(14,33,5)</f>
        <v>40669.606307870374</v>
      </c>
      <c r="C775">
        <v>90</v>
      </c>
      <c r="D775">
        <v>89.918663025000001</v>
      </c>
      <c r="E775">
        <v>30</v>
      </c>
      <c r="F775">
        <v>29.645328522</v>
      </c>
      <c r="G775">
        <v>1391.5484618999999</v>
      </c>
      <c r="H775">
        <v>1377.3388672000001</v>
      </c>
      <c r="I775">
        <v>1271.0340576000001</v>
      </c>
      <c r="J775">
        <v>1243.3376464999999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370.78366599999998</v>
      </c>
      <c r="B776" s="1">
        <f>DATE(2011,5,6) + TIME(18,48,28)</f>
        <v>40669.78365740741</v>
      </c>
      <c r="C776">
        <v>90</v>
      </c>
      <c r="D776">
        <v>89.920951842999997</v>
      </c>
      <c r="E776">
        <v>30</v>
      </c>
      <c r="F776">
        <v>29.636592865000001</v>
      </c>
      <c r="G776">
        <v>1391.4642334</v>
      </c>
      <c r="H776">
        <v>1377.2674560999999</v>
      </c>
      <c r="I776">
        <v>1271.0322266000001</v>
      </c>
      <c r="J776">
        <v>1243.3345947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370.96247699999998</v>
      </c>
      <c r="B777" s="1">
        <f>DATE(2011,5,6) + TIME(23,5,57)</f>
        <v>40669.962465277778</v>
      </c>
      <c r="C777">
        <v>90</v>
      </c>
      <c r="D777">
        <v>89.922813415999997</v>
      </c>
      <c r="E777">
        <v>30</v>
      </c>
      <c r="F777">
        <v>29.627786636</v>
      </c>
      <c r="G777">
        <v>1391.3797606999999</v>
      </c>
      <c r="H777">
        <v>1377.1959228999999</v>
      </c>
      <c r="I777">
        <v>1271.0303954999999</v>
      </c>
      <c r="J777">
        <v>1243.3314209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371.142584</v>
      </c>
      <c r="B778" s="1">
        <f>DATE(2011,5,7) + TIME(3,25,19)</f>
        <v>40670.142581018517</v>
      </c>
      <c r="C778">
        <v>90</v>
      </c>
      <c r="D778">
        <v>89.924339294000006</v>
      </c>
      <c r="E778">
        <v>30</v>
      </c>
      <c r="F778">
        <v>29.618919373000001</v>
      </c>
      <c r="G778">
        <v>1391.2967529</v>
      </c>
      <c r="H778">
        <v>1377.1256103999999</v>
      </c>
      <c r="I778">
        <v>1271.0285644999999</v>
      </c>
      <c r="J778">
        <v>1243.3282471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371.323825</v>
      </c>
      <c r="B779" s="1">
        <f>DATE(2011,5,7) + TIME(7,46,18)</f>
        <v>40670.323819444442</v>
      </c>
      <c r="C779">
        <v>90</v>
      </c>
      <c r="D779">
        <v>89.925582886000001</v>
      </c>
      <c r="E779">
        <v>30</v>
      </c>
      <c r="F779">
        <v>29.610006332000001</v>
      </c>
      <c r="G779">
        <v>1391.2150879000001</v>
      </c>
      <c r="H779">
        <v>1377.0565185999999</v>
      </c>
      <c r="I779">
        <v>1271.0266113</v>
      </c>
      <c r="J779">
        <v>1243.3250731999999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371.50649800000002</v>
      </c>
      <c r="B780" s="1">
        <f>DATE(2011,5,7) + TIME(12,9,21)</f>
        <v>40670.506493055553</v>
      </c>
      <c r="C780">
        <v>90</v>
      </c>
      <c r="D780">
        <v>89.926605225000003</v>
      </c>
      <c r="E780">
        <v>30</v>
      </c>
      <c r="F780">
        <v>29.601034164000001</v>
      </c>
      <c r="G780">
        <v>1391.1348877</v>
      </c>
      <c r="H780">
        <v>1376.9886475000001</v>
      </c>
      <c r="I780">
        <v>1271.0246582</v>
      </c>
      <c r="J780">
        <v>1243.3218993999999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371.69089500000001</v>
      </c>
      <c r="B781" s="1">
        <f>DATE(2011,5,7) + TIME(16,34,53)</f>
        <v>40670.690891203703</v>
      </c>
      <c r="C781">
        <v>90</v>
      </c>
      <c r="D781">
        <v>89.927444457999997</v>
      </c>
      <c r="E781">
        <v>30</v>
      </c>
      <c r="F781">
        <v>29.591997147000001</v>
      </c>
      <c r="G781">
        <v>1391.0559082</v>
      </c>
      <c r="H781">
        <v>1376.9219971</v>
      </c>
      <c r="I781">
        <v>1271.0228271000001</v>
      </c>
      <c r="J781">
        <v>1243.3186035000001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371.87730900000003</v>
      </c>
      <c r="B782" s="1">
        <f>DATE(2011,5,7) + TIME(21,3,19)</f>
        <v>40670.877303240741</v>
      </c>
      <c r="C782">
        <v>90</v>
      </c>
      <c r="D782">
        <v>89.928138732999997</v>
      </c>
      <c r="E782">
        <v>30</v>
      </c>
      <c r="F782">
        <v>29.582883835000001</v>
      </c>
      <c r="G782">
        <v>1390.9780272999999</v>
      </c>
      <c r="H782">
        <v>1376.8560791</v>
      </c>
      <c r="I782">
        <v>1271.020874</v>
      </c>
      <c r="J782">
        <v>1243.3153076000001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372.066036</v>
      </c>
      <c r="B783" s="1">
        <f>DATE(2011,5,8) + TIME(1,35,5)</f>
        <v>40671.066030092596</v>
      </c>
      <c r="C783">
        <v>90</v>
      </c>
      <c r="D783">
        <v>89.928718567000004</v>
      </c>
      <c r="E783">
        <v>30</v>
      </c>
      <c r="F783">
        <v>29.573684692</v>
      </c>
      <c r="G783">
        <v>1390.901001</v>
      </c>
      <c r="H783">
        <v>1376.7911377</v>
      </c>
      <c r="I783">
        <v>1271.0187988</v>
      </c>
      <c r="J783">
        <v>1243.3120117000001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372.257383</v>
      </c>
      <c r="B784" s="1">
        <f>DATE(2011,5,8) + TIME(6,10,37)</f>
        <v>40671.257372685184</v>
      </c>
      <c r="C784">
        <v>90</v>
      </c>
      <c r="D784">
        <v>89.929199218999997</v>
      </c>
      <c r="E784">
        <v>30</v>
      </c>
      <c r="F784">
        <v>29.564390182</v>
      </c>
      <c r="G784">
        <v>1390.824707</v>
      </c>
      <c r="H784">
        <v>1376.7268065999999</v>
      </c>
      <c r="I784">
        <v>1271.0168457</v>
      </c>
      <c r="J784">
        <v>1243.3085937999999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372.45166499999999</v>
      </c>
      <c r="B785" s="1">
        <f>DATE(2011,5,8) + TIME(10,50,23)</f>
        <v>40671.451655092591</v>
      </c>
      <c r="C785">
        <v>90</v>
      </c>
      <c r="D785">
        <v>89.929603576999995</v>
      </c>
      <c r="E785">
        <v>30</v>
      </c>
      <c r="F785">
        <v>29.554985045999999</v>
      </c>
      <c r="G785">
        <v>1390.7490233999999</v>
      </c>
      <c r="H785">
        <v>1376.6629639</v>
      </c>
      <c r="I785">
        <v>1271.0148925999999</v>
      </c>
      <c r="J785">
        <v>1243.3051757999999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372.64921600000002</v>
      </c>
      <c r="B786" s="1">
        <f>DATE(2011,5,8) + TIME(15,34,52)</f>
        <v>40671.649212962962</v>
      </c>
      <c r="C786">
        <v>90</v>
      </c>
      <c r="D786">
        <v>89.929946899000001</v>
      </c>
      <c r="E786">
        <v>30</v>
      </c>
      <c r="F786">
        <v>29.545459746999999</v>
      </c>
      <c r="G786">
        <v>1390.6737060999999</v>
      </c>
      <c r="H786">
        <v>1376.5996094</v>
      </c>
      <c r="I786">
        <v>1271.0128173999999</v>
      </c>
      <c r="J786">
        <v>1243.3016356999999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372.85052100000001</v>
      </c>
      <c r="B787" s="1">
        <f>DATE(2011,5,8) + TIME(20,24,44)</f>
        <v>40671.85050925926</v>
      </c>
      <c r="C787">
        <v>90</v>
      </c>
      <c r="D787">
        <v>89.930236816000004</v>
      </c>
      <c r="E787">
        <v>30</v>
      </c>
      <c r="F787">
        <v>29.535793303999998</v>
      </c>
      <c r="G787">
        <v>1390.5988769999999</v>
      </c>
      <c r="H787">
        <v>1376.5366211</v>
      </c>
      <c r="I787">
        <v>1271.0107422000001</v>
      </c>
      <c r="J787">
        <v>1243.2980957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373.05542000000003</v>
      </c>
      <c r="B788" s="1">
        <f>DATE(2011,5,9) + TIME(1,19,48)</f>
        <v>40672.05541666667</v>
      </c>
      <c r="C788">
        <v>90</v>
      </c>
      <c r="D788">
        <v>89.930473328000005</v>
      </c>
      <c r="E788">
        <v>30</v>
      </c>
      <c r="F788">
        <v>29.525991439999999</v>
      </c>
      <c r="G788">
        <v>1390.5240478999999</v>
      </c>
      <c r="H788">
        <v>1376.4737548999999</v>
      </c>
      <c r="I788">
        <v>1271.0085449000001</v>
      </c>
      <c r="J788">
        <v>1243.2944336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373.26340099999999</v>
      </c>
      <c r="B789" s="1">
        <f>DATE(2011,5,9) + TIME(6,19,17)</f>
        <v>40672.263391203705</v>
      </c>
      <c r="C789">
        <v>90</v>
      </c>
      <c r="D789">
        <v>89.930679321</v>
      </c>
      <c r="E789">
        <v>30</v>
      </c>
      <c r="F789">
        <v>29.516073227</v>
      </c>
      <c r="G789">
        <v>1390.4495850000001</v>
      </c>
      <c r="H789">
        <v>1376.4111327999999</v>
      </c>
      <c r="I789">
        <v>1271.0063477000001</v>
      </c>
      <c r="J789">
        <v>1243.2907714999999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373.47480200000001</v>
      </c>
      <c r="B790" s="1">
        <f>DATE(2011,5,9) + TIME(11,23,42)</f>
        <v>40672.474791666667</v>
      </c>
      <c r="C790">
        <v>90</v>
      </c>
      <c r="D790">
        <v>89.930847168</v>
      </c>
      <c r="E790">
        <v>30</v>
      </c>
      <c r="F790">
        <v>29.506027222</v>
      </c>
      <c r="G790">
        <v>1390.3753661999999</v>
      </c>
      <c r="H790">
        <v>1376.348999</v>
      </c>
      <c r="I790">
        <v>1271.0041504000001</v>
      </c>
      <c r="J790">
        <v>1243.2871094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373.68996900000002</v>
      </c>
      <c r="B791" s="1">
        <f>DATE(2011,5,9) + TIME(16,33,33)</f>
        <v>40672.689965277779</v>
      </c>
      <c r="C791">
        <v>90</v>
      </c>
      <c r="D791">
        <v>89.930992126000007</v>
      </c>
      <c r="E791">
        <v>30</v>
      </c>
      <c r="F791">
        <v>29.495841980000002</v>
      </c>
      <c r="G791">
        <v>1390.3015137</v>
      </c>
      <c r="H791">
        <v>1376.2869873</v>
      </c>
      <c r="I791">
        <v>1271.0018310999999</v>
      </c>
      <c r="J791">
        <v>1243.2833252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373.90937700000001</v>
      </c>
      <c r="B792" s="1">
        <f>DATE(2011,5,9) + TIME(21,49,30)</f>
        <v>40672.909375000003</v>
      </c>
      <c r="C792">
        <v>90</v>
      </c>
      <c r="D792">
        <v>89.931114196999999</v>
      </c>
      <c r="E792">
        <v>30</v>
      </c>
      <c r="F792">
        <v>29.485496521000002</v>
      </c>
      <c r="G792">
        <v>1390.2279053</v>
      </c>
      <c r="H792">
        <v>1376.2252197</v>
      </c>
      <c r="I792">
        <v>1270.9996338000001</v>
      </c>
      <c r="J792">
        <v>1243.2794189000001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374.13337100000001</v>
      </c>
      <c r="B793" s="1">
        <f>DATE(2011,5,10) + TIME(3,12,3)</f>
        <v>40673.133368055554</v>
      </c>
      <c r="C793">
        <v>90</v>
      </c>
      <c r="D793">
        <v>89.931213378999999</v>
      </c>
      <c r="E793">
        <v>30</v>
      </c>
      <c r="F793">
        <v>29.474979400999999</v>
      </c>
      <c r="G793">
        <v>1390.1541748</v>
      </c>
      <c r="H793">
        <v>1376.1635742000001</v>
      </c>
      <c r="I793">
        <v>1270.9971923999999</v>
      </c>
      <c r="J793">
        <v>1243.2753906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374.36233800000002</v>
      </c>
      <c r="B794" s="1">
        <f>DATE(2011,5,10) + TIME(8,41,45)</f>
        <v>40673.362326388888</v>
      </c>
      <c r="C794">
        <v>90</v>
      </c>
      <c r="D794">
        <v>89.931304932000003</v>
      </c>
      <c r="E794">
        <v>30</v>
      </c>
      <c r="F794">
        <v>29.464275359999998</v>
      </c>
      <c r="G794">
        <v>1390.0804443</v>
      </c>
      <c r="H794">
        <v>1376.1018065999999</v>
      </c>
      <c r="I794">
        <v>1270.9948730000001</v>
      </c>
      <c r="J794">
        <v>1243.2713623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374.596743</v>
      </c>
      <c r="B795" s="1">
        <f>DATE(2011,5,10) + TIME(14,19,18)</f>
        <v>40673.596736111111</v>
      </c>
      <c r="C795">
        <v>90</v>
      </c>
      <c r="D795">
        <v>89.931373596</v>
      </c>
      <c r="E795">
        <v>30</v>
      </c>
      <c r="F795">
        <v>29.453367233000002</v>
      </c>
      <c r="G795">
        <v>1390.0065918</v>
      </c>
      <c r="H795">
        <v>1376.0400391000001</v>
      </c>
      <c r="I795">
        <v>1270.9923096</v>
      </c>
      <c r="J795">
        <v>1243.2672118999999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374.83709800000003</v>
      </c>
      <c r="B796" s="1">
        <f>DATE(2011,5,10) + TIME(20,5,25)</f>
        <v>40673.837094907409</v>
      </c>
      <c r="C796">
        <v>90</v>
      </c>
      <c r="D796">
        <v>89.931427002000007</v>
      </c>
      <c r="E796">
        <v>30</v>
      </c>
      <c r="F796">
        <v>29.442234038999999</v>
      </c>
      <c r="G796">
        <v>1389.9323730000001</v>
      </c>
      <c r="H796">
        <v>1375.9780272999999</v>
      </c>
      <c r="I796">
        <v>1270.9898682</v>
      </c>
      <c r="J796">
        <v>1243.2630615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375.08393100000001</v>
      </c>
      <c r="B797" s="1">
        <f>DATE(2011,5,11) + TIME(2,0,51)</f>
        <v>40674.083923611113</v>
      </c>
      <c r="C797">
        <v>90</v>
      </c>
      <c r="D797">
        <v>89.931480407999999</v>
      </c>
      <c r="E797">
        <v>30</v>
      </c>
      <c r="F797">
        <v>29.430854796999999</v>
      </c>
      <c r="G797">
        <v>1389.8577881000001</v>
      </c>
      <c r="H797">
        <v>1375.9156493999999</v>
      </c>
      <c r="I797">
        <v>1270.9873047000001</v>
      </c>
      <c r="J797">
        <v>1243.2586670000001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375.33787000000001</v>
      </c>
      <c r="B798" s="1">
        <f>DATE(2011,5,11) + TIME(8,6,31)</f>
        <v>40674.337858796294</v>
      </c>
      <c r="C798">
        <v>90</v>
      </c>
      <c r="D798">
        <v>89.931510924999998</v>
      </c>
      <c r="E798">
        <v>30</v>
      </c>
      <c r="F798">
        <v>29.419204711999999</v>
      </c>
      <c r="G798">
        <v>1389.7827147999999</v>
      </c>
      <c r="H798">
        <v>1375.8530272999999</v>
      </c>
      <c r="I798">
        <v>1270.9846190999999</v>
      </c>
      <c r="J798">
        <v>1243.2541504000001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375.599628</v>
      </c>
      <c r="B799" s="1">
        <f>DATE(2011,5,11) + TIME(14,23,27)</f>
        <v>40674.599618055552</v>
      </c>
      <c r="C799">
        <v>90</v>
      </c>
      <c r="D799">
        <v>89.931541443</v>
      </c>
      <c r="E799">
        <v>30</v>
      </c>
      <c r="F799">
        <v>29.407258986999999</v>
      </c>
      <c r="G799">
        <v>1389.7069091999999</v>
      </c>
      <c r="H799">
        <v>1375.7897949000001</v>
      </c>
      <c r="I799">
        <v>1270.9818115</v>
      </c>
      <c r="J799">
        <v>1243.2496338000001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375.868359</v>
      </c>
      <c r="B800" s="1">
        <f>DATE(2011,5,11) + TIME(20,50,26)</f>
        <v>40674.868356481478</v>
      </c>
      <c r="C800">
        <v>90</v>
      </c>
      <c r="D800">
        <v>89.931564331000004</v>
      </c>
      <c r="E800">
        <v>30</v>
      </c>
      <c r="F800">
        <v>29.395042418999999</v>
      </c>
      <c r="G800">
        <v>1389.6303711</v>
      </c>
      <c r="H800">
        <v>1375.7258300999999</v>
      </c>
      <c r="I800">
        <v>1270.9790039</v>
      </c>
      <c r="J800">
        <v>1243.2448730000001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376.14313499999997</v>
      </c>
      <c r="B801" s="1">
        <f>DATE(2011,5,12) + TIME(3,26,6)</f>
        <v>40675.143125000002</v>
      </c>
      <c r="C801">
        <v>90</v>
      </c>
      <c r="D801">
        <v>89.931571959999999</v>
      </c>
      <c r="E801">
        <v>30</v>
      </c>
      <c r="F801">
        <v>29.382587433000001</v>
      </c>
      <c r="G801">
        <v>1389.5532227000001</v>
      </c>
      <c r="H801">
        <v>1375.6616211</v>
      </c>
      <c r="I801">
        <v>1270.9760742000001</v>
      </c>
      <c r="J801">
        <v>1243.2399902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376.42172399999998</v>
      </c>
      <c r="B802" s="1">
        <f>DATE(2011,5,12) + TIME(10,7,16)</f>
        <v>40675.421712962961</v>
      </c>
      <c r="C802">
        <v>90</v>
      </c>
      <c r="D802">
        <v>89.931579589999998</v>
      </c>
      <c r="E802">
        <v>30</v>
      </c>
      <c r="F802">
        <v>29.369972228999998</v>
      </c>
      <c r="G802">
        <v>1389.4758300999999</v>
      </c>
      <c r="H802">
        <v>1375.597168</v>
      </c>
      <c r="I802">
        <v>1270.9730225000001</v>
      </c>
      <c r="J802">
        <v>1243.2349853999999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376.701457</v>
      </c>
      <c r="B803" s="1">
        <f>DATE(2011,5,12) + TIME(16,50,5)</f>
        <v>40675.70144675926</v>
      </c>
      <c r="C803">
        <v>90</v>
      </c>
      <c r="D803">
        <v>89.931579589999998</v>
      </c>
      <c r="E803">
        <v>30</v>
      </c>
      <c r="F803">
        <v>29.357297896999999</v>
      </c>
      <c r="G803">
        <v>1389.3989257999999</v>
      </c>
      <c r="H803">
        <v>1375.5330810999999</v>
      </c>
      <c r="I803">
        <v>1270.9699707</v>
      </c>
      <c r="J803">
        <v>1243.2299805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376.98281600000001</v>
      </c>
      <c r="B804" s="1">
        <f>DATE(2011,5,12) + TIME(23,35,15)</f>
        <v>40675.982812499999</v>
      </c>
      <c r="C804">
        <v>90</v>
      </c>
      <c r="D804">
        <v>89.931571959999999</v>
      </c>
      <c r="E804">
        <v>30</v>
      </c>
      <c r="F804">
        <v>29.344556808</v>
      </c>
      <c r="G804">
        <v>1389.3232422000001</v>
      </c>
      <c r="H804">
        <v>1375.4700928</v>
      </c>
      <c r="I804">
        <v>1270.9667969</v>
      </c>
      <c r="J804">
        <v>1243.2248535000001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377.26627100000002</v>
      </c>
      <c r="B805" s="1">
        <f>DATE(2011,5,13) + TIME(6,23,25)</f>
        <v>40676.266261574077</v>
      </c>
      <c r="C805">
        <v>90</v>
      </c>
      <c r="D805">
        <v>89.931564331000004</v>
      </c>
      <c r="E805">
        <v>30</v>
      </c>
      <c r="F805">
        <v>29.331745148</v>
      </c>
      <c r="G805">
        <v>1389.2484131000001</v>
      </c>
      <c r="H805">
        <v>1375.4078368999999</v>
      </c>
      <c r="I805">
        <v>1270.9637451000001</v>
      </c>
      <c r="J805">
        <v>1243.2198486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377.55229600000001</v>
      </c>
      <c r="B806" s="1">
        <f>DATE(2011,5,13) + TIME(13,15,18)</f>
        <v>40676.552291666667</v>
      </c>
      <c r="C806">
        <v>90</v>
      </c>
      <c r="D806">
        <v>89.931549071999996</v>
      </c>
      <c r="E806">
        <v>30</v>
      </c>
      <c r="F806">
        <v>29.318851470999999</v>
      </c>
      <c r="G806">
        <v>1389.1745605000001</v>
      </c>
      <c r="H806">
        <v>1375.3463135</v>
      </c>
      <c r="I806">
        <v>1270.9605713000001</v>
      </c>
      <c r="J806">
        <v>1243.2145995999999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377.84136599999999</v>
      </c>
      <c r="B807" s="1">
        <f>DATE(2011,5,13) + TIME(20,11,33)</f>
        <v>40676.841354166667</v>
      </c>
      <c r="C807">
        <v>90</v>
      </c>
      <c r="D807">
        <v>89.931533813000001</v>
      </c>
      <c r="E807">
        <v>30</v>
      </c>
      <c r="F807">
        <v>29.305862427000001</v>
      </c>
      <c r="G807">
        <v>1389.1011963000001</v>
      </c>
      <c r="H807">
        <v>1375.2854004000001</v>
      </c>
      <c r="I807">
        <v>1270.9573975000001</v>
      </c>
      <c r="J807">
        <v>1243.2093506000001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378.13396899999998</v>
      </c>
      <c r="B808" s="1">
        <f>DATE(2011,5,14) + TIME(3,12,54)</f>
        <v>40677.133958333332</v>
      </c>
      <c r="C808">
        <v>90</v>
      </c>
      <c r="D808">
        <v>89.931518554999997</v>
      </c>
      <c r="E808">
        <v>30</v>
      </c>
      <c r="F808">
        <v>29.292762755999998</v>
      </c>
      <c r="G808">
        <v>1389.0285644999999</v>
      </c>
      <c r="H808">
        <v>1375.2249756000001</v>
      </c>
      <c r="I808">
        <v>1270.9542236</v>
      </c>
      <c r="J808">
        <v>1243.2041016000001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378.43061</v>
      </c>
      <c r="B809" s="1">
        <f>DATE(2011,5,14) + TIME(10,20,4)</f>
        <v>40677.430601851855</v>
      </c>
      <c r="C809">
        <v>90</v>
      </c>
      <c r="D809">
        <v>89.931495666999993</v>
      </c>
      <c r="E809">
        <v>30</v>
      </c>
      <c r="F809">
        <v>29.279535293999999</v>
      </c>
      <c r="G809">
        <v>1388.9561768000001</v>
      </c>
      <c r="H809">
        <v>1375.1649170000001</v>
      </c>
      <c r="I809">
        <v>1270.9510498</v>
      </c>
      <c r="J809">
        <v>1243.1987305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378.73199799999998</v>
      </c>
      <c r="B810" s="1">
        <f>DATE(2011,5,14) + TIME(17,34,4)</f>
        <v>40677.731990740744</v>
      </c>
      <c r="C810">
        <v>90</v>
      </c>
      <c r="D810">
        <v>89.931472778</v>
      </c>
      <c r="E810">
        <v>30</v>
      </c>
      <c r="F810">
        <v>29.266157150000002</v>
      </c>
      <c r="G810">
        <v>1388.8841553</v>
      </c>
      <c r="H810">
        <v>1375.1051024999999</v>
      </c>
      <c r="I810">
        <v>1270.9477539</v>
      </c>
      <c r="J810">
        <v>1243.1933594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379.03854200000001</v>
      </c>
      <c r="B811" s="1">
        <f>DATE(2011,5,15) + TIME(0,55,30)</f>
        <v>40678.038541666669</v>
      </c>
      <c r="C811">
        <v>90</v>
      </c>
      <c r="D811">
        <v>89.931449889999996</v>
      </c>
      <c r="E811">
        <v>30</v>
      </c>
      <c r="F811">
        <v>29.252611160000001</v>
      </c>
      <c r="G811">
        <v>1388.8122559000001</v>
      </c>
      <c r="H811">
        <v>1375.0454102000001</v>
      </c>
      <c r="I811">
        <v>1270.9443358999999</v>
      </c>
      <c r="J811">
        <v>1243.1878661999999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379.35081300000002</v>
      </c>
      <c r="B812" s="1">
        <f>DATE(2011,5,15) + TIME(8,25,10)</f>
        <v>40678.350810185184</v>
      </c>
      <c r="C812">
        <v>90</v>
      </c>
      <c r="D812">
        <v>89.931427002000007</v>
      </c>
      <c r="E812">
        <v>30</v>
      </c>
      <c r="F812">
        <v>29.238876343000001</v>
      </c>
      <c r="G812">
        <v>1388.7403564000001</v>
      </c>
      <c r="H812">
        <v>1374.9857178</v>
      </c>
      <c r="I812">
        <v>1270.940918</v>
      </c>
      <c r="J812">
        <v>1243.182251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379.66930000000002</v>
      </c>
      <c r="B813" s="1">
        <f>DATE(2011,5,15) + TIME(16,3,47)</f>
        <v>40678.669293981482</v>
      </c>
      <c r="C813">
        <v>90</v>
      </c>
      <c r="D813">
        <v>89.931396484000004</v>
      </c>
      <c r="E813">
        <v>30</v>
      </c>
      <c r="F813">
        <v>29.224935532</v>
      </c>
      <c r="G813">
        <v>1388.6683350000001</v>
      </c>
      <c r="H813">
        <v>1374.9260254000001</v>
      </c>
      <c r="I813">
        <v>1270.9375</v>
      </c>
      <c r="J813">
        <v>1243.1763916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379.99213500000002</v>
      </c>
      <c r="B814" s="1">
        <f>DATE(2011,5,15) + TIME(23,48,40)</f>
        <v>40678.992129629631</v>
      </c>
      <c r="C814">
        <v>90</v>
      </c>
      <c r="D814">
        <v>89.931365967000005</v>
      </c>
      <c r="E814">
        <v>30</v>
      </c>
      <c r="F814">
        <v>29.210844040000001</v>
      </c>
      <c r="G814">
        <v>1388.5960693</v>
      </c>
      <c r="H814">
        <v>1374.8660889</v>
      </c>
      <c r="I814">
        <v>1270.9339600000001</v>
      </c>
      <c r="J814">
        <v>1243.1705322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380.319884</v>
      </c>
      <c r="B815" s="1">
        <f>DATE(2011,5,16) + TIME(7,40,38)</f>
        <v>40679.319884259261</v>
      </c>
      <c r="C815">
        <v>90</v>
      </c>
      <c r="D815">
        <v>89.931343079000001</v>
      </c>
      <c r="E815">
        <v>30</v>
      </c>
      <c r="F815">
        <v>29.196586609000001</v>
      </c>
      <c r="G815">
        <v>1388.5241699000001</v>
      </c>
      <c r="H815">
        <v>1374.8063964999999</v>
      </c>
      <c r="I815">
        <v>1270.9302978999999</v>
      </c>
      <c r="J815">
        <v>1243.1646728999999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380.65322700000002</v>
      </c>
      <c r="B816" s="1">
        <f>DATE(2011,5,16) + TIME(15,40,38)</f>
        <v>40679.653217592589</v>
      </c>
      <c r="C816">
        <v>90</v>
      </c>
      <c r="D816">
        <v>89.931312560999999</v>
      </c>
      <c r="E816">
        <v>30</v>
      </c>
      <c r="F816">
        <v>29.182142257999999</v>
      </c>
      <c r="G816">
        <v>1388.4522704999999</v>
      </c>
      <c r="H816">
        <v>1374.7468262</v>
      </c>
      <c r="I816">
        <v>1270.9266356999999</v>
      </c>
      <c r="J816">
        <v>1243.1585693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380.99278199999998</v>
      </c>
      <c r="B817" s="1">
        <f>DATE(2011,5,16) + TIME(23,49,36)</f>
        <v>40679.992777777778</v>
      </c>
      <c r="C817">
        <v>90</v>
      </c>
      <c r="D817">
        <v>89.931282042999996</v>
      </c>
      <c r="E817">
        <v>30</v>
      </c>
      <c r="F817">
        <v>29.167493820000001</v>
      </c>
      <c r="G817">
        <v>1388.3804932</v>
      </c>
      <c r="H817">
        <v>1374.6872559000001</v>
      </c>
      <c r="I817">
        <v>1270.9228516000001</v>
      </c>
      <c r="J817">
        <v>1243.1524658000001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381.33909499999999</v>
      </c>
      <c r="B818" s="1">
        <f>DATE(2011,5,17) + TIME(8,8,17)</f>
        <v>40680.339085648149</v>
      </c>
      <c r="C818">
        <v>90</v>
      </c>
      <c r="D818">
        <v>89.931251525999997</v>
      </c>
      <c r="E818">
        <v>30</v>
      </c>
      <c r="F818">
        <v>29.152620316</v>
      </c>
      <c r="G818">
        <v>1388.3084716999999</v>
      </c>
      <c r="H818">
        <v>1374.6275635</v>
      </c>
      <c r="I818">
        <v>1270.9190673999999</v>
      </c>
      <c r="J818">
        <v>1243.1461182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381.69287400000002</v>
      </c>
      <c r="B819" s="1">
        <f>DATE(2011,5,17) + TIME(16,37,44)</f>
        <v>40680.692870370367</v>
      </c>
      <c r="C819">
        <v>90</v>
      </c>
      <c r="D819">
        <v>89.931221007999994</v>
      </c>
      <c r="E819">
        <v>30</v>
      </c>
      <c r="F819">
        <v>29.137496947999999</v>
      </c>
      <c r="G819">
        <v>1388.2363281</v>
      </c>
      <c r="H819">
        <v>1374.567749</v>
      </c>
      <c r="I819">
        <v>1270.9151611</v>
      </c>
      <c r="J819">
        <v>1243.1396483999999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382.054889</v>
      </c>
      <c r="B820" s="1">
        <f>DATE(2011,5,18) + TIME(1,19,2)</f>
        <v>40681.054884259262</v>
      </c>
      <c r="C820">
        <v>90</v>
      </c>
      <c r="D820">
        <v>89.931190490999995</v>
      </c>
      <c r="E820">
        <v>30</v>
      </c>
      <c r="F820">
        <v>29.122098922999999</v>
      </c>
      <c r="G820">
        <v>1388.1636963000001</v>
      </c>
      <c r="H820">
        <v>1374.5075684000001</v>
      </c>
      <c r="I820">
        <v>1270.9111327999999</v>
      </c>
      <c r="J820">
        <v>1243.1330565999999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382.42595399999999</v>
      </c>
      <c r="B821" s="1">
        <f>DATE(2011,5,18) + TIME(10,13,22)</f>
        <v>40681.425949074073</v>
      </c>
      <c r="C821">
        <v>90</v>
      </c>
      <c r="D821">
        <v>89.931159973000007</v>
      </c>
      <c r="E821">
        <v>30</v>
      </c>
      <c r="F821">
        <v>29.106397629</v>
      </c>
      <c r="G821">
        <v>1388.0906981999999</v>
      </c>
      <c r="H821">
        <v>1374.4471435999999</v>
      </c>
      <c r="I821">
        <v>1270.9071045000001</v>
      </c>
      <c r="J821">
        <v>1243.1263428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382.80361699999997</v>
      </c>
      <c r="B822" s="1">
        <f>DATE(2011,5,18) + TIME(19,17,12)</f>
        <v>40681.803611111114</v>
      </c>
      <c r="C822">
        <v>90</v>
      </c>
      <c r="D822">
        <v>89.931121825999995</v>
      </c>
      <c r="E822">
        <v>30</v>
      </c>
      <c r="F822">
        <v>29.090457915999998</v>
      </c>
      <c r="G822">
        <v>1388.0170897999999</v>
      </c>
      <c r="H822">
        <v>1374.3861084</v>
      </c>
      <c r="I822">
        <v>1270.902832</v>
      </c>
      <c r="J822">
        <v>1243.1193848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383.18358599999999</v>
      </c>
      <c r="B823" s="1">
        <f>DATE(2011,5,19) + TIME(4,24,21)</f>
        <v>40682.183576388888</v>
      </c>
      <c r="C823">
        <v>90</v>
      </c>
      <c r="D823">
        <v>89.931091308999996</v>
      </c>
      <c r="E823">
        <v>30</v>
      </c>
      <c r="F823">
        <v>29.0744133</v>
      </c>
      <c r="G823">
        <v>1387.9433594</v>
      </c>
      <c r="H823">
        <v>1374.3250731999999</v>
      </c>
      <c r="I823">
        <v>1270.8984375</v>
      </c>
      <c r="J823">
        <v>1243.1123047000001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383.56471199999999</v>
      </c>
      <c r="B824" s="1">
        <f>DATE(2011,5,19) + TIME(13,33,11)</f>
        <v>40682.564710648148</v>
      </c>
      <c r="C824">
        <v>90</v>
      </c>
      <c r="D824">
        <v>89.931060790999993</v>
      </c>
      <c r="E824">
        <v>30</v>
      </c>
      <c r="F824">
        <v>29.05831337</v>
      </c>
      <c r="G824">
        <v>1387.8703613</v>
      </c>
      <c r="H824">
        <v>1374.2645264</v>
      </c>
      <c r="I824">
        <v>1270.894043</v>
      </c>
      <c r="J824">
        <v>1243.1052245999999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383.94762900000001</v>
      </c>
      <c r="B825" s="1">
        <f>DATE(2011,5,19) + TIME(22,44,35)</f>
        <v>40682.947627314818</v>
      </c>
      <c r="C825">
        <v>90</v>
      </c>
      <c r="D825">
        <v>89.931030273000005</v>
      </c>
      <c r="E825">
        <v>30</v>
      </c>
      <c r="F825">
        <v>29.042163849000001</v>
      </c>
      <c r="G825">
        <v>1387.7983397999999</v>
      </c>
      <c r="H825">
        <v>1374.2048339999999</v>
      </c>
      <c r="I825">
        <v>1270.8896483999999</v>
      </c>
      <c r="J825">
        <v>1243.0980225000001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384.33295800000002</v>
      </c>
      <c r="B826" s="1">
        <f>DATE(2011,5,20) + TIME(7,59,27)</f>
        <v>40683.332951388889</v>
      </c>
      <c r="C826">
        <v>90</v>
      </c>
      <c r="D826">
        <v>89.930999756000006</v>
      </c>
      <c r="E826">
        <v>30</v>
      </c>
      <c r="F826">
        <v>29.025953293000001</v>
      </c>
      <c r="G826">
        <v>1387.7270507999999</v>
      </c>
      <c r="H826">
        <v>1374.145874</v>
      </c>
      <c r="I826">
        <v>1270.8851318</v>
      </c>
      <c r="J826">
        <v>1243.0908202999999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384.72131999999999</v>
      </c>
      <c r="B827" s="1">
        <f>DATE(2011,5,20) + TIME(17,18,42)</f>
        <v>40683.721319444441</v>
      </c>
      <c r="C827">
        <v>90</v>
      </c>
      <c r="D827">
        <v>89.930969238000003</v>
      </c>
      <c r="E827">
        <v>30</v>
      </c>
      <c r="F827">
        <v>29.009668349999998</v>
      </c>
      <c r="G827">
        <v>1387.6564940999999</v>
      </c>
      <c r="H827">
        <v>1374.0874022999999</v>
      </c>
      <c r="I827">
        <v>1270.8807373</v>
      </c>
      <c r="J827">
        <v>1243.0834961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385.11334599999998</v>
      </c>
      <c r="B828" s="1">
        <f>DATE(2011,5,21) + TIME(2,43,13)</f>
        <v>40684.113344907404</v>
      </c>
      <c r="C828">
        <v>90</v>
      </c>
      <c r="D828">
        <v>89.930938721000004</v>
      </c>
      <c r="E828">
        <v>30</v>
      </c>
      <c r="F828">
        <v>28.993295669999998</v>
      </c>
      <c r="G828">
        <v>1387.5864257999999</v>
      </c>
      <c r="H828">
        <v>1374.0292969</v>
      </c>
      <c r="I828">
        <v>1270.8762207</v>
      </c>
      <c r="J828">
        <v>1243.0760498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385.50967600000001</v>
      </c>
      <c r="B829" s="1">
        <f>DATE(2011,5,21) + TIME(12,13,56)</f>
        <v>40684.509675925925</v>
      </c>
      <c r="C829">
        <v>90</v>
      </c>
      <c r="D829">
        <v>89.930908203000001</v>
      </c>
      <c r="E829">
        <v>30</v>
      </c>
      <c r="F829">
        <v>28.976812363000001</v>
      </c>
      <c r="G829">
        <v>1387.5168457</v>
      </c>
      <c r="H829">
        <v>1373.9715576000001</v>
      </c>
      <c r="I829">
        <v>1270.871582</v>
      </c>
      <c r="J829">
        <v>1243.0684814000001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385.910977</v>
      </c>
      <c r="B830" s="1">
        <f>DATE(2011,5,21) + TIME(21,51,48)</f>
        <v>40684.91097222222</v>
      </c>
      <c r="C830">
        <v>90</v>
      </c>
      <c r="D830">
        <v>89.930877686000002</v>
      </c>
      <c r="E830">
        <v>30</v>
      </c>
      <c r="F830">
        <v>28.960197448999999</v>
      </c>
      <c r="G830">
        <v>1387.4475098</v>
      </c>
      <c r="H830">
        <v>1373.9141846</v>
      </c>
      <c r="I830">
        <v>1270.8669434000001</v>
      </c>
      <c r="J830">
        <v>1243.0609131000001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386.318108</v>
      </c>
      <c r="B831" s="1">
        <f>DATE(2011,5,22) + TIME(7,38,4)</f>
        <v>40685.318101851852</v>
      </c>
      <c r="C831">
        <v>90</v>
      </c>
      <c r="D831">
        <v>89.930854796999995</v>
      </c>
      <c r="E831">
        <v>30</v>
      </c>
      <c r="F831">
        <v>28.943420410000002</v>
      </c>
      <c r="G831">
        <v>1387.3782959</v>
      </c>
      <c r="H831">
        <v>1373.8568115</v>
      </c>
      <c r="I831">
        <v>1270.8621826000001</v>
      </c>
      <c r="J831">
        <v>1243.0532227000001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386.731763</v>
      </c>
      <c r="B832" s="1">
        <f>DATE(2011,5,22) + TIME(17,33,44)</f>
        <v>40685.731759259259</v>
      </c>
      <c r="C832">
        <v>90</v>
      </c>
      <c r="D832">
        <v>89.930824279999996</v>
      </c>
      <c r="E832">
        <v>30</v>
      </c>
      <c r="F832">
        <v>28.926460265999999</v>
      </c>
      <c r="G832">
        <v>1387.3092041</v>
      </c>
      <c r="H832">
        <v>1373.7994385</v>
      </c>
      <c r="I832">
        <v>1270.8574219</v>
      </c>
      <c r="J832">
        <v>1243.0452881000001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387.15261199999998</v>
      </c>
      <c r="B833" s="1">
        <f>DATE(2011,5,23) + TIME(3,39,45)</f>
        <v>40686.152604166666</v>
      </c>
      <c r="C833">
        <v>90</v>
      </c>
      <c r="D833">
        <v>89.930801392000006</v>
      </c>
      <c r="E833">
        <v>30</v>
      </c>
      <c r="F833">
        <v>28.909286499</v>
      </c>
      <c r="G833">
        <v>1387.2398682</v>
      </c>
      <c r="H833">
        <v>1373.7420654</v>
      </c>
      <c r="I833">
        <v>1270.8525391000001</v>
      </c>
      <c r="J833">
        <v>1243.0372314000001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387.58148799999998</v>
      </c>
      <c r="B834" s="1">
        <f>DATE(2011,5,23) + TIME(13,57,20)</f>
        <v>40686.58148148148</v>
      </c>
      <c r="C834">
        <v>90</v>
      </c>
      <c r="D834">
        <v>89.930770874000004</v>
      </c>
      <c r="E834">
        <v>30</v>
      </c>
      <c r="F834">
        <v>28.891874312999999</v>
      </c>
      <c r="G834">
        <v>1387.1705322</v>
      </c>
      <c r="H834">
        <v>1373.6845702999999</v>
      </c>
      <c r="I834">
        <v>1270.8475341999999</v>
      </c>
      <c r="J834">
        <v>1243.0290527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388.01928700000002</v>
      </c>
      <c r="B835" s="1">
        <f>DATE(2011,5,24) + TIME(0,27,46)</f>
        <v>40687.019282407404</v>
      </c>
      <c r="C835">
        <v>90</v>
      </c>
      <c r="D835">
        <v>89.930747986</v>
      </c>
      <c r="E835">
        <v>30</v>
      </c>
      <c r="F835">
        <v>28.874189377</v>
      </c>
      <c r="G835">
        <v>1387.1008300999999</v>
      </c>
      <c r="H835">
        <v>1373.6267089999999</v>
      </c>
      <c r="I835">
        <v>1270.8424072</v>
      </c>
      <c r="J835">
        <v>1243.0206298999999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388.46693199999999</v>
      </c>
      <c r="B836" s="1">
        <f>DATE(2011,5,24) + TIME(11,12,22)</f>
        <v>40687.466921296298</v>
      </c>
      <c r="C836">
        <v>90</v>
      </c>
      <c r="D836">
        <v>89.930717467999997</v>
      </c>
      <c r="E836">
        <v>30</v>
      </c>
      <c r="F836">
        <v>28.856199265000001</v>
      </c>
      <c r="G836">
        <v>1387.0306396000001</v>
      </c>
      <c r="H836">
        <v>1373.5686035000001</v>
      </c>
      <c r="I836">
        <v>1270.8371582</v>
      </c>
      <c r="J836">
        <v>1243.0120850000001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388.921559</v>
      </c>
      <c r="B837" s="1">
        <f>DATE(2011,5,24) + TIME(22,7,2)</f>
        <v>40687.921550925923</v>
      </c>
      <c r="C837">
        <v>90</v>
      </c>
      <c r="D837">
        <v>89.930694579999994</v>
      </c>
      <c r="E837">
        <v>30</v>
      </c>
      <c r="F837">
        <v>28.837970733999999</v>
      </c>
      <c r="G837">
        <v>1386.9600829999999</v>
      </c>
      <c r="H837">
        <v>1373.5098877</v>
      </c>
      <c r="I837">
        <v>1270.8317870999999</v>
      </c>
      <c r="J837">
        <v>1243.0031738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389.38292300000001</v>
      </c>
      <c r="B838" s="1">
        <f>DATE(2011,5,25) + TIME(9,11,24)</f>
        <v>40688.382916666669</v>
      </c>
      <c r="C838">
        <v>90</v>
      </c>
      <c r="D838">
        <v>89.930664062000005</v>
      </c>
      <c r="E838">
        <v>30</v>
      </c>
      <c r="F838">
        <v>28.819517136000002</v>
      </c>
      <c r="G838">
        <v>1386.8892822</v>
      </c>
      <c r="H838">
        <v>1373.4512939000001</v>
      </c>
      <c r="I838">
        <v>1270.8261719</v>
      </c>
      <c r="J838">
        <v>1242.9941406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389.85209099999997</v>
      </c>
      <c r="B839" s="1">
        <f>DATE(2011,5,25) + TIME(20,27,0)</f>
        <v>40688.852083333331</v>
      </c>
      <c r="C839">
        <v>90</v>
      </c>
      <c r="D839">
        <v>89.930641174000002</v>
      </c>
      <c r="E839">
        <v>30</v>
      </c>
      <c r="F839">
        <v>28.80081749</v>
      </c>
      <c r="G839">
        <v>1386.8186035000001</v>
      </c>
      <c r="H839">
        <v>1373.3925781</v>
      </c>
      <c r="I839">
        <v>1270.8205565999999</v>
      </c>
      <c r="J839">
        <v>1242.9849853999999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390.32979699999999</v>
      </c>
      <c r="B840" s="1">
        <f>DATE(2011,5,26) + TIME(7,54,54)</f>
        <v>40689.329791666663</v>
      </c>
      <c r="C840">
        <v>90</v>
      </c>
      <c r="D840">
        <v>89.930618285999998</v>
      </c>
      <c r="E840">
        <v>30</v>
      </c>
      <c r="F840">
        <v>28.781850814999999</v>
      </c>
      <c r="G840">
        <v>1386.7476807</v>
      </c>
      <c r="H840">
        <v>1373.3337402</v>
      </c>
      <c r="I840">
        <v>1270.8148193</v>
      </c>
      <c r="J840">
        <v>1242.9755858999999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390.81428499999998</v>
      </c>
      <c r="B841" s="1">
        <f>DATE(2011,5,26) + TIME(19,32,34)</f>
        <v>40689.814282407409</v>
      </c>
      <c r="C841">
        <v>90</v>
      </c>
      <c r="D841">
        <v>89.930595397999994</v>
      </c>
      <c r="E841">
        <v>30</v>
      </c>
      <c r="F841">
        <v>28.76266098</v>
      </c>
      <c r="G841">
        <v>1386.6765137</v>
      </c>
      <c r="H841">
        <v>1373.2746582</v>
      </c>
      <c r="I841">
        <v>1270.8089600000001</v>
      </c>
      <c r="J841">
        <v>1242.9658202999999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391.301875</v>
      </c>
      <c r="B842" s="1">
        <f>DATE(2011,5,27) + TIME(7,14,42)</f>
        <v>40690.301874999997</v>
      </c>
      <c r="C842">
        <v>90</v>
      </c>
      <c r="D842">
        <v>89.930572510000005</v>
      </c>
      <c r="E842">
        <v>30</v>
      </c>
      <c r="F842">
        <v>28.743347168</v>
      </c>
      <c r="G842">
        <v>1386.6054687999999</v>
      </c>
      <c r="H842">
        <v>1373.2155762</v>
      </c>
      <c r="I842">
        <v>1270.8028564000001</v>
      </c>
      <c r="J842">
        <v>1242.9560547000001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391.79099300000001</v>
      </c>
      <c r="B843" s="1">
        <f>DATE(2011,5,27) + TIME(18,59,1)</f>
        <v>40690.790983796294</v>
      </c>
      <c r="C843">
        <v>90</v>
      </c>
      <c r="D843">
        <v>89.930549622000001</v>
      </c>
      <c r="E843">
        <v>30</v>
      </c>
      <c r="F843">
        <v>28.723972321000002</v>
      </c>
      <c r="G843">
        <v>1386.5347899999999</v>
      </c>
      <c r="H843">
        <v>1373.1568603999999</v>
      </c>
      <c r="I843">
        <v>1270.7967529</v>
      </c>
      <c r="J843">
        <v>1242.9460449000001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392.28245600000002</v>
      </c>
      <c r="B844" s="1">
        <f>DATE(2011,5,28) + TIME(6,46,44)</f>
        <v>40691.282453703701</v>
      </c>
      <c r="C844">
        <v>90</v>
      </c>
      <c r="D844">
        <v>89.930526732999994</v>
      </c>
      <c r="E844">
        <v>30</v>
      </c>
      <c r="F844">
        <v>28.704538345</v>
      </c>
      <c r="G844">
        <v>1386.4650879000001</v>
      </c>
      <c r="H844">
        <v>1373.0988769999999</v>
      </c>
      <c r="I844">
        <v>1270.7906493999999</v>
      </c>
      <c r="J844">
        <v>1242.9360352000001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392.77706999999998</v>
      </c>
      <c r="B845" s="1">
        <f>DATE(2011,5,28) + TIME(18,38,58)</f>
        <v>40691.777060185188</v>
      </c>
      <c r="C845">
        <v>90</v>
      </c>
      <c r="D845">
        <v>89.930503845000004</v>
      </c>
      <c r="E845">
        <v>30</v>
      </c>
      <c r="F845">
        <v>28.685033797999999</v>
      </c>
      <c r="G845">
        <v>1386.395874</v>
      </c>
      <c r="H845">
        <v>1373.0413818</v>
      </c>
      <c r="I845">
        <v>1270.7844238</v>
      </c>
      <c r="J845">
        <v>1242.9257812000001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393.27564999999998</v>
      </c>
      <c r="B846" s="1">
        <f>DATE(2011,5,29) + TIME(6,36,56)</f>
        <v>40692.275648148148</v>
      </c>
      <c r="C846">
        <v>90</v>
      </c>
      <c r="D846">
        <v>89.930480957</v>
      </c>
      <c r="E846">
        <v>30</v>
      </c>
      <c r="F846">
        <v>28.665439606</v>
      </c>
      <c r="G846">
        <v>1386.3272704999999</v>
      </c>
      <c r="H846">
        <v>1372.9842529</v>
      </c>
      <c r="I846">
        <v>1270.7780762</v>
      </c>
      <c r="J846">
        <v>1242.9154053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393.77902599999999</v>
      </c>
      <c r="B847" s="1">
        <f>DATE(2011,5,29) + TIME(18,41,47)</f>
        <v>40692.779016203705</v>
      </c>
      <c r="C847">
        <v>90</v>
      </c>
      <c r="D847">
        <v>89.930465698000006</v>
      </c>
      <c r="E847">
        <v>30</v>
      </c>
      <c r="F847">
        <v>28.645734786999999</v>
      </c>
      <c r="G847">
        <v>1386.2589111</v>
      </c>
      <c r="H847">
        <v>1372.9274902</v>
      </c>
      <c r="I847">
        <v>1270.7717285000001</v>
      </c>
      <c r="J847">
        <v>1242.9049072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394.28804100000002</v>
      </c>
      <c r="B848" s="1">
        <f>DATE(2011,5,30) + TIME(6,54,46)</f>
        <v>40693.288032407407</v>
      </c>
      <c r="C848">
        <v>90</v>
      </c>
      <c r="D848">
        <v>89.930442810000002</v>
      </c>
      <c r="E848">
        <v>30</v>
      </c>
      <c r="F848">
        <v>28.625890731999998</v>
      </c>
      <c r="G848">
        <v>1386.190918</v>
      </c>
      <c r="H848">
        <v>1372.8708495999999</v>
      </c>
      <c r="I848">
        <v>1270.7652588000001</v>
      </c>
      <c r="J848">
        <v>1242.8942870999999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394.80364100000003</v>
      </c>
      <c r="B849" s="1">
        <f>DATE(2011,5,30) + TIME(19,17,14)</f>
        <v>40693.80363425926</v>
      </c>
      <c r="C849">
        <v>90</v>
      </c>
      <c r="D849">
        <v>89.930427550999994</v>
      </c>
      <c r="E849">
        <v>30</v>
      </c>
      <c r="F849">
        <v>28.605875014999999</v>
      </c>
      <c r="G849">
        <v>1386.1230469</v>
      </c>
      <c r="H849">
        <v>1372.8143310999999</v>
      </c>
      <c r="I849">
        <v>1270.7586670000001</v>
      </c>
      <c r="J849">
        <v>1242.8833007999999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395.32697899999999</v>
      </c>
      <c r="B850" s="1">
        <f>DATE(2011,5,31) + TIME(7,50,51)</f>
        <v>40694.326979166668</v>
      </c>
      <c r="C850">
        <v>90</v>
      </c>
      <c r="D850">
        <v>89.930404663000004</v>
      </c>
      <c r="E850">
        <v>30</v>
      </c>
      <c r="F850">
        <v>28.585653305000001</v>
      </c>
      <c r="G850">
        <v>1386.0551757999999</v>
      </c>
      <c r="H850">
        <v>1372.7578125</v>
      </c>
      <c r="I850">
        <v>1270.7519531</v>
      </c>
      <c r="J850">
        <v>1242.8721923999999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395.858766</v>
      </c>
      <c r="B851" s="1">
        <f>DATE(2011,5,31) + TIME(20,36,37)</f>
        <v>40694.858761574076</v>
      </c>
      <c r="C851">
        <v>90</v>
      </c>
      <c r="D851">
        <v>89.930389403999996</v>
      </c>
      <c r="E851">
        <v>30</v>
      </c>
      <c r="F851">
        <v>28.565191269</v>
      </c>
      <c r="G851">
        <v>1385.9873047000001</v>
      </c>
      <c r="H851">
        <v>1372.7011719</v>
      </c>
      <c r="I851">
        <v>1270.7449951000001</v>
      </c>
      <c r="J851">
        <v>1242.8608397999999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396</v>
      </c>
      <c r="B852" s="1">
        <f>DATE(2011,6,1) + TIME(0,0,0)</f>
        <v>40695</v>
      </c>
      <c r="C852">
        <v>90</v>
      </c>
      <c r="D852">
        <v>89.930374146000005</v>
      </c>
      <c r="E852">
        <v>30</v>
      </c>
      <c r="F852">
        <v>28.557662963999999</v>
      </c>
      <c r="G852">
        <v>1385.9197998</v>
      </c>
      <c r="H852">
        <v>1372.6450195</v>
      </c>
      <c r="I852">
        <v>1270.7351074000001</v>
      </c>
      <c r="J852">
        <v>1242.8511963000001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396.54128200000002</v>
      </c>
      <c r="B853" s="1">
        <f>DATE(2011,6,1) + TIME(12,59,26)</f>
        <v>40695.541273148148</v>
      </c>
      <c r="C853">
        <v>90</v>
      </c>
      <c r="D853">
        <v>89.930366516000007</v>
      </c>
      <c r="E853">
        <v>30</v>
      </c>
      <c r="F853">
        <v>28.537715911999999</v>
      </c>
      <c r="G853">
        <v>1385.9007568</v>
      </c>
      <c r="H853">
        <v>1372.6289062000001</v>
      </c>
      <c r="I853">
        <v>1270.7363281</v>
      </c>
      <c r="J853">
        <v>1242.8457031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397.09620899999999</v>
      </c>
      <c r="B854" s="1">
        <f>DATE(2011,6,2) + TIME(2,18,32)</f>
        <v>40696.096203703702</v>
      </c>
      <c r="C854">
        <v>90</v>
      </c>
      <c r="D854">
        <v>89.930351256999998</v>
      </c>
      <c r="E854">
        <v>30</v>
      </c>
      <c r="F854">
        <v>28.517097473</v>
      </c>
      <c r="G854">
        <v>1385.8328856999999</v>
      </c>
      <c r="H854">
        <v>1372.5725098</v>
      </c>
      <c r="I854">
        <v>1270.7290039</v>
      </c>
      <c r="J854">
        <v>1242.8338623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397.66319199999998</v>
      </c>
      <c r="B855" s="1">
        <f>DATE(2011,6,2) + TIME(15,54,59)</f>
        <v>40696.663182870368</v>
      </c>
      <c r="C855">
        <v>90</v>
      </c>
      <c r="D855">
        <v>89.930335998999993</v>
      </c>
      <c r="E855">
        <v>30</v>
      </c>
      <c r="F855">
        <v>28.495916367</v>
      </c>
      <c r="G855">
        <v>1385.7639160000001</v>
      </c>
      <c r="H855">
        <v>1372.5148925999999</v>
      </c>
      <c r="I855">
        <v>1270.7214355000001</v>
      </c>
      <c r="J855">
        <v>1242.8214111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398.24359900000002</v>
      </c>
      <c r="B856" s="1">
        <f>DATE(2011,6,3) + TIME(5,50,46)</f>
        <v>40697.243587962963</v>
      </c>
      <c r="C856">
        <v>90</v>
      </c>
      <c r="D856">
        <v>89.930328368999994</v>
      </c>
      <c r="E856">
        <v>30</v>
      </c>
      <c r="F856">
        <v>28.474199294999998</v>
      </c>
      <c r="G856">
        <v>1385.6943358999999</v>
      </c>
      <c r="H856">
        <v>1372.4567870999999</v>
      </c>
      <c r="I856">
        <v>1270.7137451000001</v>
      </c>
      <c r="J856">
        <v>1242.8085937999999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398.83555699999999</v>
      </c>
      <c r="B857" s="1">
        <f>DATE(2011,6,3) + TIME(20,3,12)</f>
        <v>40697.835555555554</v>
      </c>
      <c r="C857">
        <v>90</v>
      </c>
      <c r="D857">
        <v>89.93031311</v>
      </c>
      <c r="E857">
        <v>30</v>
      </c>
      <c r="F857">
        <v>28.452020645000001</v>
      </c>
      <c r="G857">
        <v>1385.6240233999999</v>
      </c>
      <c r="H857">
        <v>1372.3980713000001</v>
      </c>
      <c r="I857">
        <v>1270.7056885</v>
      </c>
      <c r="J857">
        <v>1242.7952881000001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399.43117000000001</v>
      </c>
      <c r="B858" s="1">
        <f>DATE(2011,6,4) + TIME(10,20,53)</f>
        <v>40698.431168981479</v>
      </c>
      <c r="C858">
        <v>90</v>
      </c>
      <c r="D858">
        <v>89.930297851999995</v>
      </c>
      <c r="E858">
        <v>30</v>
      </c>
      <c r="F858">
        <v>28.429582595999999</v>
      </c>
      <c r="G858">
        <v>1385.5532227000001</v>
      </c>
      <c r="H858">
        <v>1372.3388672000001</v>
      </c>
      <c r="I858">
        <v>1270.6973877</v>
      </c>
      <c r="J858">
        <v>1242.7816161999999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400.03155600000002</v>
      </c>
      <c r="B859" s="1">
        <f>DATE(2011,6,5) + TIME(0,45,26)</f>
        <v>40699.031550925924</v>
      </c>
      <c r="C859">
        <v>90</v>
      </c>
      <c r="D859">
        <v>89.930282593000001</v>
      </c>
      <c r="E859">
        <v>30</v>
      </c>
      <c r="F859">
        <v>28.406930923000001</v>
      </c>
      <c r="G859">
        <v>1385.4829102000001</v>
      </c>
      <c r="H859">
        <v>1372.2800293</v>
      </c>
      <c r="I859">
        <v>1270.6889647999999</v>
      </c>
      <c r="J859">
        <v>1242.7677002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400.63668999999999</v>
      </c>
      <c r="B860" s="1">
        <f>DATE(2011,6,5) + TIME(15,16,50)</f>
        <v>40699.636689814812</v>
      </c>
      <c r="C860">
        <v>90</v>
      </c>
      <c r="D860">
        <v>89.930274963000002</v>
      </c>
      <c r="E860">
        <v>30</v>
      </c>
      <c r="F860">
        <v>28.38409996</v>
      </c>
      <c r="G860">
        <v>1385.4128418</v>
      </c>
      <c r="H860">
        <v>1372.2215576000001</v>
      </c>
      <c r="I860">
        <v>1270.6804199000001</v>
      </c>
      <c r="J860">
        <v>1242.7535399999999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401.24595199999999</v>
      </c>
      <c r="B861" s="1">
        <f>DATE(2011,6,6) + TIME(5,54,10)</f>
        <v>40700.245949074073</v>
      </c>
      <c r="C861">
        <v>90</v>
      </c>
      <c r="D861">
        <v>89.930259704999997</v>
      </c>
      <c r="E861">
        <v>30</v>
      </c>
      <c r="F861">
        <v>28.361120224</v>
      </c>
      <c r="G861">
        <v>1385.3432617000001</v>
      </c>
      <c r="H861">
        <v>1372.1633300999999</v>
      </c>
      <c r="I861">
        <v>1270.6717529</v>
      </c>
      <c r="J861">
        <v>1242.7390137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401.85794299999998</v>
      </c>
      <c r="B862" s="1">
        <f>DATE(2011,6,6) + TIME(20,35,26)</f>
        <v>40700.857939814814</v>
      </c>
      <c r="C862">
        <v>90</v>
      </c>
      <c r="D862">
        <v>89.930252074999999</v>
      </c>
      <c r="E862">
        <v>30</v>
      </c>
      <c r="F862">
        <v>28.338039397999999</v>
      </c>
      <c r="G862">
        <v>1385.2740478999999</v>
      </c>
      <c r="H862">
        <v>1372.1053466999999</v>
      </c>
      <c r="I862">
        <v>1270.6628418</v>
      </c>
      <c r="J862">
        <v>1242.7241211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402.47368799999998</v>
      </c>
      <c r="B863" s="1">
        <f>DATE(2011,6,7) + TIME(11,22,6)</f>
        <v>40701.473680555559</v>
      </c>
      <c r="C863">
        <v>90</v>
      </c>
      <c r="D863">
        <v>89.930244446000003</v>
      </c>
      <c r="E863">
        <v>30</v>
      </c>
      <c r="F863">
        <v>28.314851761</v>
      </c>
      <c r="G863">
        <v>1385.2054443</v>
      </c>
      <c r="H863">
        <v>1372.0478516000001</v>
      </c>
      <c r="I863">
        <v>1270.6539307</v>
      </c>
      <c r="J863">
        <v>1242.7091064000001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403.09421500000002</v>
      </c>
      <c r="B864" s="1">
        <f>DATE(2011,6,8) + TIME(2,15,40)</f>
        <v>40702.094212962962</v>
      </c>
      <c r="C864">
        <v>90</v>
      </c>
      <c r="D864">
        <v>89.930229186999995</v>
      </c>
      <c r="E864">
        <v>30</v>
      </c>
      <c r="F864">
        <v>28.291538239000001</v>
      </c>
      <c r="G864">
        <v>1385.1373291</v>
      </c>
      <c r="H864">
        <v>1371.9907227000001</v>
      </c>
      <c r="I864">
        <v>1270.6447754000001</v>
      </c>
      <c r="J864">
        <v>1242.6937256000001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403.720574</v>
      </c>
      <c r="B865" s="1">
        <f>DATE(2011,6,8) + TIME(17,17,37)</f>
        <v>40702.720567129632</v>
      </c>
      <c r="C865">
        <v>90</v>
      </c>
      <c r="D865">
        <v>89.930221558</v>
      </c>
      <c r="E865">
        <v>30</v>
      </c>
      <c r="F865">
        <v>28.268066405999999</v>
      </c>
      <c r="G865">
        <v>1385.0694579999999</v>
      </c>
      <c r="H865">
        <v>1371.9337158000001</v>
      </c>
      <c r="I865">
        <v>1270.6354980000001</v>
      </c>
      <c r="J865">
        <v>1242.6781006000001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404.35348399999998</v>
      </c>
      <c r="B866" s="1">
        <f>DATE(2011,6,9) + TIME(8,29,0)</f>
        <v>40703.353472222225</v>
      </c>
      <c r="C866">
        <v>90</v>
      </c>
      <c r="D866">
        <v>89.930213928000001</v>
      </c>
      <c r="E866">
        <v>30</v>
      </c>
      <c r="F866">
        <v>28.244411468999999</v>
      </c>
      <c r="G866">
        <v>1385.0017089999999</v>
      </c>
      <c r="H866">
        <v>1371.8769531</v>
      </c>
      <c r="I866">
        <v>1270.6259766000001</v>
      </c>
      <c r="J866">
        <v>1242.6619873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404.99296700000002</v>
      </c>
      <c r="B867" s="1">
        <f>DATE(2011,6,9) + TIME(23,49,52)</f>
        <v>40703.992962962962</v>
      </c>
      <c r="C867">
        <v>90</v>
      </c>
      <c r="D867">
        <v>89.930206299000005</v>
      </c>
      <c r="E867">
        <v>30</v>
      </c>
      <c r="F867">
        <v>28.220561980999999</v>
      </c>
      <c r="G867">
        <v>1384.9342041</v>
      </c>
      <c r="H867">
        <v>1371.8201904</v>
      </c>
      <c r="I867">
        <v>1270.6162108999999</v>
      </c>
      <c r="J867">
        <v>1242.6455077999999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405.64011699999998</v>
      </c>
      <c r="B868" s="1">
        <f>DATE(2011,6,10) + TIME(15,21,46)</f>
        <v>40704.640115740738</v>
      </c>
      <c r="C868">
        <v>90</v>
      </c>
      <c r="D868">
        <v>89.930206299000005</v>
      </c>
      <c r="E868">
        <v>30</v>
      </c>
      <c r="F868">
        <v>28.196485518999999</v>
      </c>
      <c r="G868">
        <v>1384.8666992000001</v>
      </c>
      <c r="H868">
        <v>1371.7635498</v>
      </c>
      <c r="I868">
        <v>1270.6063231999999</v>
      </c>
      <c r="J868">
        <v>1242.6286620999999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406.29618599999998</v>
      </c>
      <c r="B869" s="1">
        <f>DATE(2011,6,11) + TIME(7,6,30)</f>
        <v>40705.296180555553</v>
      </c>
      <c r="C869">
        <v>90</v>
      </c>
      <c r="D869">
        <v>89.930198669000006</v>
      </c>
      <c r="E869">
        <v>30</v>
      </c>
      <c r="F869">
        <v>28.172142029</v>
      </c>
      <c r="G869">
        <v>1384.7993164</v>
      </c>
      <c r="H869">
        <v>1371.7067870999999</v>
      </c>
      <c r="I869">
        <v>1270.5961914</v>
      </c>
      <c r="J869">
        <v>1242.6114502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406.962604</v>
      </c>
      <c r="B870" s="1">
        <f>DATE(2011,6,11) + TIME(23,6,8)</f>
        <v>40705.962592592594</v>
      </c>
      <c r="C870">
        <v>90</v>
      </c>
      <c r="D870">
        <v>89.930191039999997</v>
      </c>
      <c r="E870">
        <v>30</v>
      </c>
      <c r="F870">
        <v>28.147485733</v>
      </c>
      <c r="G870">
        <v>1384.7316894999999</v>
      </c>
      <c r="H870">
        <v>1371.6500243999999</v>
      </c>
      <c r="I870">
        <v>1270.5856934000001</v>
      </c>
      <c r="J870">
        <v>1242.5936279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407.64034500000002</v>
      </c>
      <c r="B871" s="1">
        <f>DATE(2011,6,12) + TIME(15,22,5)</f>
        <v>40706.640335648146</v>
      </c>
      <c r="C871">
        <v>90</v>
      </c>
      <c r="D871">
        <v>89.930191039999997</v>
      </c>
      <c r="E871">
        <v>30</v>
      </c>
      <c r="F871">
        <v>28.122476578000001</v>
      </c>
      <c r="G871">
        <v>1384.6639404</v>
      </c>
      <c r="H871">
        <v>1371.5928954999999</v>
      </c>
      <c r="I871">
        <v>1270.5749512</v>
      </c>
      <c r="J871">
        <v>1242.5751952999999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408.33078</v>
      </c>
      <c r="B872" s="1">
        <f>DATE(2011,6,13) + TIME(7,56,19)</f>
        <v>40707.330775462964</v>
      </c>
      <c r="C872">
        <v>90</v>
      </c>
      <c r="D872">
        <v>89.930191039999997</v>
      </c>
      <c r="E872">
        <v>30</v>
      </c>
      <c r="F872">
        <v>28.097063065</v>
      </c>
      <c r="G872">
        <v>1384.5958252</v>
      </c>
      <c r="H872">
        <v>1371.5355225000001</v>
      </c>
      <c r="I872">
        <v>1270.5639647999999</v>
      </c>
      <c r="J872">
        <v>1242.5562743999999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409.03371700000002</v>
      </c>
      <c r="B873" s="1">
        <f>DATE(2011,6,14) + TIME(0,48,33)</f>
        <v>40708.033715277779</v>
      </c>
      <c r="C873">
        <v>90</v>
      </c>
      <c r="D873">
        <v>89.930183411000002</v>
      </c>
      <c r="E873">
        <v>30</v>
      </c>
      <c r="F873">
        <v>28.071231842</v>
      </c>
      <c r="G873">
        <v>1384.5272216999999</v>
      </c>
      <c r="H873">
        <v>1371.4776611</v>
      </c>
      <c r="I873">
        <v>1270.5524902</v>
      </c>
      <c r="J873">
        <v>1242.5367432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409.74037099999998</v>
      </c>
      <c r="B874" s="1">
        <f>DATE(2011,6,14) + TIME(17,46,8)</f>
        <v>40708.740370370368</v>
      </c>
      <c r="C874">
        <v>90</v>
      </c>
      <c r="D874">
        <v>89.930183411000002</v>
      </c>
      <c r="E874">
        <v>30</v>
      </c>
      <c r="F874">
        <v>28.045145035000001</v>
      </c>
      <c r="G874">
        <v>1384.4581298999999</v>
      </c>
      <c r="H874">
        <v>1371.4194336</v>
      </c>
      <c r="I874">
        <v>1270.5406493999999</v>
      </c>
      <c r="J874">
        <v>1242.5164795000001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410.45200299999999</v>
      </c>
      <c r="B875" s="1">
        <f>DATE(2011,6,15) + TIME(10,50,53)</f>
        <v>40709.452002314814</v>
      </c>
      <c r="C875">
        <v>90</v>
      </c>
      <c r="D875">
        <v>89.930183411000002</v>
      </c>
      <c r="E875">
        <v>30</v>
      </c>
      <c r="F875">
        <v>28.018836974999999</v>
      </c>
      <c r="G875">
        <v>1384.3896483999999</v>
      </c>
      <c r="H875">
        <v>1371.3615723</v>
      </c>
      <c r="I875">
        <v>1270.5286865</v>
      </c>
      <c r="J875">
        <v>1242.4957274999999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411.169849</v>
      </c>
      <c r="B876" s="1">
        <f>DATE(2011,6,16) + TIME(4,4,34)</f>
        <v>40710.16983796296</v>
      </c>
      <c r="C876">
        <v>90</v>
      </c>
      <c r="D876">
        <v>89.930183411000002</v>
      </c>
      <c r="E876">
        <v>30</v>
      </c>
      <c r="F876">
        <v>27.992300033999999</v>
      </c>
      <c r="G876">
        <v>1384.3214111</v>
      </c>
      <c r="H876">
        <v>1371.3039550999999</v>
      </c>
      <c r="I876">
        <v>1270.5163574000001</v>
      </c>
      <c r="J876">
        <v>1242.4744873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411.895217</v>
      </c>
      <c r="B877" s="1">
        <f>DATE(2011,6,16) + TIME(21,29,6)</f>
        <v>40710.895208333335</v>
      </c>
      <c r="C877">
        <v>90</v>
      </c>
      <c r="D877">
        <v>89.930183411000002</v>
      </c>
      <c r="E877">
        <v>30</v>
      </c>
      <c r="F877">
        <v>27.965511322000001</v>
      </c>
      <c r="G877">
        <v>1384.2532959</v>
      </c>
      <c r="H877">
        <v>1371.2464600000001</v>
      </c>
      <c r="I877">
        <v>1270.5037841999999</v>
      </c>
      <c r="J877">
        <v>1242.4527588000001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412.62987700000002</v>
      </c>
      <c r="B878" s="1">
        <f>DATE(2011,6,17) + TIME(15,7,1)</f>
        <v>40711.629872685182</v>
      </c>
      <c r="C878">
        <v>90</v>
      </c>
      <c r="D878">
        <v>89.930183411000002</v>
      </c>
      <c r="E878">
        <v>30</v>
      </c>
      <c r="F878">
        <v>27.938423156999999</v>
      </c>
      <c r="G878">
        <v>1384.1854248</v>
      </c>
      <c r="H878">
        <v>1371.1889647999999</v>
      </c>
      <c r="I878">
        <v>1270.4909668</v>
      </c>
      <c r="J878">
        <v>1242.4304199000001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413.369416</v>
      </c>
      <c r="B879" s="1">
        <f>DATE(2011,6,18) + TIME(8,51,57)</f>
        <v>40712.369409722225</v>
      </c>
      <c r="C879">
        <v>90</v>
      </c>
      <c r="D879">
        <v>89.930191039999997</v>
      </c>
      <c r="E879">
        <v>30</v>
      </c>
      <c r="F879">
        <v>27.911102294999999</v>
      </c>
      <c r="G879">
        <v>1384.1173096</v>
      </c>
      <c r="H879">
        <v>1371.1314697</v>
      </c>
      <c r="I879">
        <v>1270.4776611</v>
      </c>
      <c r="J879">
        <v>1242.4073486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414.113088</v>
      </c>
      <c r="B880" s="1">
        <f>DATE(2011,6,19) + TIME(2,42,50)</f>
        <v>40713.113078703704</v>
      </c>
      <c r="C880">
        <v>90</v>
      </c>
      <c r="D880">
        <v>89.930191039999997</v>
      </c>
      <c r="E880">
        <v>30</v>
      </c>
      <c r="F880">
        <v>27.883586884</v>
      </c>
      <c r="G880">
        <v>1384.0495605000001</v>
      </c>
      <c r="H880">
        <v>1371.0740966999999</v>
      </c>
      <c r="I880">
        <v>1270.4642334</v>
      </c>
      <c r="J880">
        <v>1242.3837891000001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414.86221699999999</v>
      </c>
      <c r="B881" s="1">
        <f>DATE(2011,6,19) + TIME(20,41,35)</f>
        <v>40713.862210648149</v>
      </c>
      <c r="C881">
        <v>90</v>
      </c>
      <c r="D881">
        <v>89.930198669000006</v>
      </c>
      <c r="E881">
        <v>30</v>
      </c>
      <c r="F881">
        <v>27.855867386</v>
      </c>
      <c r="G881">
        <v>1383.9822998</v>
      </c>
      <c r="H881">
        <v>1371.0169678</v>
      </c>
      <c r="I881">
        <v>1270.4504394999999</v>
      </c>
      <c r="J881">
        <v>1242.3596190999999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415.61803099999997</v>
      </c>
      <c r="B882" s="1">
        <f>DATE(2011,6,20) + TIME(14,49,57)</f>
        <v>40714.618020833332</v>
      </c>
      <c r="C882">
        <v>90</v>
      </c>
      <c r="D882">
        <v>89.930198669000006</v>
      </c>
      <c r="E882">
        <v>30</v>
      </c>
      <c r="F882">
        <v>27.827911377</v>
      </c>
      <c r="G882">
        <v>1383.9151611</v>
      </c>
      <c r="H882">
        <v>1370.9600829999999</v>
      </c>
      <c r="I882">
        <v>1270.4362793</v>
      </c>
      <c r="J882">
        <v>1242.3348389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416.38180199999999</v>
      </c>
      <c r="B883" s="1">
        <f>DATE(2011,6,21) + TIME(9,9,47)</f>
        <v>40715.381793981483</v>
      </c>
      <c r="C883">
        <v>90</v>
      </c>
      <c r="D883">
        <v>89.930206299000005</v>
      </c>
      <c r="E883">
        <v>30</v>
      </c>
      <c r="F883">
        <v>27.799686432000001</v>
      </c>
      <c r="G883">
        <v>1383.8482666</v>
      </c>
      <c r="H883">
        <v>1370.9033202999999</v>
      </c>
      <c r="I883">
        <v>1270.421875</v>
      </c>
      <c r="J883">
        <v>1242.3093262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417.15487000000002</v>
      </c>
      <c r="B884" s="1">
        <f>DATE(2011,6,22) + TIME(3,43,0)</f>
        <v>40716.154861111114</v>
      </c>
      <c r="C884">
        <v>90</v>
      </c>
      <c r="D884">
        <v>89.930213928000001</v>
      </c>
      <c r="E884">
        <v>30</v>
      </c>
      <c r="F884">
        <v>27.771142959999999</v>
      </c>
      <c r="G884">
        <v>1383.7813721</v>
      </c>
      <c r="H884">
        <v>1370.8465576000001</v>
      </c>
      <c r="I884">
        <v>1270.4071045000001</v>
      </c>
      <c r="J884">
        <v>1242.2832031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417.93877199999997</v>
      </c>
      <c r="B885" s="1">
        <f>DATE(2011,6,22) + TIME(22,31,49)</f>
        <v>40716.938761574071</v>
      </c>
      <c r="C885">
        <v>90</v>
      </c>
      <c r="D885">
        <v>89.930221558</v>
      </c>
      <c r="E885">
        <v>30</v>
      </c>
      <c r="F885">
        <v>27.742231368999999</v>
      </c>
      <c r="G885">
        <v>1383.7143555</v>
      </c>
      <c r="H885">
        <v>1370.7895507999999</v>
      </c>
      <c r="I885">
        <v>1270.3919678</v>
      </c>
      <c r="J885">
        <v>1242.2562256000001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418.73524099999997</v>
      </c>
      <c r="B886" s="1">
        <f>DATE(2011,6,23) + TIME(17,38,44)</f>
        <v>40717.735231481478</v>
      </c>
      <c r="C886">
        <v>90</v>
      </c>
      <c r="D886">
        <v>89.930229186999995</v>
      </c>
      <c r="E886">
        <v>30</v>
      </c>
      <c r="F886">
        <v>27.712888717999999</v>
      </c>
      <c r="G886">
        <v>1383.6472168</v>
      </c>
      <c r="H886">
        <v>1370.7324219</v>
      </c>
      <c r="I886">
        <v>1270.3763428</v>
      </c>
      <c r="J886">
        <v>1242.2283935999999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419.545479</v>
      </c>
      <c r="B887" s="1">
        <f>DATE(2011,6,24) + TIME(13,5,29)</f>
        <v>40718.545474537037</v>
      </c>
      <c r="C887">
        <v>90</v>
      </c>
      <c r="D887">
        <v>89.930236816000004</v>
      </c>
      <c r="E887">
        <v>30</v>
      </c>
      <c r="F887">
        <v>27.683065414000001</v>
      </c>
      <c r="G887">
        <v>1383.5797118999999</v>
      </c>
      <c r="H887">
        <v>1370.6750488</v>
      </c>
      <c r="I887">
        <v>1270.3602295000001</v>
      </c>
      <c r="J887">
        <v>1242.1995850000001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420.36573399999997</v>
      </c>
      <c r="B888" s="1">
        <f>DATE(2011,6,25) + TIME(8,46,39)</f>
        <v>40719.365729166668</v>
      </c>
      <c r="C888">
        <v>90</v>
      </c>
      <c r="D888">
        <v>89.930244446000003</v>
      </c>
      <c r="E888">
        <v>30</v>
      </c>
      <c r="F888">
        <v>27.652803421000002</v>
      </c>
      <c r="G888">
        <v>1383.5118408000001</v>
      </c>
      <c r="H888">
        <v>1370.6171875</v>
      </c>
      <c r="I888">
        <v>1270.3436279</v>
      </c>
      <c r="J888">
        <v>1242.1697998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421.19077800000002</v>
      </c>
      <c r="B889" s="1">
        <f>DATE(2011,6,26) + TIME(4,34,43)</f>
        <v>40720.190775462965</v>
      </c>
      <c r="C889">
        <v>90</v>
      </c>
      <c r="D889">
        <v>89.930259704999997</v>
      </c>
      <c r="E889">
        <v>30</v>
      </c>
      <c r="F889">
        <v>27.622219086000001</v>
      </c>
      <c r="G889">
        <v>1383.4438477000001</v>
      </c>
      <c r="H889">
        <v>1370.5592041</v>
      </c>
      <c r="I889">
        <v>1270.3265381000001</v>
      </c>
      <c r="J889">
        <v>1242.1391602000001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422.02204699999999</v>
      </c>
      <c r="B890" s="1">
        <f>DATE(2011,6,27) + TIME(0,31,44)</f>
        <v>40721.022037037037</v>
      </c>
      <c r="C890">
        <v>90</v>
      </c>
      <c r="D890">
        <v>89.930267334000007</v>
      </c>
      <c r="E890">
        <v>30</v>
      </c>
      <c r="F890">
        <v>27.591339111</v>
      </c>
      <c r="G890">
        <v>1383.3760986</v>
      </c>
      <c r="H890">
        <v>1370.5014647999999</v>
      </c>
      <c r="I890">
        <v>1270.3089600000001</v>
      </c>
      <c r="J890">
        <v>1242.1076660000001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422.86100800000003</v>
      </c>
      <c r="B891" s="1">
        <f>DATE(2011,6,27) + TIME(20,39,51)</f>
        <v>40721.861006944448</v>
      </c>
      <c r="C891">
        <v>90</v>
      </c>
      <c r="D891">
        <v>89.930282593000001</v>
      </c>
      <c r="E891">
        <v>30</v>
      </c>
      <c r="F891">
        <v>27.560148239</v>
      </c>
      <c r="G891">
        <v>1383.3087158000001</v>
      </c>
      <c r="H891">
        <v>1370.4438477000001</v>
      </c>
      <c r="I891">
        <v>1270.2911377</v>
      </c>
      <c r="J891">
        <v>1242.0753173999999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423.70925299999999</v>
      </c>
      <c r="B892" s="1">
        <f>DATE(2011,6,28) + TIME(17,1,19)</f>
        <v>40722.709247685183</v>
      </c>
      <c r="C892">
        <v>90</v>
      </c>
      <c r="D892">
        <v>89.930297851999995</v>
      </c>
      <c r="E892">
        <v>30</v>
      </c>
      <c r="F892">
        <v>27.528608322</v>
      </c>
      <c r="G892">
        <v>1383.2413329999999</v>
      </c>
      <c r="H892">
        <v>1370.3863524999999</v>
      </c>
      <c r="I892">
        <v>1270.2728271000001</v>
      </c>
      <c r="J892">
        <v>1242.0421143000001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424.56875600000001</v>
      </c>
      <c r="B893" s="1">
        <f>DATE(2011,6,29) + TIME(13,39,0)</f>
        <v>40723.568749999999</v>
      </c>
      <c r="C893">
        <v>90</v>
      </c>
      <c r="D893">
        <v>89.930305481000005</v>
      </c>
      <c r="E893">
        <v>30</v>
      </c>
      <c r="F893">
        <v>27.496662140000002</v>
      </c>
      <c r="G893">
        <v>1383.1739502</v>
      </c>
      <c r="H893">
        <v>1370.3286132999999</v>
      </c>
      <c r="I893">
        <v>1270.2541504000001</v>
      </c>
      <c r="J893">
        <v>1242.0078125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425.44070699999997</v>
      </c>
      <c r="B894" s="1">
        <f>DATE(2011,6,30) + TIME(10,34,37)</f>
        <v>40724.440706018519</v>
      </c>
      <c r="C894">
        <v>90</v>
      </c>
      <c r="D894">
        <v>89.930320739999999</v>
      </c>
      <c r="E894">
        <v>30</v>
      </c>
      <c r="F894">
        <v>27.464260101000001</v>
      </c>
      <c r="G894">
        <v>1383.1063231999999</v>
      </c>
      <c r="H894">
        <v>1370.270874</v>
      </c>
      <c r="I894">
        <v>1270.2348632999999</v>
      </c>
      <c r="J894">
        <v>1241.9725341999999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426</v>
      </c>
      <c r="B895" s="1">
        <f>DATE(2011,7,1) + TIME(0,0,0)</f>
        <v>40725</v>
      </c>
      <c r="C895">
        <v>90</v>
      </c>
      <c r="D895">
        <v>89.930320739999999</v>
      </c>
      <c r="E895">
        <v>30</v>
      </c>
      <c r="F895">
        <v>27.438806534000001</v>
      </c>
      <c r="G895">
        <v>1383.0384521000001</v>
      </c>
      <c r="H895">
        <v>1370.2126464999999</v>
      </c>
      <c r="I895">
        <v>1270.2141113</v>
      </c>
      <c r="J895">
        <v>1241.9388428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426.87846500000001</v>
      </c>
      <c r="B896" s="1">
        <f>DATE(2011,7,1) + TIME(21,4,59)</f>
        <v>40725.878460648149</v>
      </c>
      <c r="C896">
        <v>90</v>
      </c>
      <c r="D896">
        <v>89.930343628000003</v>
      </c>
      <c r="E896">
        <v>30</v>
      </c>
      <c r="F896">
        <v>27.408164977999999</v>
      </c>
      <c r="G896">
        <v>1382.9952393000001</v>
      </c>
      <c r="H896">
        <v>1370.1755370999999</v>
      </c>
      <c r="I896">
        <v>1270.2021483999999</v>
      </c>
      <c r="J896">
        <v>1241.9111327999999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427.76703700000002</v>
      </c>
      <c r="B897" s="1">
        <f>DATE(2011,7,2) + TIME(18,24,32)</f>
        <v>40726.76703703704</v>
      </c>
      <c r="C897">
        <v>90</v>
      </c>
      <c r="D897">
        <v>89.930366516000007</v>
      </c>
      <c r="E897">
        <v>30</v>
      </c>
      <c r="F897">
        <v>27.376062393000002</v>
      </c>
      <c r="G897">
        <v>1382.9282227000001</v>
      </c>
      <c r="H897">
        <v>1370.1181641000001</v>
      </c>
      <c r="I897">
        <v>1270.1816406</v>
      </c>
      <c r="J897">
        <v>1241.8737793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428.66415699999999</v>
      </c>
      <c r="B898" s="1">
        <f>DATE(2011,7,3) + TIME(15,56,23)</f>
        <v>40727.664155092592</v>
      </c>
      <c r="C898">
        <v>90</v>
      </c>
      <c r="D898">
        <v>89.930381775000001</v>
      </c>
      <c r="E898">
        <v>30</v>
      </c>
      <c r="F898">
        <v>27.343034744000001</v>
      </c>
      <c r="G898">
        <v>1382.8609618999999</v>
      </c>
      <c r="H898">
        <v>1370.0604248</v>
      </c>
      <c r="I898">
        <v>1270.1606445</v>
      </c>
      <c r="J898">
        <v>1241.8350829999999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429.57140399999997</v>
      </c>
      <c r="B899" s="1">
        <f>DATE(2011,7,4) + TIME(13,42,49)</f>
        <v>40728.571400462963</v>
      </c>
      <c r="C899">
        <v>90</v>
      </c>
      <c r="D899">
        <v>89.930404663000004</v>
      </c>
      <c r="E899">
        <v>30</v>
      </c>
      <c r="F899">
        <v>27.309329987000002</v>
      </c>
      <c r="G899">
        <v>1382.7937012</v>
      </c>
      <c r="H899">
        <v>1370.0026855000001</v>
      </c>
      <c r="I899">
        <v>1270.1390381000001</v>
      </c>
      <c r="J899">
        <v>1241.7951660000001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430.49041299999999</v>
      </c>
      <c r="B900" s="1">
        <f>DATE(2011,7,5) + TIME(11,46,11)</f>
        <v>40729.490405092591</v>
      </c>
      <c r="C900">
        <v>90</v>
      </c>
      <c r="D900">
        <v>89.930419921999999</v>
      </c>
      <c r="E900">
        <v>30</v>
      </c>
      <c r="F900">
        <v>27.27504158</v>
      </c>
      <c r="G900">
        <v>1382.7264404</v>
      </c>
      <c r="H900">
        <v>1369.9448242000001</v>
      </c>
      <c r="I900">
        <v>1270.1170654</v>
      </c>
      <c r="J900">
        <v>1241.7540283000001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431.42313000000001</v>
      </c>
      <c r="B901" s="1">
        <f>DATE(2011,7,6) + TIME(10,9,18)</f>
        <v>40730.423125000001</v>
      </c>
      <c r="C901">
        <v>90</v>
      </c>
      <c r="D901">
        <v>89.930442810000002</v>
      </c>
      <c r="E901">
        <v>30</v>
      </c>
      <c r="F901">
        <v>27.240182876999999</v>
      </c>
      <c r="G901">
        <v>1382.6590576000001</v>
      </c>
      <c r="H901">
        <v>1369.8867187999999</v>
      </c>
      <c r="I901">
        <v>1270.0944824000001</v>
      </c>
      <c r="J901">
        <v>1241.7115478999999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432.36547000000002</v>
      </c>
      <c r="B902" s="1">
        <f>DATE(2011,7,7) + TIME(8,46,16)</f>
        <v>40731.36546296296</v>
      </c>
      <c r="C902">
        <v>90</v>
      </c>
      <c r="D902">
        <v>89.930465698000006</v>
      </c>
      <c r="E902">
        <v>30</v>
      </c>
      <c r="F902">
        <v>27.204830170000001</v>
      </c>
      <c r="G902">
        <v>1382.5911865</v>
      </c>
      <c r="H902">
        <v>1369.8283690999999</v>
      </c>
      <c r="I902">
        <v>1270.0711670000001</v>
      </c>
      <c r="J902">
        <v>1241.6676024999999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433.31290200000001</v>
      </c>
      <c r="B903" s="1">
        <f>DATE(2011,7,8) + TIME(7,30,34)</f>
        <v>40732.312893518516</v>
      </c>
      <c r="C903">
        <v>90</v>
      </c>
      <c r="D903">
        <v>89.930488585999996</v>
      </c>
      <c r="E903">
        <v>30</v>
      </c>
      <c r="F903">
        <v>27.169111252</v>
      </c>
      <c r="G903">
        <v>1382.5234375</v>
      </c>
      <c r="H903">
        <v>1369.7700195</v>
      </c>
      <c r="I903">
        <v>1270.0473632999999</v>
      </c>
      <c r="J903">
        <v>1241.6225586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434.26705700000002</v>
      </c>
      <c r="B904" s="1">
        <f>DATE(2011,7,9) + TIME(6,24,33)</f>
        <v>40733.267048611109</v>
      </c>
      <c r="C904">
        <v>90</v>
      </c>
      <c r="D904">
        <v>89.930511475000003</v>
      </c>
      <c r="E904">
        <v>30</v>
      </c>
      <c r="F904">
        <v>27.133068085000001</v>
      </c>
      <c r="G904">
        <v>1382.4559326000001</v>
      </c>
      <c r="H904">
        <v>1369.7117920000001</v>
      </c>
      <c r="I904">
        <v>1270.0230713000001</v>
      </c>
      <c r="J904">
        <v>1241.5764160000001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435.22955100000001</v>
      </c>
      <c r="B905" s="1">
        <f>DATE(2011,7,10) + TIME(5,30,33)</f>
        <v>40734.229548611111</v>
      </c>
      <c r="C905">
        <v>90</v>
      </c>
      <c r="D905">
        <v>89.930534363000007</v>
      </c>
      <c r="E905">
        <v>30</v>
      </c>
      <c r="F905">
        <v>27.096691132</v>
      </c>
      <c r="G905">
        <v>1382.3886719</v>
      </c>
      <c r="H905">
        <v>1369.6536865</v>
      </c>
      <c r="I905">
        <v>1269.9984131000001</v>
      </c>
      <c r="J905">
        <v>1241.5291748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436.20210700000001</v>
      </c>
      <c r="B906" s="1">
        <f>DATE(2011,7,11) + TIME(4,51,2)</f>
        <v>40735.202106481483</v>
      </c>
      <c r="C906">
        <v>90</v>
      </c>
      <c r="D906">
        <v>89.930557250999996</v>
      </c>
      <c r="E906">
        <v>30</v>
      </c>
      <c r="F906">
        <v>27.059944153</v>
      </c>
      <c r="G906">
        <v>1382.3214111</v>
      </c>
      <c r="H906">
        <v>1369.5955810999999</v>
      </c>
      <c r="I906">
        <v>1269.9731445</v>
      </c>
      <c r="J906">
        <v>1241.4807129000001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437.185969</v>
      </c>
      <c r="B907" s="1">
        <f>DATE(2011,7,12) + TIME(4,27,47)</f>
        <v>40736.185960648145</v>
      </c>
      <c r="C907">
        <v>90</v>
      </c>
      <c r="D907">
        <v>89.930580139</v>
      </c>
      <c r="E907">
        <v>30</v>
      </c>
      <c r="F907">
        <v>27.022787094000002</v>
      </c>
      <c r="G907">
        <v>1382.2541504000001</v>
      </c>
      <c r="H907">
        <v>1369.5373535000001</v>
      </c>
      <c r="I907">
        <v>1269.9473877</v>
      </c>
      <c r="J907">
        <v>1241.4309082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438.18032099999999</v>
      </c>
      <c r="B908" s="1">
        <f>DATE(2011,7,13) + TIME(4,19,39)</f>
        <v>40737.180312500001</v>
      </c>
      <c r="C908">
        <v>90</v>
      </c>
      <c r="D908">
        <v>89.930610657000003</v>
      </c>
      <c r="E908">
        <v>30</v>
      </c>
      <c r="F908">
        <v>26.985216140999999</v>
      </c>
      <c r="G908">
        <v>1382.1867675999999</v>
      </c>
      <c r="H908">
        <v>1369.4790039</v>
      </c>
      <c r="I908">
        <v>1269.9210204999999</v>
      </c>
      <c r="J908">
        <v>1241.3797606999999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439.18725899999998</v>
      </c>
      <c r="B909" s="1">
        <f>DATE(2011,7,14) + TIME(4,29,39)</f>
        <v>40738.187256944446</v>
      </c>
      <c r="C909">
        <v>90</v>
      </c>
      <c r="D909">
        <v>89.930633545000006</v>
      </c>
      <c r="E909">
        <v>30</v>
      </c>
      <c r="F909">
        <v>26.947198868000001</v>
      </c>
      <c r="G909">
        <v>1382.1193848</v>
      </c>
      <c r="H909">
        <v>1369.4206543</v>
      </c>
      <c r="I909">
        <v>1269.8941649999999</v>
      </c>
      <c r="J909">
        <v>1241.3272704999999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440.20884100000001</v>
      </c>
      <c r="B910" s="1">
        <f>DATE(2011,7,15) + TIME(5,0,43)</f>
        <v>40739.208831018521</v>
      </c>
      <c r="C910">
        <v>90</v>
      </c>
      <c r="D910">
        <v>89.930664062000005</v>
      </c>
      <c r="E910">
        <v>30</v>
      </c>
      <c r="F910">
        <v>26.908681869999999</v>
      </c>
      <c r="G910">
        <v>1382.0517577999999</v>
      </c>
      <c r="H910">
        <v>1369.3619385</v>
      </c>
      <c r="I910">
        <v>1269.8665771000001</v>
      </c>
      <c r="J910">
        <v>1241.2733154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441.24565100000001</v>
      </c>
      <c r="B911" s="1">
        <f>DATE(2011,7,16) + TIME(5,53,44)</f>
        <v>40740.245648148149</v>
      </c>
      <c r="C911">
        <v>90</v>
      </c>
      <c r="D911">
        <v>89.930694579999994</v>
      </c>
      <c r="E911">
        <v>30</v>
      </c>
      <c r="F911">
        <v>26.869630814000001</v>
      </c>
      <c r="G911">
        <v>1381.9837646000001</v>
      </c>
      <c r="H911">
        <v>1369.3029785000001</v>
      </c>
      <c r="I911">
        <v>1269.8383789</v>
      </c>
      <c r="J911">
        <v>1241.2177733999999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442.290053</v>
      </c>
      <c r="B912" s="1">
        <f>DATE(2011,7,17) + TIME(6,57,40)</f>
        <v>40741.290046296293</v>
      </c>
      <c r="C912">
        <v>90</v>
      </c>
      <c r="D912">
        <v>89.930725097999996</v>
      </c>
      <c r="E912">
        <v>30</v>
      </c>
      <c r="F912">
        <v>26.830169678000001</v>
      </c>
      <c r="G912">
        <v>1381.9154053</v>
      </c>
      <c r="H912">
        <v>1369.2436522999999</v>
      </c>
      <c r="I912">
        <v>1269.8095702999999</v>
      </c>
      <c r="J912">
        <v>1241.1606445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443.34360299999997</v>
      </c>
      <c r="B913" s="1">
        <f>DATE(2011,7,18) + TIME(8,14,47)</f>
        <v>40742.343599537038</v>
      </c>
      <c r="C913">
        <v>90</v>
      </c>
      <c r="D913">
        <v>89.930755614999995</v>
      </c>
      <c r="E913">
        <v>30</v>
      </c>
      <c r="F913">
        <v>26.790355682000001</v>
      </c>
      <c r="G913">
        <v>1381.847168</v>
      </c>
      <c r="H913">
        <v>1369.1843262</v>
      </c>
      <c r="I913">
        <v>1269.7802733999999</v>
      </c>
      <c r="J913">
        <v>1241.1021728999999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444.40617300000002</v>
      </c>
      <c r="B914" s="1">
        <f>DATE(2011,7,19) + TIME(9,44,53)</f>
        <v>40743.406168981484</v>
      </c>
      <c r="C914">
        <v>90</v>
      </c>
      <c r="D914">
        <v>89.930786132999998</v>
      </c>
      <c r="E914">
        <v>30</v>
      </c>
      <c r="F914">
        <v>26.750225066999999</v>
      </c>
      <c r="G914">
        <v>1381.7790527</v>
      </c>
      <c r="H914">
        <v>1369.125</v>
      </c>
      <c r="I914">
        <v>1269.7503661999999</v>
      </c>
      <c r="J914">
        <v>1241.0424805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445.47610700000001</v>
      </c>
      <c r="B915" s="1">
        <f>DATE(2011,7,20) + TIME(11,25,35)</f>
        <v>40744.476099537038</v>
      </c>
      <c r="C915">
        <v>90</v>
      </c>
      <c r="D915">
        <v>89.930816649999997</v>
      </c>
      <c r="E915">
        <v>30</v>
      </c>
      <c r="F915">
        <v>26.709831238</v>
      </c>
      <c r="G915">
        <v>1381.7110596</v>
      </c>
      <c r="H915">
        <v>1369.0656738</v>
      </c>
      <c r="I915">
        <v>1269.7200928</v>
      </c>
      <c r="J915">
        <v>1240.9813231999999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446.55152600000002</v>
      </c>
      <c r="B916" s="1">
        <f>DATE(2011,7,21) + TIME(13,14,11)</f>
        <v>40745.551516203705</v>
      </c>
      <c r="C916">
        <v>90</v>
      </c>
      <c r="D916">
        <v>89.930847168</v>
      </c>
      <c r="E916">
        <v>30</v>
      </c>
      <c r="F916">
        <v>26.669246674</v>
      </c>
      <c r="G916">
        <v>1381.6430664</v>
      </c>
      <c r="H916">
        <v>1369.0064697</v>
      </c>
      <c r="I916">
        <v>1269.6894531</v>
      </c>
      <c r="J916">
        <v>1240.9190673999999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447.63427000000001</v>
      </c>
      <c r="B917" s="1">
        <f>DATE(2011,7,22) + TIME(15,13,20)</f>
        <v>40746.634259259263</v>
      </c>
      <c r="C917">
        <v>90</v>
      </c>
      <c r="D917">
        <v>89.930885314999998</v>
      </c>
      <c r="E917">
        <v>30</v>
      </c>
      <c r="F917">
        <v>26.628492354999999</v>
      </c>
      <c r="G917">
        <v>1381.5754394999999</v>
      </c>
      <c r="H917">
        <v>1368.9475098</v>
      </c>
      <c r="I917">
        <v>1269.6583252</v>
      </c>
      <c r="J917">
        <v>1240.8557129000001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448.725459</v>
      </c>
      <c r="B918" s="1">
        <f>DATE(2011,7,23) + TIME(17,24,39)</f>
        <v>40747.725451388891</v>
      </c>
      <c r="C918">
        <v>90</v>
      </c>
      <c r="D918">
        <v>89.930915833</v>
      </c>
      <c r="E918">
        <v>30</v>
      </c>
      <c r="F918">
        <v>26.587566376000002</v>
      </c>
      <c r="G918">
        <v>1381.5079346</v>
      </c>
      <c r="H918">
        <v>1368.8884277</v>
      </c>
      <c r="I918">
        <v>1269.6269531</v>
      </c>
      <c r="J918">
        <v>1240.7911377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449.82456000000002</v>
      </c>
      <c r="B919" s="1">
        <f>DATE(2011,7,24) + TIME(19,47,21)</f>
        <v>40748.824548611112</v>
      </c>
      <c r="C919">
        <v>90</v>
      </c>
      <c r="D919">
        <v>89.930953978999995</v>
      </c>
      <c r="E919">
        <v>30</v>
      </c>
      <c r="F919">
        <v>26.546487807999998</v>
      </c>
      <c r="G919">
        <v>1381.4405518000001</v>
      </c>
      <c r="H919">
        <v>1368.8295897999999</v>
      </c>
      <c r="I919">
        <v>1269.5952147999999</v>
      </c>
      <c r="J919">
        <v>1240.7253418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450.93344500000001</v>
      </c>
      <c r="B920" s="1">
        <f>DATE(2011,7,25) + TIME(22,24,9)</f>
        <v>40749.933437500003</v>
      </c>
      <c r="C920">
        <v>90</v>
      </c>
      <c r="D920">
        <v>89.930992126000007</v>
      </c>
      <c r="E920">
        <v>30</v>
      </c>
      <c r="F920">
        <v>26.505250930999999</v>
      </c>
      <c r="G920">
        <v>1381.3731689000001</v>
      </c>
      <c r="H920">
        <v>1368.7706298999999</v>
      </c>
      <c r="I920">
        <v>1269.5631103999999</v>
      </c>
      <c r="J920">
        <v>1240.6583252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452.05400200000003</v>
      </c>
      <c r="B921" s="1">
        <f>DATE(2011,7,27) + TIME(1,17,45)</f>
        <v>40751.053993055553</v>
      </c>
      <c r="C921">
        <v>90</v>
      </c>
      <c r="D921">
        <v>89.931022643999995</v>
      </c>
      <c r="E921">
        <v>30</v>
      </c>
      <c r="F921">
        <v>26.463832855</v>
      </c>
      <c r="G921">
        <v>1381.3059082</v>
      </c>
      <c r="H921">
        <v>1368.7116699000001</v>
      </c>
      <c r="I921">
        <v>1269.5306396000001</v>
      </c>
      <c r="J921">
        <v>1240.5902100000001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453.188244</v>
      </c>
      <c r="B922" s="1">
        <f>DATE(2011,7,28) + TIME(4,31,4)</f>
        <v>40752.188240740739</v>
      </c>
      <c r="C922">
        <v>90</v>
      </c>
      <c r="D922">
        <v>89.931060790999993</v>
      </c>
      <c r="E922">
        <v>30</v>
      </c>
      <c r="F922">
        <v>26.422206879000001</v>
      </c>
      <c r="G922">
        <v>1381.2384033000001</v>
      </c>
      <c r="H922">
        <v>1368.6525879000001</v>
      </c>
      <c r="I922">
        <v>1269.4978027</v>
      </c>
      <c r="J922">
        <v>1240.5206298999999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454.33906000000002</v>
      </c>
      <c r="B923" s="1">
        <f>DATE(2011,7,29) + TIME(8,8,14)</f>
        <v>40753.339050925926</v>
      </c>
      <c r="C923">
        <v>90</v>
      </c>
      <c r="D923">
        <v>89.931106567</v>
      </c>
      <c r="E923">
        <v>30</v>
      </c>
      <c r="F923">
        <v>26.380331039000001</v>
      </c>
      <c r="G923">
        <v>1381.1707764</v>
      </c>
      <c r="H923">
        <v>1368.5931396000001</v>
      </c>
      <c r="I923">
        <v>1269.4645995999999</v>
      </c>
      <c r="J923">
        <v>1240.4495850000001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455.49901799999998</v>
      </c>
      <c r="B924" s="1">
        <f>DATE(2011,7,30) + TIME(11,58,35)</f>
        <v>40754.499016203707</v>
      </c>
      <c r="C924">
        <v>90</v>
      </c>
      <c r="D924">
        <v>89.931144713999998</v>
      </c>
      <c r="E924">
        <v>30</v>
      </c>
      <c r="F924">
        <v>26.338315964</v>
      </c>
      <c r="G924">
        <v>1381.1026611</v>
      </c>
      <c r="H924">
        <v>1368.5333252</v>
      </c>
      <c r="I924">
        <v>1269.4309082</v>
      </c>
      <c r="J924">
        <v>1240.3771973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456.66630500000002</v>
      </c>
      <c r="B925" s="1">
        <f>DATE(2011,7,31) + TIME(15,59,28)</f>
        <v>40755.666296296295</v>
      </c>
      <c r="C925">
        <v>90</v>
      </c>
      <c r="D925">
        <v>89.931182860999996</v>
      </c>
      <c r="E925">
        <v>30</v>
      </c>
      <c r="F925">
        <v>26.296304703000001</v>
      </c>
      <c r="G925">
        <v>1381.034668</v>
      </c>
      <c r="H925">
        <v>1368.4735106999999</v>
      </c>
      <c r="I925">
        <v>1269.3969727000001</v>
      </c>
      <c r="J925">
        <v>1240.3035889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457</v>
      </c>
      <c r="B926" s="1">
        <f>DATE(2011,8,1) + TIME(0,0,0)</f>
        <v>40756</v>
      </c>
      <c r="C926">
        <v>90</v>
      </c>
      <c r="D926">
        <v>89.931182860999996</v>
      </c>
      <c r="E926">
        <v>30</v>
      </c>
      <c r="F926">
        <v>26.276222228999998</v>
      </c>
      <c r="G926">
        <v>1380.9672852000001</v>
      </c>
      <c r="H926">
        <v>1368.4141846</v>
      </c>
      <c r="I926">
        <v>1269.364624</v>
      </c>
      <c r="J926">
        <v>1240.2462158000001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458.17665399999998</v>
      </c>
      <c r="B927" s="1">
        <f>DATE(2011,8,2) + TIME(4,14,22)</f>
        <v>40757.17664351852</v>
      </c>
      <c r="C927">
        <v>90</v>
      </c>
      <c r="D927">
        <v>89.931236267000003</v>
      </c>
      <c r="E927">
        <v>30</v>
      </c>
      <c r="F927">
        <v>26.239013671999999</v>
      </c>
      <c r="G927">
        <v>1380.9470214999999</v>
      </c>
      <c r="H927">
        <v>1368.3963623</v>
      </c>
      <c r="I927">
        <v>1269.3526611</v>
      </c>
      <c r="J927">
        <v>1240.2041016000001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459.36861299999998</v>
      </c>
      <c r="B928" s="1">
        <f>DATE(2011,8,3) + TIME(8,50,48)</f>
        <v>40758.368611111109</v>
      </c>
      <c r="C928">
        <v>90</v>
      </c>
      <c r="D928">
        <v>89.931282042999996</v>
      </c>
      <c r="E928">
        <v>30</v>
      </c>
      <c r="F928">
        <v>26.199247360000001</v>
      </c>
      <c r="G928">
        <v>1380.8797606999999</v>
      </c>
      <c r="H928">
        <v>1368.3370361</v>
      </c>
      <c r="I928">
        <v>1269.3190918</v>
      </c>
      <c r="J928">
        <v>1240.1304932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460.57547899999997</v>
      </c>
      <c r="B929" s="1">
        <f>DATE(2011,8,4) + TIME(13,48,41)</f>
        <v>40759.575474537036</v>
      </c>
      <c r="C929">
        <v>90</v>
      </c>
      <c r="D929">
        <v>89.931320189999994</v>
      </c>
      <c r="E929">
        <v>30</v>
      </c>
      <c r="F929">
        <v>26.158409119000002</v>
      </c>
      <c r="G929">
        <v>1380.8116454999999</v>
      </c>
      <c r="H929">
        <v>1368.2769774999999</v>
      </c>
      <c r="I929">
        <v>1269.2850341999999</v>
      </c>
      <c r="J929">
        <v>1240.0544434000001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461.79033800000002</v>
      </c>
      <c r="B930" s="1">
        <f>DATE(2011,8,5) + TIME(18,58,5)</f>
        <v>40760.790335648147</v>
      </c>
      <c r="C930">
        <v>90</v>
      </c>
      <c r="D930">
        <v>89.931365967000005</v>
      </c>
      <c r="E930">
        <v>30</v>
      </c>
      <c r="F930">
        <v>26.117296219</v>
      </c>
      <c r="G930">
        <v>1380.7432861</v>
      </c>
      <c r="H930">
        <v>1368.2166748</v>
      </c>
      <c r="I930">
        <v>1269.2508545000001</v>
      </c>
      <c r="J930">
        <v>1239.9768065999999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463.014884</v>
      </c>
      <c r="B931" s="1">
        <f>DATE(2011,8,7) + TIME(0,21,25)</f>
        <v>40762.014872685184</v>
      </c>
      <c r="C931">
        <v>90</v>
      </c>
      <c r="D931">
        <v>89.931411742999998</v>
      </c>
      <c r="E931">
        <v>30</v>
      </c>
      <c r="F931">
        <v>26.076311110999999</v>
      </c>
      <c r="G931">
        <v>1380.6750488</v>
      </c>
      <c r="H931">
        <v>1368.1563721</v>
      </c>
      <c r="I931">
        <v>1269.2166748</v>
      </c>
      <c r="J931">
        <v>1239.8983154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464.24586099999999</v>
      </c>
      <c r="B932" s="1">
        <f>DATE(2011,8,8) + TIME(5,54,2)</f>
        <v>40763.245856481481</v>
      </c>
      <c r="C932">
        <v>90</v>
      </c>
      <c r="D932">
        <v>89.931457519999995</v>
      </c>
      <c r="E932">
        <v>30</v>
      </c>
      <c r="F932">
        <v>26.035717009999999</v>
      </c>
      <c r="G932">
        <v>1380.6068115</v>
      </c>
      <c r="H932">
        <v>1368.0959473</v>
      </c>
      <c r="I932">
        <v>1269.1827393000001</v>
      </c>
      <c r="J932">
        <v>1239.8189697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465.48521</v>
      </c>
      <c r="B933" s="1">
        <f>DATE(2011,8,9) + TIME(11,38,42)</f>
        <v>40764.485208333332</v>
      </c>
      <c r="C933">
        <v>90</v>
      </c>
      <c r="D933">
        <v>89.931503296000002</v>
      </c>
      <c r="E933">
        <v>30</v>
      </c>
      <c r="F933">
        <v>25.995676040999999</v>
      </c>
      <c r="G933">
        <v>1380.5386963000001</v>
      </c>
      <c r="H933">
        <v>1368.0356445</v>
      </c>
      <c r="I933">
        <v>1269.1490478999999</v>
      </c>
      <c r="J933">
        <v>1239.7392577999999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466.73683599999998</v>
      </c>
      <c r="B934" s="1">
        <f>DATE(2011,8,10) + TIME(17,41,2)</f>
        <v>40765.736828703702</v>
      </c>
      <c r="C934">
        <v>90</v>
      </c>
      <c r="D934">
        <v>89.931549071999996</v>
      </c>
      <c r="E934">
        <v>30</v>
      </c>
      <c r="F934">
        <v>25.956251143999999</v>
      </c>
      <c r="G934">
        <v>1380.4707031</v>
      </c>
      <c r="H934">
        <v>1367.9753418</v>
      </c>
      <c r="I934">
        <v>1269.1156006000001</v>
      </c>
      <c r="J934">
        <v>1239.6591797000001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468.00291700000002</v>
      </c>
      <c r="B935" s="1">
        <f>DATE(2011,8,12) + TIME(0,4,12)</f>
        <v>40767.002916666665</v>
      </c>
      <c r="C935">
        <v>90</v>
      </c>
      <c r="D935">
        <v>89.931602478000002</v>
      </c>
      <c r="E935">
        <v>30</v>
      </c>
      <c r="F935">
        <v>25.917495727999999</v>
      </c>
      <c r="G935">
        <v>1380.4025879000001</v>
      </c>
      <c r="H935">
        <v>1367.9147949000001</v>
      </c>
      <c r="I935">
        <v>1269.0826416</v>
      </c>
      <c r="J935">
        <v>1239.5784911999999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469.279089</v>
      </c>
      <c r="B936" s="1">
        <f>DATE(2011,8,13) + TIME(6,41,53)</f>
        <v>40768.279085648152</v>
      </c>
      <c r="C936">
        <v>90</v>
      </c>
      <c r="D936">
        <v>89.931648253999995</v>
      </c>
      <c r="E936">
        <v>30</v>
      </c>
      <c r="F936">
        <v>25.879562377999999</v>
      </c>
      <c r="G936">
        <v>1380.3341064000001</v>
      </c>
      <c r="H936">
        <v>1367.8540039</v>
      </c>
      <c r="I936">
        <v>1269.0500488</v>
      </c>
      <c r="J936">
        <v>1239.4974365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470.56154500000002</v>
      </c>
      <c r="B937" s="1">
        <f>DATE(2011,8,14) + TIME(13,28,37)</f>
        <v>40769.561539351853</v>
      </c>
      <c r="C937">
        <v>90</v>
      </c>
      <c r="D937">
        <v>89.931701660000002</v>
      </c>
      <c r="E937">
        <v>30</v>
      </c>
      <c r="F937">
        <v>25.842679977</v>
      </c>
      <c r="G937">
        <v>1380.2655029</v>
      </c>
      <c r="H937">
        <v>1367.7930908000001</v>
      </c>
      <c r="I937">
        <v>1269.0179443</v>
      </c>
      <c r="J937">
        <v>1239.4162598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471.85299099999997</v>
      </c>
      <c r="B938" s="1">
        <f>DATE(2011,8,15) + TIME(20,28,18)</f>
        <v>40770.852986111109</v>
      </c>
      <c r="C938">
        <v>90</v>
      </c>
      <c r="D938">
        <v>89.931747436999999</v>
      </c>
      <c r="E938">
        <v>30</v>
      </c>
      <c r="F938">
        <v>25.807029724</v>
      </c>
      <c r="G938">
        <v>1380.1971435999999</v>
      </c>
      <c r="H938">
        <v>1367.7321777</v>
      </c>
      <c r="I938">
        <v>1268.9868164</v>
      </c>
      <c r="J938">
        <v>1239.3353271000001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473.155641</v>
      </c>
      <c r="B939" s="1">
        <f>DATE(2011,8,17) + TIME(3,44,7)</f>
        <v>40772.155636574076</v>
      </c>
      <c r="C939">
        <v>90</v>
      </c>
      <c r="D939">
        <v>89.931800842000001</v>
      </c>
      <c r="E939">
        <v>30</v>
      </c>
      <c r="F939">
        <v>25.772747039999999</v>
      </c>
      <c r="G939">
        <v>1380.1287841999999</v>
      </c>
      <c r="H939">
        <v>1367.6712646000001</v>
      </c>
      <c r="I939">
        <v>1268.9562988</v>
      </c>
      <c r="J939">
        <v>1239.2546387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473.807863</v>
      </c>
      <c r="B940" s="1">
        <f>DATE(2011,8,17) + TIME(19,23,19)</f>
        <v>40772.807858796295</v>
      </c>
      <c r="C940">
        <v>90</v>
      </c>
      <c r="D940">
        <v>89.931816100999995</v>
      </c>
      <c r="E940">
        <v>30</v>
      </c>
      <c r="F940">
        <v>25.74949646</v>
      </c>
      <c r="G940">
        <v>1380.0603027</v>
      </c>
      <c r="H940">
        <v>1367.6101074000001</v>
      </c>
      <c r="I940">
        <v>1268.9299315999999</v>
      </c>
      <c r="J940">
        <v>1239.1862793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475.09073699999999</v>
      </c>
      <c r="B941" s="1">
        <f>DATE(2011,8,19) + TIME(2,10,39)</f>
        <v>40774.090729166666</v>
      </c>
      <c r="C941">
        <v>90</v>
      </c>
      <c r="D941">
        <v>89.931877135999997</v>
      </c>
      <c r="E941">
        <v>30</v>
      </c>
      <c r="F941">
        <v>25.722114563000002</v>
      </c>
      <c r="G941">
        <v>1380.0258789</v>
      </c>
      <c r="H941">
        <v>1367.5793457</v>
      </c>
      <c r="I941">
        <v>1268.9113769999999</v>
      </c>
      <c r="J941">
        <v>1239.1308594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476.38536599999998</v>
      </c>
      <c r="B942" s="1">
        <f>DATE(2011,8,20) + TIME(9,14,55)</f>
        <v>40775.385358796295</v>
      </c>
      <c r="C942">
        <v>90</v>
      </c>
      <c r="D942">
        <v>89.931930542000003</v>
      </c>
      <c r="E942">
        <v>30</v>
      </c>
      <c r="F942">
        <v>25.694374084</v>
      </c>
      <c r="G942">
        <v>1379.9594727000001</v>
      </c>
      <c r="H942">
        <v>1367.5200195</v>
      </c>
      <c r="I942">
        <v>1268.8850098</v>
      </c>
      <c r="J942">
        <v>1239.0560303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477.68321900000001</v>
      </c>
      <c r="B943" s="1">
        <f>DATE(2011,8,21) + TIME(16,23,50)</f>
        <v>40776.683217592596</v>
      </c>
      <c r="C943">
        <v>90</v>
      </c>
      <c r="D943">
        <v>89.931983947999996</v>
      </c>
      <c r="E943">
        <v>30</v>
      </c>
      <c r="F943">
        <v>25.667825699000002</v>
      </c>
      <c r="G943">
        <v>1379.8924560999999</v>
      </c>
      <c r="H943">
        <v>1367.4600829999999</v>
      </c>
      <c r="I943">
        <v>1268.859375</v>
      </c>
      <c r="J943">
        <v>1238.9807129000001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478.98759699999999</v>
      </c>
      <c r="B944" s="1">
        <f>DATE(2011,8,22) + TIME(23,42,8)</f>
        <v>40777.987592592595</v>
      </c>
      <c r="C944">
        <v>90</v>
      </c>
      <c r="D944">
        <v>89.932029724000003</v>
      </c>
      <c r="E944">
        <v>30</v>
      </c>
      <c r="F944">
        <v>25.643247603999999</v>
      </c>
      <c r="G944">
        <v>1379.8256836</v>
      </c>
      <c r="H944">
        <v>1367.4003906</v>
      </c>
      <c r="I944">
        <v>1268.8349608999999</v>
      </c>
      <c r="J944">
        <v>1238.90625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479.64509700000002</v>
      </c>
      <c r="B945" s="1">
        <f>DATE(2011,8,23) + TIME(15,28,56)</f>
        <v>40778.645092592589</v>
      </c>
      <c r="C945">
        <v>90</v>
      </c>
      <c r="D945">
        <v>89.932044982999997</v>
      </c>
      <c r="E945">
        <v>30</v>
      </c>
      <c r="F945">
        <v>25.627426147000001</v>
      </c>
      <c r="G945">
        <v>1379.7590332</v>
      </c>
      <c r="H945">
        <v>1367.3405762</v>
      </c>
      <c r="I945">
        <v>1268.8160399999999</v>
      </c>
      <c r="J945">
        <v>1238.8444824000001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480.301514</v>
      </c>
      <c r="B946" s="1">
        <f>DATE(2011,8,24) + TIME(7,14,10)</f>
        <v>40779.301504629628</v>
      </c>
      <c r="C946">
        <v>90</v>
      </c>
      <c r="D946">
        <v>89.932075499999996</v>
      </c>
      <c r="E946">
        <v>30</v>
      </c>
      <c r="F946">
        <v>25.614645004</v>
      </c>
      <c r="G946">
        <v>1379.7249756000001</v>
      </c>
      <c r="H946">
        <v>1367.3099365</v>
      </c>
      <c r="I946">
        <v>1268.8033447</v>
      </c>
      <c r="J946">
        <v>1238.8029785000001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480.95793099999997</v>
      </c>
      <c r="B947" s="1">
        <f>DATE(2011,8,24) + TIME(22,59,25)</f>
        <v>40779.957928240743</v>
      </c>
      <c r="C947">
        <v>90</v>
      </c>
      <c r="D947">
        <v>89.932098389000004</v>
      </c>
      <c r="E947">
        <v>30</v>
      </c>
      <c r="F947">
        <v>25.603960037</v>
      </c>
      <c r="G947">
        <v>1379.6916504000001</v>
      </c>
      <c r="H947">
        <v>1367.2799072</v>
      </c>
      <c r="I947">
        <v>1268.7918701000001</v>
      </c>
      <c r="J947">
        <v>1238.7644043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481.614349</v>
      </c>
      <c r="B948" s="1">
        <f>DATE(2011,8,25) + TIME(14,44,39)</f>
        <v>40780.614340277774</v>
      </c>
      <c r="C948">
        <v>90</v>
      </c>
      <c r="D948">
        <v>89.932121276999993</v>
      </c>
      <c r="E948">
        <v>30</v>
      </c>
      <c r="F948">
        <v>25.594856262</v>
      </c>
      <c r="G948">
        <v>1379.6584473</v>
      </c>
      <c r="H948">
        <v>1367.2501221</v>
      </c>
      <c r="I948">
        <v>1268.7814940999999</v>
      </c>
      <c r="J948">
        <v>1238.7280272999999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482.27076599999998</v>
      </c>
      <c r="B949" s="1">
        <f>DATE(2011,8,26) + TIME(6,29,54)</f>
        <v>40781.27076388889</v>
      </c>
      <c r="C949">
        <v>90</v>
      </c>
      <c r="D949">
        <v>89.932151794000006</v>
      </c>
      <c r="E949">
        <v>30</v>
      </c>
      <c r="F949">
        <v>25.587059021000002</v>
      </c>
      <c r="G949">
        <v>1379.6252440999999</v>
      </c>
      <c r="H949">
        <v>1367.2202147999999</v>
      </c>
      <c r="I949">
        <v>1268.7718506000001</v>
      </c>
      <c r="J949">
        <v>1238.6929932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482.92718400000001</v>
      </c>
      <c r="B950" s="1">
        <f>DATE(2011,8,26) + TIME(22,15,8)</f>
        <v>40781.927175925928</v>
      </c>
      <c r="C950">
        <v>90</v>
      </c>
      <c r="D950">
        <v>89.932174683</v>
      </c>
      <c r="E950">
        <v>30</v>
      </c>
      <c r="F950">
        <v>25.580423355000001</v>
      </c>
      <c r="G950">
        <v>1379.5922852000001</v>
      </c>
      <c r="H950">
        <v>1367.1905518000001</v>
      </c>
      <c r="I950">
        <v>1268.7629394999999</v>
      </c>
      <c r="J950">
        <v>1238.6591797000001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483.58360099999999</v>
      </c>
      <c r="B951" s="1">
        <f>DATE(2011,8,27) + TIME(14,0,23)</f>
        <v>40782.583599537036</v>
      </c>
      <c r="C951">
        <v>90</v>
      </c>
      <c r="D951">
        <v>89.932205199999999</v>
      </c>
      <c r="E951">
        <v>30</v>
      </c>
      <c r="F951">
        <v>25.574888228999999</v>
      </c>
      <c r="G951">
        <v>1379.5593262</v>
      </c>
      <c r="H951">
        <v>1367.1608887</v>
      </c>
      <c r="I951">
        <v>1268.7546387</v>
      </c>
      <c r="J951">
        <v>1238.6263428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484.24001900000002</v>
      </c>
      <c r="B952" s="1">
        <f>DATE(2011,8,28) + TIME(5,45,37)</f>
        <v>40783.240011574075</v>
      </c>
      <c r="C952">
        <v>90</v>
      </c>
      <c r="D952">
        <v>89.932228088000002</v>
      </c>
      <c r="E952">
        <v>30</v>
      </c>
      <c r="F952">
        <v>25.570436478000001</v>
      </c>
      <c r="G952">
        <v>1379.5263672000001</v>
      </c>
      <c r="H952">
        <v>1367.1312256000001</v>
      </c>
      <c r="I952">
        <v>1268.7470702999999</v>
      </c>
      <c r="J952">
        <v>1238.5943603999999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484.89643599999999</v>
      </c>
      <c r="B953" s="1">
        <f>DATE(2011,8,28) + TIME(21,30,52)</f>
        <v>40783.896435185183</v>
      </c>
      <c r="C953">
        <v>90</v>
      </c>
      <c r="D953">
        <v>89.932258606000005</v>
      </c>
      <c r="E953">
        <v>30</v>
      </c>
      <c r="F953">
        <v>25.567073822000001</v>
      </c>
      <c r="G953">
        <v>1379.4936522999999</v>
      </c>
      <c r="H953">
        <v>1367.1016846</v>
      </c>
      <c r="I953">
        <v>1268.7398682</v>
      </c>
      <c r="J953">
        <v>1238.5632324000001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485.55273999999997</v>
      </c>
      <c r="B954" s="1">
        <f>DATE(2011,8,29) + TIME(13,15,56)</f>
        <v>40784.552731481483</v>
      </c>
      <c r="C954">
        <v>90</v>
      </c>
      <c r="D954">
        <v>89.932289123999993</v>
      </c>
      <c r="E954">
        <v>30</v>
      </c>
      <c r="F954">
        <v>25.564828873</v>
      </c>
      <c r="G954">
        <v>1379.4609375</v>
      </c>
      <c r="H954">
        <v>1367.0722656</v>
      </c>
      <c r="I954">
        <v>1268.7333983999999</v>
      </c>
      <c r="J954">
        <v>1238.5330810999999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486.20857100000001</v>
      </c>
      <c r="B955" s="1">
        <f>DATE(2011,8,30) + TIME(5,0,20)</f>
        <v>40785.208564814813</v>
      </c>
      <c r="C955">
        <v>90</v>
      </c>
      <c r="D955">
        <v>89.932312011999997</v>
      </c>
      <c r="E955">
        <v>30</v>
      </c>
      <c r="F955">
        <v>25.563734055000001</v>
      </c>
      <c r="G955">
        <v>1379.4283447</v>
      </c>
      <c r="H955">
        <v>1367.0428466999999</v>
      </c>
      <c r="I955">
        <v>1268.7275391000001</v>
      </c>
      <c r="J955">
        <v>1238.5036620999999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486.86403300000001</v>
      </c>
      <c r="B956" s="1">
        <f>DATE(2011,8,30) + TIME(20,44,12)</f>
        <v>40785.864027777781</v>
      </c>
      <c r="C956">
        <v>90</v>
      </c>
      <c r="D956">
        <v>89.932342528999996</v>
      </c>
      <c r="E956">
        <v>30</v>
      </c>
      <c r="F956">
        <v>25.563831328999999</v>
      </c>
      <c r="G956">
        <v>1379.395874</v>
      </c>
      <c r="H956">
        <v>1367.0134277</v>
      </c>
      <c r="I956">
        <v>1268.7222899999999</v>
      </c>
      <c r="J956">
        <v>1238.4753418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488</v>
      </c>
      <c r="B957" s="1">
        <f>DATE(2011,9,1) + TIME(0,0,0)</f>
        <v>40787</v>
      </c>
      <c r="C957">
        <v>90</v>
      </c>
      <c r="D957">
        <v>89.932395935000002</v>
      </c>
      <c r="E957">
        <v>30</v>
      </c>
      <c r="F957">
        <v>25.565580367999999</v>
      </c>
      <c r="G957">
        <v>1379.3636475000001</v>
      </c>
      <c r="H957">
        <v>1366.984375</v>
      </c>
      <c r="I957">
        <v>1268.7141113</v>
      </c>
      <c r="J957">
        <v>1238.4421387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488.65520299999997</v>
      </c>
      <c r="B958" s="1">
        <f>DATE(2011,9,1) + TIME(15,43,29)</f>
        <v>40787.65519675926</v>
      </c>
      <c r="C958">
        <v>90</v>
      </c>
      <c r="D958">
        <v>89.932418823000006</v>
      </c>
      <c r="E958">
        <v>30</v>
      </c>
      <c r="F958">
        <v>25.569398880000001</v>
      </c>
      <c r="G958">
        <v>1379.3079834</v>
      </c>
      <c r="H958">
        <v>1366.934082</v>
      </c>
      <c r="I958">
        <v>1268.713501</v>
      </c>
      <c r="J958">
        <v>1238.4068603999999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489.93531400000001</v>
      </c>
      <c r="B959" s="1">
        <f>DATE(2011,9,2) + TIME(22,26,51)</f>
        <v>40788.935312499998</v>
      </c>
      <c r="C959">
        <v>90</v>
      </c>
      <c r="D959">
        <v>89.932487488000007</v>
      </c>
      <c r="E959">
        <v>30</v>
      </c>
      <c r="F959">
        <v>25.576433181999999</v>
      </c>
      <c r="G959">
        <v>1379.2756348</v>
      </c>
      <c r="H959">
        <v>1366.9047852000001</v>
      </c>
      <c r="I959">
        <v>1268.7043457</v>
      </c>
      <c r="J959">
        <v>1238.3726807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491.22676799999999</v>
      </c>
      <c r="B960" s="1">
        <f>DATE(2011,9,4) + TIME(5,26,32)</f>
        <v>40790.226759259262</v>
      </c>
      <c r="C960">
        <v>90</v>
      </c>
      <c r="D960">
        <v>89.932540893999999</v>
      </c>
      <c r="E960">
        <v>30</v>
      </c>
      <c r="F960">
        <v>25.588977814</v>
      </c>
      <c r="G960">
        <v>1379.2132568</v>
      </c>
      <c r="H960">
        <v>1366.8483887</v>
      </c>
      <c r="I960">
        <v>1268.7020264</v>
      </c>
      <c r="J960">
        <v>1238.3302002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492.54657600000002</v>
      </c>
      <c r="B961" s="1">
        <f>DATE(2011,9,5) + TIME(13,7,4)</f>
        <v>40791.546574074076</v>
      </c>
      <c r="C961">
        <v>90</v>
      </c>
      <c r="D961">
        <v>89.932601929</v>
      </c>
      <c r="E961">
        <v>30</v>
      </c>
      <c r="F961">
        <v>25.607570647999999</v>
      </c>
      <c r="G961">
        <v>1379.1503906</v>
      </c>
      <c r="H961">
        <v>1366.7915039</v>
      </c>
      <c r="I961">
        <v>1268.7008057</v>
      </c>
      <c r="J961">
        <v>1238.2893065999999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493.22021100000001</v>
      </c>
      <c r="B962" s="1">
        <f>DATE(2011,9,6) + TIME(5,17,6)</f>
        <v>40792.220208333332</v>
      </c>
      <c r="C962">
        <v>90</v>
      </c>
      <c r="D962">
        <v>89.932617187999995</v>
      </c>
      <c r="E962">
        <v>30</v>
      </c>
      <c r="F962">
        <v>25.625862122000001</v>
      </c>
      <c r="G962">
        <v>1379.0864257999999</v>
      </c>
      <c r="H962">
        <v>1366.7333983999999</v>
      </c>
      <c r="I962">
        <v>1268.7097168</v>
      </c>
      <c r="J962">
        <v>1238.2601318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494.45146899999997</v>
      </c>
      <c r="B963" s="1">
        <f>DATE(2011,9,7) + TIME(10,50,6)</f>
        <v>40793.451458333337</v>
      </c>
      <c r="C963">
        <v>90</v>
      </c>
      <c r="D963">
        <v>89.932678222999996</v>
      </c>
      <c r="E963">
        <v>30</v>
      </c>
      <c r="F963">
        <v>25.650690079</v>
      </c>
      <c r="G963">
        <v>1379.0533447</v>
      </c>
      <c r="H963">
        <v>1366.7034911999999</v>
      </c>
      <c r="I963">
        <v>1268.7022704999999</v>
      </c>
      <c r="J963">
        <v>1238.2325439000001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495.77700199999998</v>
      </c>
      <c r="B964" s="1">
        <f>DATE(2011,9,8) + TIME(18,38,53)</f>
        <v>40794.777002314811</v>
      </c>
      <c r="C964">
        <v>90</v>
      </c>
      <c r="D964">
        <v>89.932739257999998</v>
      </c>
      <c r="E964">
        <v>30</v>
      </c>
      <c r="F964">
        <v>25.684360504000001</v>
      </c>
      <c r="G964">
        <v>1378.9942627</v>
      </c>
      <c r="H964">
        <v>1366.6497803</v>
      </c>
      <c r="I964">
        <v>1268.7077637</v>
      </c>
      <c r="J964">
        <v>1238.2048339999999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496.44163900000001</v>
      </c>
      <c r="B965" s="1">
        <f>DATE(2011,9,9) + TIME(10,35,57)</f>
        <v>40795.441631944443</v>
      </c>
      <c r="C965">
        <v>90</v>
      </c>
      <c r="D965">
        <v>89.932754517000006</v>
      </c>
      <c r="E965">
        <v>30</v>
      </c>
      <c r="F965">
        <v>25.715162277000001</v>
      </c>
      <c r="G965">
        <v>1378.9307861</v>
      </c>
      <c r="H965">
        <v>1366.5920410000001</v>
      </c>
      <c r="I965">
        <v>1268.7261963000001</v>
      </c>
      <c r="J965">
        <v>1238.1883545000001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497.68695000000002</v>
      </c>
      <c r="B966" s="1">
        <f>DATE(2011,9,10) + TIME(16,29,12)</f>
        <v>40796.686944444446</v>
      </c>
      <c r="C966">
        <v>90</v>
      </c>
      <c r="D966">
        <v>89.932815551999994</v>
      </c>
      <c r="E966">
        <v>30</v>
      </c>
      <c r="F966">
        <v>25.755784987999998</v>
      </c>
      <c r="G966">
        <v>1378.8984375</v>
      </c>
      <c r="H966">
        <v>1366.5626221</v>
      </c>
      <c r="I966">
        <v>1268.7208252</v>
      </c>
      <c r="J966">
        <v>1238.1697998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498.34189300000003</v>
      </c>
      <c r="B967" s="1">
        <f>DATE(2011,9,11) + TIME(8,12,19)</f>
        <v>40797.341886574075</v>
      </c>
      <c r="C967">
        <v>90</v>
      </c>
      <c r="D967">
        <v>89.932838439999998</v>
      </c>
      <c r="E967">
        <v>30</v>
      </c>
      <c r="F967">
        <v>25.793252944999999</v>
      </c>
      <c r="G967">
        <v>1378.8393555</v>
      </c>
      <c r="H967">
        <v>1366.5087891000001</v>
      </c>
      <c r="I967">
        <v>1268.7436522999999</v>
      </c>
      <c r="J967">
        <v>1238.1619873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499.57981100000001</v>
      </c>
      <c r="B968" s="1">
        <f>DATE(2011,9,12) + TIME(13,54,55)</f>
        <v>40798.57980324074</v>
      </c>
      <c r="C968">
        <v>90</v>
      </c>
      <c r="D968">
        <v>89.932899474999999</v>
      </c>
      <c r="E968">
        <v>30</v>
      </c>
      <c r="F968">
        <v>25.843038559</v>
      </c>
      <c r="G968">
        <v>1378.8077393000001</v>
      </c>
      <c r="H968">
        <v>1366.4799805</v>
      </c>
      <c r="I968">
        <v>1268.7404785000001</v>
      </c>
      <c r="J968">
        <v>1238.1502685999999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500.87417499999998</v>
      </c>
      <c r="B969" s="1">
        <f>DATE(2011,9,13) + TIME(20,58,48)</f>
        <v>40799.874166666668</v>
      </c>
      <c r="C969">
        <v>90</v>
      </c>
      <c r="D969">
        <v>89.932960510000001</v>
      </c>
      <c r="E969">
        <v>30</v>
      </c>
      <c r="F969">
        <v>25.906774520999999</v>
      </c>
      <c r="G969">
        <v>1378.7491454999999</v>
      </c>
      <c r="H969">
        <v>1366.4265137</v>
      </c>
      <c r="I969">
        <v>1268.7586670000001</v>
      </c>
      <c r="J969">
        <v>1238.145874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502.17195700000002</v>
      </c>
      <c r="B970" s="1">
        <f>DATE(2011,9,15) + TIME(4,7,37)</f>
        <v>40801.171956018516</v>
      </c>
      <c r="C970">
        <v>90</v>
      </c>
      <c r="D970">
        <v>89.933013915999993</v>
      </c>
      <c r="E970">
        <v>30</v>
      </c>
      <c r="F970">
        <v>25.983047485</v>
      </c>
      <c r="G970">
        <v>1378.6878661999999</v>
      </c>
      <c r="H970">
        <v>1366.3706055</v>
      </c>
      <c r="I970">
        <v>1268.7805175999999</v>
      </c>
      <c r="J970">
        <v>1238.1477050999999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503.47688399999998</v>
      </c>
      <c r="B971" s="1">
        <f>DATE(2011,9,16) + TIME(11,26,42)</f>
        <v>40802.476875</v>
      </c>
      <c r="C971">
        <v>90</v>
      </c>
      <c r="D971">
        <v>89.933074950999995</v>
      </c>
      <c r="E971">
        <v>30</v>
      </c>
      <c r="F971">
        <v>26.071016312000001</v>
      </c>
      <c r="G971">
        <v>1378.6265868999999</v>
      </c>
      <c r="H971">
        <v>1366.3145752</v>
      </c>
      <c r="I971">
        <v>1268.8049315999999</v>
      </c>
      <c r="J971">
        <v>1238.15625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504.13164399999999</v>
      </c>
      <c r="B972" s="1">
        <f>DATE(2011,9,17) + TIME(3,9,34)</f>
        <v>40803.131643518522</v>
      </c>
      <c r="C972">
        <v>90</v>
      </c>
      <c r="D972">
        <v>89.933090210000003</v>
      </c>
      <c r="E972">
        <v>30</v>
      </c>
      <c r="F972">
        <v>26.142650604</v>
      </c>
      <c r="G972">
        <v>1378.5653076000001</v>
      </c>
      <c r="H972">
        <v>1366.2585449000001</v>
      </c>
      <c r="I972">
        <v>1268.8459473</v>
      </c>
      <c r="J972">
        <v>1238.1756591999999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505.34677099999999</v>
      </c>
      <c r="B973" s="1">
        <f>DATE(2011,9,18) + TIME(8,19,20)</f>
        <v>40804.346759259257</v>
      </c>
      <c r="C973">
        <v>90</v>
      </c>
      <c r="D973">
        <v>89.933151245000005</v>
      </c>
      <c r="E973">
        <v>30</v>
      </c>
      <c r="F973">
        <v>26.232433318999998</v>
      </c>
      <c r="G973">
        <v>1378.5340576000001</v>
      </c>
      <c r="H973">
        <v>1366.2298584</v>
      </c>
      <c r="I973">
        <v>1268.8455810999999</v>
      </c>
      <c r="J973">
        <v>1238.1842041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506.63156600000002</v>
      </c>
      <c r="B974" s="1">
        <f>DATE(2011,9,19) + TIME(15,9,27)</f>
        <v>40805.631562499999</v>
      </c>
      <c r="C974">
        <v>90</v>
      </c>
      <c r="D974">
        <v>89.933212280000006</v>
      </c>
      <c r="E974">
        <v>30</v>
      </c>
      <c r="F974">
        <v>26.340534210000001</v>
      </c>
      <c r="G974">
        <v>1378.4774170000001</v>
      </c>
      <c r="H974">
        <v>1366.1779785000001</v>
      </c>
      <c r="I974">
        <v>1268.8765868999999</v>
      </c>
      <c r="J974">
        <v>1238.2105713000001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507.917306</v>
      </c>
      <c r="B975" s="1">
        <f>DATE(2011,9,20) + TIME(22,0,55)</f>
        <v>40806.917303240742</v>
      </c>
      <c r="C975">
        <v>90</v>
      </c>
      <c r="D975">
        <v>89.933265685999999</v>
      </c>
      <c r="E975">
        <v>30</v>
      </c>
      <c r="F975">
        <v>26.465007782000001</v>
      </c>
      <c r="G975">
        <v>1378.4174805</v>
      </c>
      <c r="H975">
        <v>1366.1230469</v>
      </c>
      <c r="I975">
        <v>1268.9130858999999</v>
      </c>
      <c r="J975">
        <v>1238.246582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509.20800600000001</v>
      </c>
      <c r="B976" s="1">
        <f>DATE(2011,9,22) + TIME(4,59,31)</f>
        <v>40808.207997685182</v>
      </c>
      <c r="C976">
        <v>90</v>
      </c>
      <c r="D976">
        <v>89.933326721</v>
      </c>
      <c r="E976">
        <v>30</v>
      </c>
      <c r="F976">
        <v>26.603942871000001</v>
      </c>
      <c r="G976">
        <v>1378.3576660000001</v>
      </c>
      <c r="H976">
        <v>1366.0681152</v>
      </c>
      <c r="I976">
        <v>1268.9519043</v>
      </c>
      <c r="J976">
        <v>1238.2908935999999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509.85824200000002</v>
      </c>
      <c r="B977" s="1">
        <f>DATE(2011,9,22) + TIME(20,35,52)</f>
        <v>40808.858240740738</v>
      </c>
      <c r="C977">
        <v>90</v>
      </c>
      <c r="D977">
        <v>89.933341979999994</v>
      </c>
      <c r="E977">
        <v>30</v>
      </c>
      <c r="F977">
        <v>26.714109421</v>
      </c>
      <c r="G977">
        <v>1378.2979736</v>
      </c>
      <c r="H977">
        <v>1366.0133057</v>
      </c>
      <c r="I977">
        <v>1269.0107422000001</v>
      </c>
      <c r="J977">
        <v>1238.3430175999999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511.06601799999999</v>
      </c>
      <c r="B978" s="1">
        <f>DATE(2011,9,24) + TIME(1,35,3)</f>
        <v>40810.066006944442</v>
      </c>
      <c r="C978">
        <v>90</v>
      </c>
      <c r="D978">
        <v>89.933403014999996</v>
      </c>
      <c r="E978">
        <v>30</v>
      </c>
      <c r="F978">
        <v>26.849910735999998</v>
      </c>
      <c r="G978">
        <v>1378.2673339999999</v>
      </c>
      <c r="H978">
        <v>1365.9849853999999</v>
      </c>
      <c r="I978">
        <v>1269.0135498</v>
      </c>
      <c r="J978">
        <v>1238.3765868999999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512.34026300000005</v>
      </c>
      <c r="B979" s="1">
        <f>DATE(2011,9,25) + TIME(8,9,58)</f>
        <v>40811.340254629627</v>
      </c>
      <c r="C979">
        <v>90</v>
      </c>
      <c r="D979">
        <v>89.933464049999998</v>
      </c>
      <c r="E979">
        <v>30</v>
      </c>
      <c r="F979">
        <v>27.009653091000001</v>
      </c>
      <c r="G979">
        <v>1378.2119141000001</v>
      </c>
      <c r="H979">
        <v>1365.9339600000001</v>
      </c>
      <c r="I979">
        <v>1269.0581055</v>
      </c>
      <c r="J979">
        <v>1238.4388428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513.61686399999996</v>
      </c>
      <c r="B980" s="1">
        <f>DATE(2011,9,26) + TIME(14,48,17)</f>
        <v>40812.616863425923</v>
      </c>
      <c r="C980">
        <v>90</v>
      </c>
      <c r="D980">
        <v>89.933517456000004</v>
      </c>
      <c r="E980">
        <v>30</v>
      </c>
      <c r="F980">
        <v>27.189495087000001</v>
      </c>
      <c r="G980">
        <v>1378.1533202999999</v>
      </c>
      <c r="H980">
        <v>1365.8801269999999</v>
      </c>
      <c r="I980">
        <v>1269.1085204999999</v>
      </c>
      <c r="J980">
        <v>1238.5130615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514.90036999999995</v>
      </c>
      <c r="B981" s="1">
        <f>DATE(2011,9,27) + TIME(21,36,31)</f>
        <v>40813.900358796294</v>
      </c>
      <c r="C981">
        <v>90</v>
      </c>
      <c r="D981">
        <v>89.933578491000006</v>
      </c>
      <c r="E981">
        <v>30</v>
      </c>
      <c r="F981">
        <v>27.386058807000001</v>
      </c>
      <c r="G981">
        <v>1378.0948486</v>
      </c>
      <c r="H981">
        <v>1365.8261719</v>
      </c>
      <c r="I981">
        <v>1269.1610106999999</v>
      </c>
      <c r="J981">
        <v>1238.5969238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516.194796</v>
      </c>
      <c r="B982" s="1">
        <f>DATE(2011,9,29) + TIME(4,40,30)</f>
        <v>40815.194791666669</v>
      </c>
      <c r="C982">
        <v>90</v>
      </c>
      <c r="D982">
        <v>89.933631896999998</v>
      </c>
      <c r="E982">
        <v>30</v>
      </c>
      <c r="F982">
        <v>27.598552703999999</v>
      </c>
      <c r="G982">
        <v>1378.0362548999999</v>
      </c>
      <c r="H982">
        <v>1365.7720947</v>
      </c>
      <c r="I982">
        <v>1269.2164307</v>
      </c>
      <c r="J982">
        <v>1238.6904297000001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516.84690599999999</v>
      </c>
      <c r="B983" s="1">
        <f>DATE(2011,9,29) + TIME(20,19,32)</f>
        <v>40815.846898148149</v>
      </c>
      <c r="C983">
        <v>90</v>
      </c>
      <c r="D983">
        <v>89.933654785000002</v>
      </c>
      <c r="E983">
        <v>30</v>
      </c>
      <c r="F983">
        <v>27.763315201000001</v>
      </c>
      <c r="G983">
        <v>1377.9776611</v>
      </c>
      <c r="H983">
        <v>1365.7180175999999</v>
      </c>
      <c r="I983">
        <v>1269.2962646000001</v>
      </c>
      <c r="J983">
        <v>1238.7866211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518</v>
      </c>
      <c r="B984" s="1">
        <f>DATE(2011,10,1) + TIME(0,0,0)</f>
        <v>40817</v>
      </c>
      <c r="C984">
        <v>90</v>
      </c>
      <c r="D984">
        <v>89.933715820000003</v>
      </c>
      <c r="E984">
        <v>30</v>
      </c>
      <c r="F984">
        <v>27.958106995000001</v>
      </c>
      <c r="G984">
        <v>1377.9473877</v>
      </c>
      <c r="H984">
        <v>1365.6900635</v>
      </c>
      <c r="I984">
        <v>1269.3038329999999</v>
      </c>
      <c r="J984">
        <v>1238.8533935999999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519.20228599999996</v>
      </c>
      <c r="B985" s="1">
        <f>DATE(2011,10,2) + TIME(4,51,17)</f>
        <v>40818.202280092592</v>
      </c>
      <c r="C985">
        <v>90</v>
      </c>
      <c r="D985">
        <v>89.933769225999995</v>
      </c>
      <c r="E985">
        <v>30</v>
      </c>
      <c r="F985">
        <v>28.176887512</v>
      </c>
      <c r="G985">
        <v>1377.8956298999999</v>
      </c>
      <c r="H985">
        <v>1365.6422118999999</v>
      </c>
      <c r="I985">
        <v>1269.3605957</v>
      </c>
      <c r="J985">
        <v>1238.9571533000001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520.49509399999999</v>
      </c>
      <c r="B986" s="1">
        <f>DATE(2011,10,3) + TIME(11,52,56)</f>
        <v>40819.495092592595</v>
      </c>
      <c r="C986">
        <v>90</v>
      </c>
      <c r="D986">
        <v>89.933830260999997</v>
      </c>
      <c r="E986">
        <v>30</v>
      </c>
      <c r="F986">
        <v>28.421230315999999</v>
      </c>
      <c r="G986">
        <v>1377.8415527</v>
      </c>
      <c r="H986">
        <v>1365.5921631000001</v>
      </c>
      <c r="I986">
        <v>1269.4206543</v>
      </c>
      <c r="J986">
        <v>1239.0740966999999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521.80441099999996</v>
      </c>
      <c r="B987" s="1">
        <f>DATE(2011,10,4) + TIME(19,18,21)</f>
        <v>40820.804409722223</v>
      </c>
      <c r="C987">
        <v>90</v>
      </c>
      <c r="D987">
        <v>89.933891295999999</v>
      </c>
      <c r="E987">
        <v>30</v>
      </c>
      <c r="F987">
        <v>28.689264297000001</v>
      </c>
      <c r="G987">
        <v>1377.7836914</v>
      </c>
      <c r="H987">
        <v>1365.5386963000001</v>
      </c>
      <c r="I987">
        <v>1269.489624</v>
      </c>
      <c r="J987">
        <v>1239.2069091999999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523.13531899999998</v>
      </c>
      <c r="B988" s="1">
        <f>DATE(2011,10,6) + TIME(3,14,51)</f>
        <v>40822.135312500002</v>
      </c>
      <c r="C988">
        <v>90</v>
      </c>
      <c r="D988">
        <v>89.933944702000005</v>
      </c>
      <c r="E988">
        <v>30</v>
      </c>
      <c r="F988">
        <v>28.976840973000002</v>
      </c>
      <c r="G988">
        <v>1377.7254639</v>
      </c>
      <c r="H988">
        <v>1365.4847411999999</v>
      </c>
      <c r="I988">
        <v>1269.5612793</v>
      </c>
      <c r="J988">
        <v>1239.3505858999999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524.49068199999999</v>
      </c>
      <c r="B989" s="1">
        <f>DATE(2011,10,7) + TIME(11,46,34)</f>
        <v>40823.490671296298</v>
      </c>
      <c r="C989">
        <v>90</v>
      </c>
      <c r="D989">
        <v>89.934013367000006</v>
      </c>
      <c r="E989">
        <v>30</v>
      </c>
      <c r="F989">
        <v>29.282796860000001</v>
      </c>
      <c r="G989">
        <v>1377.666626</v>
      </c>
      <c r="H989">
        <v>1365.4301757999999</v>
      </c>
      <c r="I989">
        <v>1269.6363524999999</v>
      </c>
      <c r="J989">
        <v>1239.5056152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525.86407999999994</v>
      </c>
      <c r="B990" s="1">
        <f>DATE(2011,10,8) + TIME(20,44,16)</f>
        <v>40824.864074074074</v>
      </c>
      <c r="C990">
        <v>90</v>
      </c>
      <c r="D990">
        <v>89.934074401999993</v>
      </c>
      <c r="E990">
        <v>30</v>
      </c>
      <c r="F990">
        <v>29.606218338000001</v>
      </c>
      <c r="G990">
        <v>1377.6069336</v>
      </c>
      <c r="H990">
        <v>1365.3748779</v>
      </c>
      <c r="I990">
        <v>1269.7155762</v>
      </c>
      <c r="J990">
        <v>1239.6719971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527.25437099999999</v>
      </c>
      <c r="B991" s="1">
        <f>DATE(2011,10,10) + TIME(6,6,17)</f>
        <v>40826.254363425927</v>
      </c>
      <c r="C991">
        <v>90</v>
      </c>
      <c r="D991">
        <v>89.934135436999995</v>
      </c>
      <c r="E991">
        <v>30</v>
      </c>
      <c r="F991">
        <v>29.945980072000001</v>
      </c>
      <c r="G991">
        <v>1377.546875</v>
      </c>
      <c r="H991">
        <v>1365.3192139</v>
      </c>
      <c r="I991">
        <v>1269.7984618999999</v>
      </c>
      <c r="J991">
        <v>1239.8493652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528.666381</v>
      </c>
      <c r="B992" s="1">
        <f>DATE(2011,10,11) + TIME(15,59,35)</f>
        <v>40827.666377314818</v>
      </c>
      <c r="C992">
        <v>90</v>
      </c>
      <c r="D992">
        <v>89.934196471999996</v>
      </c>
      <c r="E992">
        <v>30</v>
      </c>
      <c r="F992">
        <v>30.301725388000001</v>
      </c>
      <c r="G992">
        <v>1377.4865723</v>
      </c>
      <c r="H992">
        <v>1365.2633057</v>
      </c>
      <c r="I992">
        <v>1269.8848877</v>
      </c>
      <c r="J992">
        <v>1240.0373535000001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530.10498299999995</v>
      </c>
      <c r="B993" s="1">
        <f>DATE(2011,10,13) + TIME(2,31,10)</f>
        <v>40829.10497685185</v>
      </c>
      <c r="C993">
        <v>90</v>
      </c>
      <c r="D993">
        <v>89.934265136999997</v>
      </c>
      <c r="E993">
        <v>30</v>
      </c>
      <c r="F993">
        <v>30.673498154000001</v>
      </c>
      <c r="G993">
        <v>1377.4257812000001</v>
      </c>
      <c r="H993">
        <v>1365.2067870999999</v>
      </c>
      <c r="I993">
        <v>1269.9752197</v>
      </c>
      <c r="J993">
        <v>1240.2363281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531.57477900000004</v>
      </c>
      <c r="B994" s="1">
        <f>DATE(2011,10,14) + TIME(13,47,40)</f>
        <v>40830.57476851852</v>
      </c>
      <c r="C994">
        <v>90</v>
      </c>
      <c r="D994">
        <v>89.934333800999994</v>
      </c>
      <c r="E994">
        <v>30</v>
      </c>
      <c r="F994">
        <v>31.061601638999999</v>
      </c>
      <c r="G994">
        <v>1377.3643798999999</v>
      </c>
      <c r="H994">
        <v>1365.1497803</v>
      </c>
      <c r="I994">
        <v>1270.0698242000001</v>
      </c>
      <c r="J994">
        <v>1240.4466553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533.08031100000005</v>
      </c>
      <c r="B995" s="1">
        <f>DATE(2011,10,16) + TIME(1,55,38)</f>
        <v>40832.080300925925</v>
      </c>
      <c r="C995">
        <v>90</v>
      </c>
      <c r="D995">
        <v>89.934402465999995</v>
      </c>
      <c r="E995">
        <v>30</v>
      </c>
      <c r="F995">
        <v>31.466341019000001</v>
      </c>
      <c r="G995">
        <v>1377.302124</v>
      </c>
      <c r="H995">
        <v>1365.0920410000001</v>
      </c>
      <c r="I995">
        <v>1270.1691894999999</v>
      </c>
      <c r="J995">
        <v>1240.6687012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534.62682400000006</v>
      </c>
      <c r="B996" s="1">
        <f>DATE(2011,10,17) + TIME(15,2,37)</f>
        <v>40833.626817129632</v>
      </c>
      <c r="C996">
        <v>90</v>
      </c>
      <c r="D996">
        <v>89.934471130000006</v>
      </c>
      <c r="E996">
        <v>30</v>
      </c>
      <c r="F996">
        <v>31.887950897</v>
      </c>
      <c r="G996">
        <v>1377.2390137</v>
      </c>
      <c r="H996">
        <v>1365.0334473</v>
      </c>
      <c r="I996">
        <v>1270.2736815999999</v>
      </c>
      <c r="J996">
        <v>1240.9030762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536.21986100000004</v>
      </c>
      <c r="B997" s="1">
        <f>DATE(2011,10,19) + TIME(5,16,35)</f>
        <v>40835.219849537039</v>
      </c>
      <c r="C997">
        <v>90</v>
      </c>
      <c r="D997">
        <v>89.934547424000002</v>
      </c>
      <c r="E997">
        <v>30</v>
      </c>
      <c r="F997">
        <v>32.326637267999999</v>
      </c>
      <c r="G997">
        <v>1377.1748047000001</v>
      </c>
      <c r="H997">
        <v>1364.9737548999999</v>
      </c>
      <c r="I997">
        <v>1270.3837891000001</v>
      </c>
      <c r="J997">
        <v>1241.1501464999999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537.862347</v>
      </c>
      <c r="B998" s="1">
        <f>DATE(2011,10,20) + TIME(20,41,46)</f>
        <v>40836.862337962964</v>
      </c>
      <c r="C998">
        <v>90</v>
      </c>
      <c r="D998">
        <v>89.934616089000002</v>
      </c>
      <c r="E998">
        <v>30</v>
      </c>
      <c r="F998">
        <v>32.782405853</v>
      </c>
      <c r="G998">
        <v>1377.1094971</v>
      </c>
      <c r="H998">
        <v>1364.9129639</v>
      </c>
      <c r="I998">
        <v>1270.5</v>
      </c>
      <c r="J998">
        <v>1241.4105225000001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539.525757</v>
      </c>
      <c r="B999" s="1">
        <f>DATE(2011,10,22) + TIME(12,37,5)</f>
        <v>40838.525752314818</v>
      </c>
      <c r="C999">
        <v>90</v>
      </c>
      <c r="D999">
        <v>89.934692382999998</v>
      </c>
      <c r="E999">
        <v>30</v>
      </c>
      <c r="F999">
        <v>33.251945495999998</v>
      </c>
      <c r="G999">
        <v>1377.0428466999999</v>
      </c>
      <c r="H999">
        <v>1364.8510742000001</v>
      </c>
      <c r="I999">
        <v>1270.6234131000001</v>
      </c>
      <c r="J999">
        <v>1241.6837158000001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541.21448199999998</v>
      </c>
      <c r="B1000" s="1">
        <f>DATE(2011,10,24) + TIME(5,8,51)</f>
        <v>40840.214479166665</v>
      </c>
      <c r="C1000">
        <v>90</v>
      </c>
      <c r="D1000">
        <v>89.934768676999994</v>
      </c>
      <c r="E1000">
        <v>30</v>
      </c>
      <c r="F1000">
        <v>33.730289458999998</v>
      </c>
      <c r="G1000">
        <v>1376.9761963000001</v>
      </c>
      <c r="H1000">
        <v>1364.7891846</v>
      </c>
      <c r="I1000">
        <v>1270.7509766000001</v>
      </c>
      <c r="J1000">
        <v>1241.9660644999999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542.93319099999997</v>
      </c>
      <c r="B1001" s="1">
        <f>DATE(2011,10,25) + TIME(22,23,47)</f>
        <v>40841.933182870373</v>
      </c>
      <c r="C1001">
        <v>90</v>
      </c>
      <c r="D1001">
        <v>89.934852599999999</v>
      </c>
      <c r="E1001">
        <v>30</v>
      </c>
      <c r="F1001">
        <v>34.215507506999998</v>
      </c>
      <c r="G1001">
        <v>1376.9094238</v>
      </c>
      <c r="H1001">
        <v>1364.7271728999999</v>
      </c>
      <c r="I1001">
        <v>1270.8831786999999</v>
      </c>
      <c r="J1001">
        <v>1242.2570800999999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544.682545</v>
      </c>
      <c r="B1002" s="1">
        <f>DATE(2011,10,27) + TIME(16,22,51)</f>
        <v>40843.682534722226</v>
      </c>
      <c r="C1002">
        <v>90</v>
      </c>
      <c r="D1002">
        <v>89.934928893999995</v>
      </c>
      <c r="E1002">
        <v>30</v>
      </c>
      <c r="F1002">
        <v>34.706359863000003</v>
      </c>
      <c r="G1002">
        <v>1376.8424072</v>
      </c>
      <c r="H1002">
        <v>1364.6649170000001</v>
      </c>
      <c r="I1002">
        <v>1271.0205077999999</v>
      </c>
      <c r="J1002">
        <v>1242.5563964999999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546.46345399999996</v>
      </c>
      <c r="B1003" s="1">
        <f>DATE(2011,10,29) + TIME(11,7,22)</f>
        <v>40845.463449074072</v>
      </c>
      <c r="C1003">
        <v>90</v>
      </c>
      <c r="D1003">
        <v>89.935005188000005</v>
      </c>
      <c r="E1003">
        <v>30</v>
      </c>
      <c r="F1003">
        <v>35.201431274000001</v>
      </c>
      <c r="G1003">
        <v>1376.7751464999999</v>
      </c>
      <c r="H1003">
        <v>1364.6024170000001</v>
      </c>
      <c r="I1003">
        <v>1271.1629639</v>
      </c>
      <c r="J1003">
        <v>1242.8638916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548.26932299999999</v>
      </c>
      <c r="B1004" s="1">
        <f>DATE(2011,10,31) + TIME(6,27,49)</f>
        <v>40847.269317129627</v>
      </c>
      <c r="C1004">
        <v>90</v>
      </c>
      <c r="D1004">
        <v>89.935089110999996</v>
      </c>
      <c r="E1004">
        <v>30</v>
      </c>
      <c r="F1004">
        <v>35.698802948000001</v>
      </c>
      <c r="G1004">
        <v>1376.7077637</v>
      </c>
      <c r="H1004">
        <v>1364.5397949000001</v>
      </c>
      <c r="I1004">
        <v>1271.3105469</v>
      </c>
      <c r="J1004">
        <v>1243.1785889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549</v>
      </c>
      <c r="B1005" s="1">
        <f>DATE(2011,11,1) + TIME(0,0,0)</f>
        <v>40848</v>
      </c>
      <c r="C1005">
        <v>90</v>
      </c>
      <c r="D1005">
        <v>89.935112000000004</v>
      </c>
      <c r="E1005">
        <v>30</v>
      </c>
      <c r="F1005">
        <v>36.045375823999997</v>
      </c>
      <c r="G1005">
        <v>1376.6412353999999</v>
      </c>
      <c r="H1005">
        <v>1364.4780272999999</v>
      </c>
      <c r="I1005">
        <v>1271.4880370999999</v>
      </c>
      <c r="J1005">
        <v>1243.4586182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549.000001</v>
      </c>
      <c r="B1006" s="1">
        <f>DATE(2011,11,1) + TIME(0,0,0)</f>
        <v>40848</v>
      </c>
      <c r="C1006">
        <v>90</v>
      </c>
      <c r="D1006">
        <v>89.934982300000001</v>
      </c>
      <c r="E1006">
        <v>30</v>
      </c>
      <c r="F1006">
        <v>36.045486449999999</v>
      </c>
      <c r="G1006">
        <v>1363.6072998</v>
      </c>
      <c r="H1006">
        <v>1353.1586914</v>
      </c>
      <c r="I1006">
        <v>1301.0712891000001</v>
      </c>
      <c r="J1006">
        <v>1272.5003661999999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549.00000399999999</v>
      </c>
      <c r="B1007" s="1">
        <f>DATE(2011,11,1) + TIME(0,0,0)</f>
        <v>40848</v>
      </c>
      <c r="C1007">
        <v>90</v>
      </c>
      <c r="D1007">
        <v>89.934669494999994</v>
      </c>
      <c r="E1007">
        <v>30</v>
      </c>
      <c r="F1007">
        <v>36.045787810999997</v>
      </c>
      <c r="G1007">
        <v>1361.4472656</v>
      </c>
      <c r="H1007">
        <v>1350.9980469</v>
      </c>
      <c r="I1007">
        <v>1303.5333252</v>
      </c>
      <c r="J1007">
        <v>1275.2647704999999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549.00001299999997</v>
      </c>
      <c r="B1008" s="1">
        <f>DATE(2011,11,1) + TIME(0,0,1)</f>
        <v>40848.000011574077</v>
      </c>
      <c r="C1008">
        <v>90</v>
      </c>
      <c r="D1008">
        <v>89.934043884000005</v>
      </c>
      <c r="E1008">
        <v>30</v>
      </c>
      <c r="F1008">
        <v>36.046489716000004</v>
      </c>
      <c r="G1008">
        <v>1357.2265625</v>
      </c>
      <c r="H1008">
        <v>1346.7768555</v>
      </c>
      <c r="I1008">
        <v>1309.5059814000001</v>
      </c>
      <c r="J1008">
        <v>1281.7977295000001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549.00004000000001</v>
      </c>
      <c r="B1009" s="1">
        <f>DATE(2011,11,1) + TIME(0,0,3)</f>
        <v>40848.000034722223</v>
      </c>
      <c r="C1009">
        <v>90</v>
      </c>
      <c r="D1009">
        <v>89.933166503999999</v>
      </c>
      <c r="E1009">
        <v>30</v>
      </c>
      <c r="F1009">
        <v>36.047653197999999</v>
      </c>
      <c r="G1009">
        <v>1351.2799072</v>
      </c>
      <c r="H1009">
        <v>1340.8330077999999</v>
      </c>
      <c r="I1009">
        <v>1320.7281493999999</v>
      </c>
      <c r="J1009">
        <v>1293.5239257999999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549.00012100000004</v>
      </c>
      <c r="B1010" s="1">
        <f>DATE(2011,11,1) + TIME(0,0,10)</f>
        <v>40848.000115740739</v>
      </c>
      <c r="C1010">
        <v>90</v>
      </c>
      <c r="D1010">
        <v>89.932189941000004</v>
      </c>
      <c r="E1010">
        <v>30</v>
      </c>
      <c r="F1010">
        <v>36.048816680999998</v>
      </c>
      <c r="G1010">
        <v>1344.7950439000001</v>
      </c>
      <c r="H1010">
        <v>1334.3546143000001</v>
      </c>
      <c r="I1010">
        <v>1335.9844971</v>
      </c>
      <c r="J1010">
        <v>1308.8785399999999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549.00036399999999</v>
      </c>
      <c r="B1011" s="1">
        <f>DATE(2011,11,1) + TIME(0,0,31)</f>
        <v>40848.000358796293</v>
      </c>
      <c r="C1011">
        <v>90</v>
      </c>
      <c r="D1011">
        <v>89.931167603000006</v>
      </c>
      <c r="E1011">
        <v>30</v>
      </c>
      <c r="F1011">
        <v>36.048847197999997</v>
      </c>
      <c r="G1011">
        <v>1338.2933350000001</v>
      </c>
      <c r="H1011">
        <v>1327.8582764</v>
      </c>
      <c r="I1011">
        <v>1352.5478516000001</v>
      </c>
      <c r="J1011">
        <v>1325.4449463000001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549.00109299999997</v>
      </c>
      <c r="B1012" s="1">
        <f>DATE(2011,11,1) + TIME(0,1,34)</f>
        <v>40848.001087962963</v>
      </c>
      <c r="C1012">
        <v>90</v>
      </c>
      <c r="D1012">
        <v>89.929977417000003</v>
      </c>
      <c r="E1012">
        <v>30</v>
      </c>
      <c r="F1012">
        <v>36.045097351000003</v>
      </c>
      <c r="G1012">
        <v>1331.6910399999999</v>
      </c>
      <c r="H1012">
        <v>1321.2163086</v>
      </c>
      <c r="I1012">
        <v>1369.3928223</v>
      </c>
      <c r="J1012">
        <v>1342.3295897999999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549.00328000000002</v>
      </c>
      <c r="B1013" s="1">
        <f>DATE(2011,11,1) + TIME(0,4,43)</f>
        <v>40848.003275462965</v>
      </c>
      <c r="C1013">
        <v>90</v>
      </c>
      <c r="D1013">
        <v>89.928260803000001</v>
      </c>
      <c r="E1013">
        <v>30</v>
      </c>
      <c r="F1013">
        <v>36.029865264999998</v>
      </c>
      <c r="G1013">
        <v>1324.5782471</v>
      </c>
      <c r="H1013">
        <v>1313.9550781</v>
      </c>
      <c r="I1013">
        <v>1386.1960449000001</v>
      </c>
      <c r="J1013">
        <v>1359.0627440999999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549.00984100000005</v>
      </c>
      <c r="B1014" s="1">
        <f>DATE(2011,11,1) + TIME(0,14,10)</f>
        <v>40848.009837962964</v>
      </c>
      <c r="C1014">
        <v>90</v>
      </c>
      <c r="D1014">
        <v>89.925125121999997</v>
      </c>
      <c r="E1014">
        <v>30</v>
      </c>
      <c r="F1014">
        <v>35.980049133000001</v>
      </c>
      <c r="G1014">
        <v>1316.9304199000001</v>
      </c>
      <c r="H1014">
        <v>1306.1368408000001</v>
      </c>
      <c r="I1014">
        <v>1401.4086914</v>
      </c>
      <c r="J1014">
        <v>1374.0300293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549.02952400000004</v>
      </c>
      <c r="B1015" s="1">
        <f>DATE(2011,11,1) + TIME(0,42,30)</f>
        <v>40848.029513888891</v>
      </c>
      <c r="C1015">
        <v>90</v>
      </c>
      <c r="D1015">
        <v>89.918159485000004</v>
      </c>
      <c r="E1015">
        <v>30</v>
      </c>
      <c r="F1015">
        <v>35.829299927000001</v>
      </c>
      <c r="G1015">
        <v>1310.2896728999999</v>
      </c>
      <c r="H1015">
        <v>1299.4113769999999</v>
      </c>
      <c r="I1015">
        <v>1412.0084228999999</v>
      </c>
      <c r="J1015">
        <v>1384.3388672000001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549.088573</v>
      </c>
      <c r="B1016" s="1">
        <f>DATE(2011,11,1) + TIME(2,7,32)</f>
        <v>40848.088564814818</v>
      </c>
      <c r="C1016">
        <v>90</v>
      </c>
      <c r="D1016">
        <v>89.900543213000006</v>
      </c>
      <c r="E1016">
        <v>30</v>
      </c>
      <c r="F1016">
        <v>35.407150268999999</v>
      </c>
      <c r="G1016">
        <v>1306.7008057</v>
      </c>
      <c r="H1016">
        <v>1295.7965088000001</v>
      </c>
      <c r="I1016">
        <v>1416.3896483999999</v>
      </c>
      <c r="J1016">
        <v>1388.4987793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549.18062399999997</v>
      </c>
      <c r="B1017" s="1">
        <f>DATE(2011,11,1) + TIME(4,20,5)</f>
        <v>40848.180613425924</v>
      </c>
      <c r="C1017">
        <v>90</v>
      </c>
      <c r="D1017">
        <v>89.875144958000007</v>
      </c>
      <c r="E1017">
        <v>30</v>
      </c>
      <c r="F1017">
        <v>34.823387146000002</v>
      </c>
      <c r="G1017">
        <v>1305.8250731999999</v>
      </c>
      <c r="H1017">
        <v>1294.9154053</v>
      </c>
      <c r="I1017">
        <v>1417.0626221</v>
      </c>
      <c r="J1017">
        <v>1389.0238036999999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549.28549299999997</v>
      </c>
      <c r="B1018" s="1">
        <f>DATE(2011,11,1) + TIME(6,51,6)</f>
        <v>40848.285486111112</v>
      </c>
      <c r="C1018">
        <v>90</v>
      </c>
      <c r="D1018">
        <v>89.847404479999994</v>
      </c>
      <c r="E1018">
        <v>30</v>
      </c>
      <c r="F1018">
        <v>34.242824554000002</v>
      </c>
      <c r="G1018">
        <v>1305.6538086</v>
      </c>
      <c r="H1018">
        <v>1294.7426757999999</v>
      </c>
      <c r="I1018">
        <v>1417.0568848</v>
      </c>
      <c r="J1018">
        <v>1388.8986815999999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549.39282400000002</v>
      </c>
      <c r="B1019" s="1">
        <f>DATE(2011,11,1) + TIME(9,25,39)</f>
        <v>40848.392812500002</v>
      </c>
      <c r="C1019">
        <v>90</v>
      </c>
      <c r="D1019">
        <v>89.819786071999999</v>
      </c>
      <c r="E1019">
        <v>30</v>
      </c>
      <c r="F1019">
        <v>33.724918365000001</v>
      </c>
      <c r="G1019">
        <v>1305.6131591999999</v>
      </c>
      <c r="H1019">
        <v>1294.7011719</v>
      </c>
      <c r="I1019">
        <v>1416.9858397999999</v>
      </c>
      <c r="J1019">
        <v>1388.7281493999999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549.50322500000004</v>
      </c>
      <c r="B1020" s="1">
        <f>DATE(2011,11,1) + TIME(12,4,38)</f>
        <v>40848.503217592595</v>
      </c>
      <c r="C1020">
        <v>90</v>
      </c>
      <c r="D1020">
        <v>89.792114257999998</v>
      </c>
      <c r="E1020">
        <v>30</v>
      </c>
      <c r="F1020">
        <v>33.261520386000001</v>
      </c>
      <c r="G1020">
        <v>1305.5970459</v>
      </c>
      <c r="H1020">
        <v>1294.6842041</v>
      </c>
      <c r="I1020">
        <v>1416.9158935999999</v>
      </c>
      <c r="J1020">
        <v>1388.5727539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549.61724200000003</v>
      </c>
      <c r="B1021" s="1">
        <f>DATE(2011,11,1) + TIME(14,48,49)</f>
        <v>40848.6172337963</v>
      </c>
      <c r="C1021">
        <v>90</v>
      </c>
      <c r="D1021">
        <v>89.764251709000007</v>
      </c>
      <c r="E1021">
        <v>30</v>
      </c>
      <c r="F1021">
        <v>32.846343994000001</v>
      </c>
      <c r="G1021">
        <v>1305.5859375</v>
      </c>
      <c r="H1021">
        <v>1294.6722411999999</v>
      </c>
      <c r="I1021">
        <v>1416.8498535000001</v>
      </c>
      <c r="J1021">
        <v>1388.4332274999999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549.73539700000003</v>
      </c>
      <c r="B1022" s="1">
        <f>DATE(2011,11,1) + TIME(17,38,58)</f>
        <v>40848.735393518517</v>
      </c>
      <c r="C1022">
        <v>90</v>
      </c>
      <c r="D1022">
        <v>89.736083984000004</v>
      </c>
      <c r="E1022">
        <v>30</v>
      </c>
      <c r="F1022">
        <v>32.474315642999997</v>
      </c>
      <c r="G1022">
        <v>1305.5759277</v>
      </c>
      <c r="H1022">
        <v>1294.661499</v>
      </c>
      <c r="I1022">
        <v>1416.7867432</v>
      </c>
      <c r="J1022">
        <v>1388.3073730000001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549.85829999999999</v>
      </c>
      <c r="B1023" s="1">
        <f>DATE(2011,11,1) + TIME(20,35,57)</f>
        <v>40848.858298611114</v>
      </c>
      <c r="C1023">
        <v>90</v>
      </c>
      <c r="D1023">
        <v>89.707473754999995</v>
      </c>
      <c r="E1023">
        <v>30</v>
      </c>
      <c r="F1023">
        <v>32.141036987</v>
      </c>
      <c r="G1023">
        <v>1305.5661620999999</v>
      </c>
      <c r="H1023">
        <v>1294.6508789</v>
      </c>
      <c r="I1023">
        <v>1416.7260742000001</v>
      </c>
      <c r="J1023">
        <v>1388.1936035000001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549.98662100000001</v>
      </c>
      <c r="B1024" s="1">
        <f>DATE(2011,11,1) + TIME(23,40,44)</f>
        <v>40848.986620370371</v>
      </c>
      <c r="C1024">
        <v>90</v>
      </c>
      <c r="D1024">
        <v>89.678283691000004</v>
      </c>
      <c r="E1024">
        <v>30</v>
      </c>
      <c r="F1024">
        <v>31.842775345</v>
      </c>
      <c r="G1024">
        <v>1305.5562743999999</v>
      </c>
      <c r="H1024">
        <v>1294.6401367000001</v>
      </c>
      <c r="I1024">
        <v>1416.6678466999999</v>
      </c>
      <c r="J1024">
        <v>1388.0909423999999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550.121084</v>
      </c>
      <c r="B1025" s="1">
        <f>DATE(2011,11,2) + TIME(2,54,21)</f>
        <v>40849.121076388888</v>
      </c>
      <c r="C1025">
        <v>90</v>
      </c>
      <c r="D1025">
        <v>89.648368834999999</v>
      </c>
      <c r="E1025">
        <v>30</v>
      </c>
      <c r="F1025">
        <v>31.576353073</v>
      </c>
      <c r="G1025">
        <v>1305.5461425999999</v>
      </c>
      <c r="H1025">
        <v>1294.6291504000001</v>
      </c>
      <c r="I1025">
        <v>1416.6121826000001</v>
      </c>
      <c r="J1025">
        <v>1387.9984131000001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550.262518</v>
      </c>
      <c r="B1026" s="1">
        <f>DATE(2011,11,2) + TIME(6,18,1)</f>
        <v>40849.262511574074</v>
      </c>
      <c r="C1026">
        <v>90</v>
      </c>
      <c r="D1026">
        <v>89.617591857999997</v>
      </c>
      <c r="E1026">
        <v>30</v>
      </c>
      <c r="F1026">
        <v>31.338991164999999</v>
      </c>
      <c r="G1026">
        <v>1305.5358887</v>
      </c>
      <c r="H1026">
        <v>1294.6179199000001</v>
      </c>
      <c r="I1026">
        <v>1416.559082</v>
      </c>
      <c r="J1026">
        <v>1387.9156493999999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550.411877</v>
      </c>
      <c r="B1027" s="1">
        <f>DATE(2011,11,2) + TIME(9,53,6)</f>
        <v>40849.411874999998</v>
      </c>
      <c r="C1027">
        <v>90</v>
      </c>
      <c r="D1027">
        <v>89.585769653</v>
      </c>
      <c r="E1027">
        <v>30</v>
      </c>
      <c r="F1027">
        <v>31.128229140999998</v>
      </c>
      <c r="G1027">
        <v>1305.5252685999999</v>
      </c>
      <c r="H1027">
        <v>1294.6063231999999</v>
      </c>
      <c r="I1027">
        <v>1416.5086670000001</v>
      </c>
      <c r="J1027">
        <v>1387.8419189000001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550.57028000000003</v>
      </c>
      <c r="B1028" s="1">
        <f>DATE(2011,11,2) + TIME(13,41,12)</f>
        <v>40849.570277777777</v>
      </c>
      <c r="C1028">
        <v>90</v>
      </c>
      <c r="D1028">
        <v>89.552719116000006</v>
      </c>
      <c r="E1028">
        <v>30</v>
      </c>
      <c r="F1028">
        <v>30.941869736000001</v>
      </c>
      <c r="G1028">
        <v>1305.5144043</v>
      </c>
      <c r="H1028">
        <v>1294.5943603999999</v>
      </c>
      <c r="I1028">
        <v>1416.4608154</v>
      </c>
      <c r="J1028">
        <v>1387.7767334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550.73905300000001</v>
      </c>
      <c r="B1029" s="1">
        <f>DATE(2011,11,2) + TIME(17,44,14)</f>
        <v>40849.739050925928</v>
      </c>
      <c r="C1029">
        <v>90</v>
      </c>
      <c r="D1029">
        <v>89.518226623999993</v>
      </c>
      <c r="E1029">
        <v>30</v>
      </c>
      <c r="F1029">
        <v>30.777921676999998</v>
      </c>
      <c r="G1029">
        <v>1305.5029297000001</v>
      </c>
      <c r="H1029">
        <v>1294.5817870999999</v>
      </c>
      <c r="I1029">
        <v>1416.4156493999999</v>
      </c>
      <c r="J1029">
        <v>1387.7196045000001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550.91979800000001</v>
      </c>
      <c r="B1030" s="1">
        <f>DATE(2011,11,2) + TIME(22,4,30)</f>
        <v>40849.919791666667</v>
      </c>
      <c r="C1030">
        <v>90</v>
      </c>
      <c r="D1030">
        <v>89.482025145999998</v>
      </c>
      <c r="E1030">
        <v>30</v>
      </c>
      <c r="F1030">
        <v>30.634571075</v>
      </c>
      <c r="G1030">
        <v>1305.4909668</v>
      </c>
      <c r="H1030">
        <v>1294.5686035000001</v>
      </c>
      <c r="I1030">
        <v>1416.3731689000001</v>
      </c>
      <c r="J1030">
        <v>1387.6701660000001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551.11446799999999</v>
      </c>
      <c r="B1031" s="1">
        <f>DATE(2011,11,3) + TIME(2,44,50)</f>
        <v>40850.11446759259</v>
      </c>
      <c r="C1031">
        <v>90</v>
      </c>
      <c r="D1031">
        <v>89.443824767999999</v>
      </c>
      <c r="E1031">
        <v>30</v>
      </c>
      <c r="F1031">
        <v>30.510141373</v>
      </c>
      <c r="G1031">
        <v>1305.4783935999999</v>
      </c>
      <c r="H1031">
        <v>1294.5548096</v>
      </c>
      <c r="I1031">
        <v>1416.3332519999999</v>
      </c>
      <c r="J1031">
        <v>1387.6279297000001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551.32549200000005</v>
      </c>
      <c r="B1032" s="1">
        <f>DATE(2011,11,3) + TIME(7,48,42)</f>
        <v>40850.325486111113</v>
      </c>
      <c r="C1032">
        <v>90</v>
      </c>
      <c r="D1032">
        <v>89.403244018999999</v>
      </c>
      <c r="E1032">
        <v>30</v>
      </c>
      <c r="F1032">
        <v>30.403072356999999</v>
      </c>
      <c r="G1032">
        <v>1305.4649658000001</v>
      </c>
      <c r="H1032">
        <v>1294.5400391000001</v>
      </c>
      <c r="I1032">
        <v>1416.2960204999999</v>
      </c>
      <c r="J1032">
        <v>1387.5925293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551.54957999999999</v>
      </c>
      <c r="B1033" s="1">
        <f>DATE(2011,11,3) + TIME(13,11,23)</f>
        <v>40850.549571759257</v>
      </c>
      <c r="C1033">
        <v>90</v>
      </c>
      <c r="D1033">
        <v>89.360794067</v>
      </c>
      <c r="E1033">
        <v>30</v>
      </c>
      <c r="F1033">
        <v>30.313871383999999</v>
      </c>
      <c r="G1033">
        <v>1305.4506836</v>
      </c>
      <c r="H1033">
        <v>1294.5244141000001</v>
      </c>
      <c r="I1033">
        <v>1416.2617187999999</v>
      </c>
      <c r="J1033">
        <v>1387.5643310999999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551.77654500000006</v>
      </c>
      <c r="B1034" s="1">
        <f>DATE(2011,11,3) + TIME(18,38,13)</f>
        <v>40850.776539351849</v>
      </c>
      <c r="C1034">
        <v>90</v>
      </c>
      <c r="D1034">
        <v>89.317962645999998</v>
      </c>
      <c r="E1034">
        <v>30</v>
      </c>
      <c r="F1034">
        <v>30.243125916</v>
      </c>
      <c r="G1034">
        <v>1305.4355469</v>
      </c>
      <c r="H1034">
        <v>1294.5079346</v>
      </c>
      <c r="I1034">
        <v>1416.2313231999999</v>
      </c>
      <c r="J1034">
        <v>1387.5438231999999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552.00762699999996</v>
      </c>
      <c r="B1035" s="1">
        <f>DATE(2011,11,4) + TIME(0,10,58)</f>
        <v>40851.007615740738</v>
      </c>
      <c r="C1035">
        <v>90</v>
      </c>
      <c r="D1035">
        <v>89.274604796999995</v>
      </c>
      <c r="E1035">
        <v>30</v>
      </c>
      <c r="F1035">
        <v>30.186901092999999</v>
      </c>
      <c r="G1035">
        <v>1305.4204102000001</v>
      </c>
      <c r="H1035">
        <v>1294.4913329999999</v>
      </c>
      <c r="I1035">
        <v>1416.2045897999999</v>
      </c>
      <c r="J1035">
        <v>1387.5289307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552.24396100000001</v>
      </c>
      <c r="B1036" s="1">
        <f>DATE(2011,11,4) + TIME(5,51,18)</f>
        <v>40851.243958333333</v>
      </c>
      <c r="C1036">
        <v>90</v>
      </c>
      <c r="D1036">
        <v>89.230598450000002</v>
      </c>
      <c r="E1036">
        <v>30</v>
      </c>
      <c r="F1036">
        <v>30.142202377</v>
      </c>
      <c r="G1036">
        <v>1305.4051514</v>
      </c>
      <c r="H1036">
        <v>1294.4747314000001</v>
      </c>
      <c r="I1036">
        <v>1416.1809082</v>
      </c>
      <c r="J1036">
        <v>1387.5184326000001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552.48661700000002</v>
      </c>
      <c r="B1037" s="1">
        <f>DATE(2011,11,4) + TIME(11,40,43)</f>
        <v>40851.486608796295</v>
      </c>
      <c r="C1037">
        <v>90</v>
      </c>
      <c r="D1037">
        <v>89.185791015999996</v>
      </c>
      <c r="E1037">
        <v>30</v>
      </c>
      <c r="F1037">
        <v>30.106716156000001</v>
      </c>
      <c r="G1037">
        <v>1305.3897704999999</v>
      </c>
      <c r="H1037">
        <v>1294.4577637</v>
      </c>
      <c r="I1037">
        <v>1416.1597899999999</v>
      </c>
      <c r="J1037">
        <v>1387.5115966999999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552.73677499999997</v>
      </c>
      <c r="B1038" s="1">
        <f>DATE(2011,11,4) + TIME(17,40,57)</f>
        <v>40851.736770833333</v>
      </c>
      <c r="C1038">
        <v>90</v>
      </c>
      <c r="D1038">
        <v>89.140029906999999</v>
      </c>
      <c r="E1038">
        <v>30</v>
      </c>
      <c r="F1038">
        <v>30.078603744999999</v>
      </c>
      <c r="G1038">
        <v>1305.3740233999999</v>
      </c>
      <c r="H1038">
        <v>1294.4404297000001</v>
      </c>
      <c r="I1038">
        <v>1416.1408690999999</v>
      </c>
      <c r="J1038">
        <v>1387.5078125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552.99572899999998</v>
      </c>
      <c r="B1039" s="1">
        <f>DATE(2011,11,4) + TIME(23,53,51)</f>
        <v>40851.995729166665</v>
      </c>
      <c r="C1039">
        <v>90</v>
      </c>
      <c r="D1039">
        <v>89.093139648000005</v>
      </c>
      <c r="E1039">
        <v>30</v>
      </c>
      <c r="F1039">
        <v>30.056409836</v>
      </c>
      <c r="G1039">
        <v>1305.3579102000001</v>
      </c>
      <c r="H1039">
        <v>1294.4227295000001</v>
      </c>
      <c r="I1039">
        <v>1416.1237793</v>
      </c>
      <c r="J1039">
        <v>1387.5063477000001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553.26483399999995</v>
      </c>
      <c r="B1040" s="1">
        <f>DATE(2011,11,5) + TIME(6,21,21)</f>
        <v>40852.264826388891</v>
      </c>
      <c r="C1040">
        <v>90</v>
      </c>
      <c r="D1040">
        <v>89.044937133999994</v>
      </c>
      <c r="E1040">
        <v>30</v>
      </c>
      <c r="F1040">
        <v>30.038967133</v>
      </c>
      <c r="G1040">
        <v>1305.3414307</v>
      </c>
      <c r="H1040">
        <v>1294.4044189000001</v>
      </c>
      <c r="I1040">
        <v>1416.1080322</v>
      </c>
      <c r="J1040">
        <v>1387.5068358999999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553.54561999999999</v>
      </c>
      <c r="B1041" s="1">
        <f>DATE(2011,11,5) + TIME(13,5,41)</f>
        <v>40852.545613425929</v>
      </c>
      <c r="C1041">
        <v>90</v>
      </c>
      <c r="D1041">
        <v>88.995216369999994</v>
      </c>
      <c r="E1041">
        <v>30</v>
      </c>
      <c r="F1041">
        <v>30.025339126999999</v>
      </c>
      <c r="G1041">
        <v>1305.3242187999999</v>
      </c>
      <c r="H1041">
        <v>1294.3856201000001</v>
      </c>
      <c r="I1041">
        <v>1416.0936279</v>
      </c>
      <c r="J1041">
        <v>1387.5089111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553.839834</v>
      </c>
      <c r="B1042" s="1">
        <f>DATE(2011,11,5) + TIME(20,9,21)</f>
        <v>40852.839826388888</v>
      </c>
      <c r="C1042">
        <v>90</v>
      </c>
      <c r="D1042">
        <v>88.943725585999999</v>
      </c>
      <c r="E1042">
        <v>30</v>
      </c>
      <c r="F1042">
        <v>30.014762877999999</v>
      </c>
      <c r="G1042">
        <v>1305.3065185999999</v>
      </c>
      <c r="H1042">
        <v>1294.3660889</v>
      </c>
      <c r="I1042">
        <v>1416.0803223</v>
      </c>
      <c r="J1042">
        <v>1387.5123291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554.14950299999998</v>
      </c>
      <c r="B1043" s="1">
        <f>DATE(2011,11,6) + TIME(3,35,17)</f>
        <v>40853.149502314816</v>
      </c>
      <c r="C1043">
        <v>90</v>
      </c>
      <c r="D1043">
        <v>88.890205382999994</v>
      </c>
      <c r="E1043">
        <v>30</v>
      </c>
      <c r="F1043">
        <v>30.006620407</v>
      </c>
      <c r="G1043">
        <v>1305.2880858999999</v>
      </c>
      <c r="H1043">
        <v>1294.3455810999999</v>
      </c>
      <c r="I1043">
        <v>1416.067749</v>
      </c>
      <c r="J1043">
        <v>1387.5168457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554.47701300000006</v>
      </c>
      <c r="B1044" s="1">
        <f>DATE(2011,11,6) + TIME(11,26,53)</f>
        <v>40853.477002314816</v>
      </c>
      <c r="C1044">
        <v>90</v>
      </c>
      <c r="D1044">
        <v>88.834335327000005</v>
      </c>
      <c r="E1044">
        <v>30</v>
      </c>
      <c r="F1044">
        <v>30.000411987</v>
      </c>
      <c r="G1044">
        <v>1305.2686768000001</v>
      </c>
      <c r="H1044">
        <v>1294.3242187999999</v>
      </c>
      <c r="I1044">
        <v>1416.0559082</v>
      </c>
      <c r="J1044">
        <v>1387.5220947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554.82175400000006</v>
      </c>
      <c r="B1045" s="1">
        <f>DATE(2011,11,6) + TIME(19,43,19)</f>
        <v>40853.821747685186</v>
      </c>
      <c r="C1045">
        <v>90</v>
      </c>
      <c r="D1045">
        <v>88.776153563999998</v>
      </c>
      <c r="E1045">
        <v>30</v>
      </c>
      <c r="F1045">
        <v>29.995763779000001</v>
      </c>
      <c r="G1045">
        <v>1305.2482910000001</v>
      </c>
      <c r="H1045">
        <v>1294.3017577999999</v>
      </c>
      <c r="I1045">
        <v>1416.0446777</v>
      </c>
      <c r="J1045">
        <v>1387.5281981999999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555.17027599999994</v>
      </c>
      <c r="B1046" s="1">
        <f>DATE(2011,11,7) + TIME(4,5,11)</f>
        <v>40854.170266203706</v>
      </c>
      <c r="C1046">
        <v>90</v>
      </c>
      <c r="D1046">
        <v>88.717254639000004</v>
      </c>
      <c r="E1046">
        <v>30</v>
      </c>
      <c r="F1046">
        <v>29.992425918999999</v>
      </c>
      <c r="G1046">
        <v>1305.2268065999999</v>
      </c>
      <c r="H1046">
        <v>1294.2781981999999</v>
      </c>
      <c r="I1046">
        <v>1416.0339355000001</v>
      </c>
      <c r="J1046">
        <v>1387.5349120999999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555.52404200000001</v>
      </c>
      <c r="B1047" s="1">
        <f>DATE(2011,11,7) + TIME(12,34,37)</f>
        <v>40854.524039351854</v>
      </c>
      <c r="C1047">
        <v>90</v>
      </c>
      <c r="D1047">
        <v>88.657615661999998</v>
      </c>
      <c r="E1047">
        <v>30</v>
      </c>
      <c r="F1047">
        <v>29.990026474</v>
      </c>
      <c r="G1047">
        <v>1305.2052002</v>
      </c>
      <c r="H1047">
        <v>1294.2543945</v>
      </c>
      <c r="I1047">
        <v>1416.0240478999999</v>
      </c>
      <c r="J1047">
        <v>1387.541626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555.88440100000003</v>
      </c>
      <c r="B1048" s="1">
        <f>DATE(2011,11,7) + TIME(21,13,32)</f>
        <v>40854.884398148148</v>
      </c>
      <c r="C1048">
        <v>90</v>
      </c>
      <c r="D1048">
        <v>88.597198485999996</v>
      </c>
      <c r="E1048">
        <v>30</v>
      </c>
      <c r="F1048">
        <v>29.988300323000001</v>
      </c>
      <c r="G1048">
        <v>1305.1833495999999</v>
      </c>
      <c r="H1048">
        <v>1294.2302245999999</v>
      </c>
      <c r="I1048">
        <v>1416.0147704999999</v>
      </c>
      <c r="J1048">
        <v>1387.5484618999999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556.25272299999995</v>
      </c>
      <c r="B1049" s="1">
        <f>DATE(2011,11,8) + TIME(6,3,55)</f>
        <v>40855.25271990741</v>
      </c>
      <c r="C1049">
        <v>90</v>
      </c>
      <c r="D1049">
        <v>88.535888671999999</v>
      </c>
      <c r="E1049">
        <v>30</v>
      </c>
      <c r="F1049">
        <v>29.987060546999999</v>
      </c>
      <c r="G1049">
        <v>1305.1611327999999</v>
      </c>
      <c r="H1049">
        <v>1294.2056885</v>
      </c>
      <c r="I1049">
        <v>1416.0061035000001</v>
      </c>
      <c r="J1049">
        <v>1387.5552978999999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556.63043900000002</v>
      </c>
      <c r="B1050" s="1">
        <f>DATE(2011,11,8) + TIME(15,7,49)</f>
        <v>40855.630428240744</v>
      </c>
      <c r="C1050">
        <v>90</v>
      </c>
      <c r="D1050">
        <v>88.473564147999994</v>
      </c>
      <c r="E1050">
        <v>30</v>
      </c>
      <c r="F1050">
        <v>29.986171722000002</v>
      </c>
      <c r="G1050">
        <v>1305.1385498</v>
      </c>
      <c r="H1050">
        <v>1294.1806641000001</v>
      </c>
      <c r="I1050">
        <v>1415.9979248</v>
      </c>
      <c r="J1050">
        <v>1387.5620117000001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557.01892399999997</v>
      </c>
      <c r="B1051" s="1">
        <f>DATE(2011,11,9) + TIME(0,27,15)</f>
        <v>40856.018923611111</v>
      </c>
      <c r="C1051">
        <v>90</v>
      </c>
      <c r="D1051">
        <v>88.410072326999995</v>
      </c>
      <c r="E1051">
        <v>30</v>
      </c>
      <c r="F1051">
        <v>29.985536575000001</v>
      </c>
      <c r="G1051">
        <v>1305.1153564000001</v>
      </c>
      <c r="H1051">
        <v>1294.1550293</v>
      </c>
      <c r="I1051">
        <v>1415.9901123</v>
      </c>
      <c r="J1051">
        <v>1387.5688477000001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557.41994699999998</v>
      </c>
      <c r="B1052" s="1">
        <f>DATE(2011,11,9) + TIME(10,4,43)</f>
        <v>40856.419942129629</v>
      </c>
      <c r="C1052">
        <v>90</v>
      </c>
      <c r="D1052">
        <v>88.345207213999998</v>
      </c>
      <c r="E1052">
        <v>30</v>
      </c>
      <c r="F1052">
        <v>29.985084533999999</v>
      </c>
      <c r="G1052">
        <v>1305.0916748</v>
      </c>
      <c r="H1052">
        <v>1294.1287841999999</v>
      </c>
      <c r="I1052">
        <v>1415.9827881000001</v>
      </c>
      <c r="J1052">
        <v>1387.5755615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557.83535700000004</v>
      </c>
      <c r="B1053" s="1">
        <f>DATE(2011,11,9) + TIME(20,2,54)</f>
        <v>40856.835347222222</v>
      </c>
      <c r="C1053">
        <v>90</v>
      </c>
      <c r="D1053">
        <v>88.278755188000005</v>
      </c>
      <c r="E1053">
        <v>30</v>
      </c>
      <c r="F1053">
        <v>29.984762192000002</v>
      </c>
      <c r="G1053">
        <v>1305.0672606999999</v>
      </c>
      <c r="H1053">
        <v>1294.1015625</v>
      </c>
      <c r="I1053">
        <v>1415.9757079999999</v>
      </c>
      <c r="J1053">
        <v>1387.5822754000001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558.26720799999998</v>
      </c>
      <c r="B1054" s="1">
        <f>DATE(2011,11,10) + TIME(6,24,46)</f>
        <v>40857.267199074071</v>
      </c>
      <c r="C1054">
        <v>90</v>
      </c>
      <c r="D1054">
        <v>88.210464478000006</v>
      </c>
      <c r="E1054">
        <v>30</v>
      </c>
      <c r="F1054">
        <v>29.984535217000001</v>
      </c>
      <c r="G1054">
        <v>1305.0418701000001</v>
      </c>
      <c r="H1054">
        <v>1294.0734863</v>
      </c>
      <c r="I1054">
        <v>1415.9688721</v>
      </c>
      <c r="J1054">
        <v>1387.5891113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558.71784400000001</v>
      </c>
      <c r="B1055" s="1">
        <f>DATE(2011,11,10) + TIME(17,13,41)</f>
        <v>40857.717835648145</v>
      </c>
      <c r="C1055">
        <v>90</v>
      </c>
      <c r="D1055">
        <v>88.140060425000001</v>
      </c>
      <c r="E1055">
        <v>30</v>
      </c>
      <c r="F1055">
        <v>29.984376907000001</v>
      </c>
      <c r="G1055">
        <v>1305.015625</v>
      </c>
      <c r="H1055">
        <v>1294.0443115</v>
      </c>
      <c r="I1055">
        <v>1415.9622803</v>
      </c>
      <c r="J1055">
        <v>1387.5959473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559.18995500000005</v>
      </c>
      <c r="B1056" s="1">
        <f>DATE(2011,11,11) + TIME(4,33,32)</f>
        <v>40858.189953703702</v>
      </c>
      <c r="C1056">
        <v>90</v>
      </c>
      <c r="D1056">
        <v>88.067222595000004</v>
      </c>
      <c r="E1056">
        <v>30</v>
      </c>
      <c r="F1056">
        <v>29.984266281</v>
      </c>
      <c r="G1056">
        <v>1304.9882812000001</v>
      </c>
      <c r="H1056">
        <v>1294.0137939000001</v>
      </c>
      <c r="I1056">
        <v>1415.9558105000001</v>
      </c>
      <c r="J1056">
        <v>1387.6027832</v>
      </c>
      <c r="K1056">
        <v>0</v>
      </c>
      <c r="L1056">
        <v>2400</v>
      </c>
      <c r="M1056">
        <v>2400</v>
      </c>
      <c r="N1056">
        <v>0</v>
      </c>
    </row>
    <row r="1057" spans="1:14" x14ac:dyDescent="0.25">
      <c r="A1057">
        <v>559.672237</v>
      </c>
      <c r="B1057" s="1">
        <f>DATE(2011,11,11) + TIME(16,8,1)</f>
        <v>40858.672233796293</v>
      </c>
      <c r="C1057">
        <v>90</v>
      </c>
      <c r="D1057">
        <v>87.992988585999996</v>
      </c>
      <c r="E1057">
        <v>30</v>
      </c>
      <c r="F1057">
        <v>29.984189987000001</v>
      </c>
      <c r="G1057">
        <v>1304.9595947</v>
      </c>
      <c r="H1057">
        <v>1293.9819336</v>
      </c>
      <c r="I1057">
        <v>1415.949707</v>
      </c>
      <c r="J1057">
        <v>1387.6096190999999</v>
      </c>
      <c r="K1057">
        <v>0</v>
      </c>
      <c r="L1057">
        <v>2400</v>
      </c>
      <c r="M1057">
        <v>2400</v>
      </c>
      <c r="N1057">
        <v>0</v>
      </c>
    </row>
    <row r="1058" spans="1:14" x14ac:dyDescent="0.25">
      <c r="A1058">
        <v>560.16058799999996</v>
      </c>
      <c r="B1058" s="1">
        <f>DATE(2011,11,12) + TIME(3,51,14)</f>
        <v>40859.160578703704</v>
      </c>
      <c r="C1058">
        <v>90</v>
      </c>
      <c r="D1058">
        <v>87.917930603000002</v>
      </c>
      <c r="E1058">
        <v>30</v>
      </c>
      <c r="F1058">
        <v>29.984140396000001</v>
      </c>
      <c r="G1058">
        <v>1304.9301757999999</v>
      </c>
      <c r="H1058">
        <v>1293.9493408000001</v>
      </c>
      <c r="I1058">
        <v>1415.9438477000001</v>
      </c>
      <c r="J1058">
        <v>1387.6164550999999</v>
      </c>
      <c r="K1058">
        <v>0</v>
      </c>
      <c r="L1058">
        <v>2400</v>
      </c>
      <c r="M1058">
        <v>2400</v>
      </c>
      <c r="N1058">
        <v>0</v>
      </c>
    </row>
    <row r="1059" spans="1:14" x14ac:dyDescent="0.25">
      <c r="A1059">
        <v>560.65662399999997</v>
      </c>
      <c r="B1059" s="1">
        <f>DATE(2011,11,12) + TIME(15,45,32)</f>
        <v>40859.65662037037</v>
      </c>
      <c r="C1059">
        <v>90</v>
      </c>
      <c r="D1059">
        <v>87.842094420999999</v>
      </c>
      <c r="E1059">
        <v>30</v>
      </c>
      <c r="F1059">
        <v>29.984107971</v>
      </c>
      <c r="G1059">
        <v>1304.9005127</v>
      </c>
      <c r="H1059">
        <v>1293.9162598</v>
      </c>
      <c r="I1059">
        <v>1415.9383545000001</v>
      </c>
      <c r="J1059">
        <v>1387.6231689000001</v>
      </c>
      <c r="K1059">
        <v>0</v>
      </c>
      <c r="L1059">
        <v>2400</v>
      </c>
      <c r="M1059">
        <v>2400</v>
      </c>
      <c r="N1059">
        <v>0</v>
      </c>
    </row>
    <row r="1060" spans="1:14" x14ac:dyDescent="0.25">
      <c r="A1060">
        <v>561.16193999999996</v>
      </c>
      <c r="B1060" s="1">
        <f>DATE(2011,11,13) + TIME(3,53,11)</f>
        <v>40860.161932870367</v>
      </c>
      <c r="C1060">
        <v>90</v>
      </c>
      <c r="D1060">
        <v>87.765434264999996</v>
      </c>
      <c r="E1060">
        <v>30</v>
      </c>
      <c r="F1060">
        <v>29.984086990000002</v>
      </c>
      <c r="G1060">
        <v>1304.8703613</v>
      </c>
      <c r="H1060">
        <v>1293.8825684000001</v>
      </c>
      <c r="I1060">
        <v>1415.9332274999999</v>
      </c>
      <c r="J1060">
        <v>1387.6297606999999</v>
      </c>
      <c r="K1060">
        <v>0</v>
      </c>
      <c r="L1060">
        <v>2400</v>
      </c>
      <c r="M1060">
        <v>2400</v>
      </c>
      <c r="N1060">
        <v>0</v>
      </c>
    </row>
    <row r="1061" spans="1:14" x14ac:dyDescent="0.25">
      <c r="A1061">
        <v>561.67819799999995</v>
      </c>
      <c r="B1061" s="1">
        <f>DATE(2011,11,13) + TIME(16,16,36)</f>
        <v>40860.678194444445</v>
      </c>
      <c r="C1061">
        <v>90</v>
      </c>
      <c r="D1061">
        <v>87.687835692999997</v>
      </c>
      <c r="E1061">
        <v>30</v>
      </c>
      <c r="F1061">
        <v>29.984071732</v>
      </c>
      <c r="G1061">
        <v>1304.8395995999999</v>
      </c>
      <c r="H1061">
        <v>1293.8481445</v>
      </c>
      <c r="I1061">
        <v>1415.9283447</v>
      </c>
      <c r="J1061">
        <v>1387.6362305</v>
      </c>
      <c r="K1061">
        <v>0</v>
      </c>
      <c r="L1061">
        <v>2400</v>
      </c>
      <c r="M1061">
        <v>2400</v>
      </c>
      <c r="N1061">
        <v>0</v>
      </c>
    </row>
    <row r="1062" spans="1:14" x14ac:dyDescent="0.25">
      <c r="A1062">
        <v>562.20715600000005</v>
      </c>
      <c r="B1062" s="1">
        <f>DATE(2011,11,14) + TIME(4,58,18)</f>
        <v>40861.207152777781</v>
      </c>
      <c r="C1062">
        <v>90</v>
      </c>
      <c r="D1062">
        <v>87.609146117999998</v>
      </c>
      <c r="E1062">
        <v>30</v>
      </c>
      <c r="F1062">
        <v>29.984064102000001</v>
      </c>
      <c r="G1062">
        <v>1304.8081055</v>
      </c>
      <c r="H1062">
        <v>1293.8129882999999</v>
      </c>
      <c r="I1062">
        <v>1415.9238281</v>
      </c>
      <c r="J1062">
        <v>1387.6427002</v>
      </c>
      <c r="K1062">
        <v>0</v>
      </c>
      <c r="L1062">
        <v>2400</v>
      </c>
      <c r="M1062">
        <v>2400</v>
      </c>
      <c r="N1062">
        <v>0</v>
      </c>
    </row>
    <row r="1063" spans="1:14" x14ac:dyDescent="0.25">
      <c r="A1063">
        <v>562.75062000000003</v>
      </c>
      <c r="B1063" s="1">
        <f>DATE(2011,11,14) + TIME(18,0,53)</f>
        <v>40861.750613425924</v>
      </c>
      <c r="C1063">
        <v>90</v>
      </c>
      <c r="D1063">
        <v>87.529174804999997</v>
      </c>
      <c r="E1063">
        <v>30</v>
      </c>
      <c r="F1063">
        <v>29.984060286999998</v>
      </c>
      <c r="G1063">
        <v>1304.7758789</v>
      </c>
      <c r="H1063">
        <v>1293.7767334</v>
      </c>
      <c r="I1063">
        <v>1415.9194336</v>
      </c>
      <c r="J1063">
        <v>1387.6490478999999</v>
      </c>
      <c r="K1063">
        <v>0</v>
      </c>
      <c r="L1063">
        <v>2400</v>
      </c>
      <c r="M1063">
        <v>2400</v>
      </c>
      <c r="N1063">
        <v>0</v>
      </c>
    </row>
    <row r="1064" spans="1:14" x14ac:dyDescent="0.25">
      <c r="A1064">
        <v>563.31056100000001</v>
      </c>
      <c r="B1064" s="1">
        <f>DATE(2011,11,15) + TIME(7,27,12)</f>
        <v>40862.310555555552</v>
      </c>
      <c r="C1064">
        <v>90</v>
      </c>
      <c r="D1064">
        <v>87.447708129999995</v>
      </c>
      <c r="E1064">
        <v>30</v>
      </c>
      <c r="F1064">
        <v>29.984060286999998</v>
      </c>
      <c r="G1064">
        <v>1304.7426757999999</v>
      </c>
      <c r="H1064">
        <v>1293.7395019999999</v>
      </c>
      <c r="I1064">
        <v>1415.9154053</v>
      </c>
      <c r="J1064">
        <v>1387.6553954999999</v>
      </c>
      <c r="K1064">
        <v>0</v>
      </c>
      <c r="L1064">
        <v>2400</v>
      </c>
      <c r="M1064">
        <v>2400</v>
      </c>
      <c r="N1064">
        <v>0</v>
      </c>
    </row>
    <row r="1065" spans="1:14" x14ac:dyDescent="0.25">
      <c r="A1065">
        <v>563.88942799999995</v>
      </c>
      <c r="B1065" s="1">
        <f>DATE(2011,11,15) + TIME(21,20,46)</f>
        <v>40862.889421296299</v>
      </c>
      <c r="C1065">
        <v>90</v>
      </c>
      <c r="D1065">
        <v>87.364501953000001</v>
      </c>
      <c r="E1065">
        <v>30</v>
      </c>
      <c r="F1065">
        <v>29.984060286999998</v>
      </c>
      <c r="G1065">
        <v>1304.708374</v>
      </c>
      <c r="H1065">
        <v>1293.7009277</v>
      </c>
      <c r="I1065">
        <v>1415.911499</v>
      </c>
      <c r="J1065">
        <v>1387.6618652</v>
      </c>
      <c r="K1065">
        <v>0</v>
      </c>
      <c r="L1065">
        <v>2400</v>
      </c>
      <c r="M1065">
        <v>2400</v>
      </c>
      <c r="N1065">
        <v>0</v>
      </c>
    </row>
    <row r="1066" spans="1:14" x14ac:dyDescent="0.25">
      <c r="A1066">
        <v>564.48979999999995</v>
      </c>
      <c r="B1066" s="1">
        <f>DATE(2011,11,16) + TIME(11,45,18)</f>
        <v>40863.489791666667</v>
      </c>
      <c r="C1066">
        <v>90</v>
      </c>
      <c r="D1066">
        <v>87.279266356999997</v>
      </c>
      <c r="E1066">
        <v>30</v>
      </c>
      <c r="F1066">
        <v>29.984064102000001</v>
      </c>
      <c r="G1066">
        <v>1304.6728516000001</v>
      </c>
      <c r="H1066">
        <v>1293.6608887</v>
      </c>
      <c r="I1066">
        <v>1415.9078368999999</v>
      </c>
      <c r="J1066">
        <v>1387.6683350000001</v>
      </c>
      <c r="K1066">
        <v>0</v>
      </c>
      <c r="L1066">
        <v>2400</v>
      </c>
      <c r="M1066">
        <v>2400</v>
      </c>
      <c r="N1066">
        <v>0</v>
      </c>
    </row>
    <row r="1067" spans="1:14" x14ac:dyDescent="0.25">
      <c r="A1067">
        <v>565.11461799999995</v>
      </c>
      <c r="B1067" s="1">
        <f>DATE(2011,11,17) + TIME(2,45,3)</f>
        <v>40864.114618055559</v>
      </c>
      <c r="C1067">
        <v>90</v>
      </c>
      <c r="D1067">
        <v>87.191688537999994</v>
      </c>
      <c r="E1067">
        <v>30</v>
      </c>
      <c r="F1067">
        <v>29.984067917000001</v>
      </c>
      <c r="G1067">
        <v>1304.6359863</v>
      </c>
      <c r="H1067">
        <v>1293.6192627</v>
      </c>
      <c r="I1067">
        <v>1415.9044189000001</v>
      </c>
      <c r="J1067">
        <v>1387.6748047000001</v>
      </c>
      <c r="K1067">
        <v>0</v>
      </c>
      <c r="L1067">
        <v>2400</v>
      </c>
      <c r="M1067">
        <v>2400</v>
      </c>
      <c r="N1067">
        <v>0</v>
      </c>
    </row>
    <row r="1068" spans="1:14" x14ac:dyDescent="0.25">
      <c r="A1068">
        <v>565.74626999999998</v>
      </c>
      <c r="B1068" s="1">
        <f>DATE(2011,11,17) + TIME(17,54,37)</f>
        <v>40864.746261574073</v>
      </c>
      <c r="C1068">
        <v>90</v>
      </c>
      <c r="D1068">
        <v>87.103080750000004</v>
      </c>
      <c r="E1068">
        <v>30</v>
      </c>
      <c r="F1068">
        <v>29.984071732</v>
      </c>
      <c r="G1068">
        <v>1304.5972899999999</v>
      </c>
      <c r="H1068">
        <v>1293.5758057</v>
      </c>
      <c r="I1068">
        <v>1415.9011230000001</v>
      </c>
      <c r="J1068">
        <v>1387.6813964999999</v>
      </c>
      <c r="K1068">
        <v>0</v>
      </c>
      <c r="L1068">
        <v>2400</v>
      </c>
      <c r="M1068">
        <v>2400</v>
      </c>
      <c r="N1068">
        <v>0</v>
      </c>
    </row>
    <row r="1069" spans="1:14" x14ac:dyDescent="0.25">
      <c r="A1069">
        <v>566.38612000000001</v>
      </c>
      <c r="B1069" s="1">
        <f>DATE(2011,11,18) + TIME(9,16,0)</f>
        <v>40865.386111111111</v>
      </c>
      <c r="C1069">
        <v>90</v>
      </c>
      <c r="D1069">
        <v>87.013740540000001</v>
      </c>
      <c r="E1069">
        <v>30</v>
      </c>
      <c r="F1069">
        <v>29.984077454000001</v>
      </c>
      <c r="G1069">
        <v>1304.5582274999999</v>
      </c>
      <c r="H1069">
        <v>1293.5314940999999</v>
      </c>
      <c r="I1069">
        <v>1415.8980713000001</v>
      </c>
      <c r="J1069">
        <v>1387.6878661999999</v>
      </c>
      <c r="K1069">
        <v>0</v>
      </c>
      <c r="L1069">
        <v>2400</v>
      </c>
      <c r="M1069">
        <v>2400</v>
      </c>
      <c r="N1069">
        <v>0</v>
      </c>
    </row>
    <row r="1070" spans="1:14" x14ac:dyDescent="0.25">
      <c r="A1070">
        <v>567.03598299999999</v>
      </c>
      <c r="B1070" s="1">
        <f>DATE(2011,11,19) + TIME(0,51,48)</f>
        <v>40866.03597222222</v>
      </c>
      <c r="C1070">
        <v>90</v>
      </c>
      <c r="D1070">
        <v>86.923706054999997</v>
      </c>
      <c r="E1070">
        <v>30</v>
      </c>
      <c r="F1070">
        <v>29.984083175999999</v>
      </c>
      <c r="G1070">
        <v>1304.5183105000001</v>
      </c>
      <c r="H1070">
        <v>1293.4863281</v>
      </c>
      <c r="I1070">
        <v>1415.8952637</v>
      </c>
      <c r="J1070">
        <v>1387.6942139</v>
      </c>
      <c r="K1070">
        <v>0</v>
      </c>
      <c r="L1070">
        <v>2400</v>
      </c>
      <c r="M1070">
        <v>2400</v>
      </c>
      <c r="N1070">
        <v>0</v>
      </c>
    </row>
    <row r="1071" spans="1:14" x14ac:dyDescent="0.25">
      <c r="A1071">
        <v>567.69772399999999</v>
      </c>
      <c r="B1071" s="1">
        <f>DATE(2011,11,19) + TIME(16,44,43)</f>
        <v>40866.69771990741</v>
      </c>
      <c r="C1071">
        <v>90</v>
      </c>
      <c r="D1071">
        <v>86.832923889</v>
      </c>
      <c r="E1071">
        <v>30</v>
      </c>
      <c r="F1071">
        <v>29.984088898</v>
      </c>
      <c r="G1071">
        <v>1304.4777832</v>
      </c>
      <c r="H1071">
        <v>1293.4401855000001</v>
      </c>
      <c r="I1071">
        <v>1415.8927002</v>
      </c>
      <c r="J1071">
        <v>1387.7005615</v>
      </c>
      <c r="K1071">
        <v>0</v>
      </c>
      <c r="L1071">
        <v>2400</v>
      </c>
      <c r="M1071">
        <v>2400</v>
      </c>
      <c r="N1071">
        <v>0</v>
      </c>
    </row>
    <row r="1072" spans="1:14" x14ac:dyDescent="0.25">
      <c r="A1072">
        <v>568.37330099999997</v>
      </c>
      <c r="B1072" s="1">
        <f>DATE(2011,11,20) + TIME(8,57,33)</f>
        <v>40867.373298611114</v>
      </c>
      <c r="C1072">
        <v>90</v>
      </c>
      <c r="D1072">
        <v>86.741249084000003</v>
      </c>
      <c r="E1072">
        <v>30</v>
      </c>
      <c r="F1072">
        <v>29.984096526999998</v>
      </c>
      <c r="G1072">
        <v>1304.4361572</v>
      </c>
      <c r="H1072">
        <v>1293.3928223</v>
      </c>
      <c r="I1072">
        <v>1415.8903809000001</v>
      </c>
      <c r="J1072">
        <v>1387.7069091999999</v>
      </c>
      <c r="K1072">
        <v>0</v>
      </c>
      <c r="L1072">
        <v>2400</v>
      </c>
      <c r="M1072">
        <v>2400</v>
      </c>
      <c r="N1072">
        <v>0</v>
      </c>
    </row>
    <row r="1073" spans="1:14" x14ac:dyDescent="0.25">
      <c r="A1073">
        <v>569.06480299999998</v>
      </c>
      <c r="B1073" s="1">
        <f>DATE(2011,11,21) + TIME(1,33,18)</f>
        <v>40868.064791666664</v>
      </c>
      <c r="C1073">
        <v>90</v>
      </c>
      <c r="D1073">
        <v>86.648506165000001</v>
      </c>
      <c r="E1073">
        <v>30</v>
      </c>
      <c r="F1073">
        <v>29.984104156000001</v>
      </c>
      <c r="G1073">
        <v>1304.3935547000001</v>
      </c>
      <c r="H1073">
        <v>1293.3442382999999</v>
      </c>
      <c r="I1073">
        <v>1415.8883057</v>
      </c>
      <c r="J1073">
        <v>1387.7131348</v>
      </c>
      <c r="K1073">
        <v>0</v>
      </c>
      <c r="L1073">
        <v>2400</v>
      </c>
      <c r="M1073">
        <v>2400</v>
      </c>
      <c r="N1073">
        <v>0</v>
      </c>
    </row>
    <row r="1074" spans="1:14" x14ac:dyDescent="0.25">
      <c r="A1074">
        <v>569.77448900000002</v>
      </c>
      <c r="B1074" s="1">
        <f>DATE(2011,11,21) + TIME(18,35,15)</f>
        <v>40868.77447916667</v>
      </c>
      <c r="C1074">
        <v>90</v>
      </c>
      <c r="D1074">
        <v>86.554473877000007</v>
      </c>
      <c r="E1074">
        <v>30</v>
      </c>
      <c r="F1074">
        <v>29.984111786</v>
      </c>
      <c r="G1074">
        <v>1304.3497314000001</v>
      </c>
      <c r="H1074">
        <v>1293.2940673999999</v>
      </c>
      <c r="I1074">
        <v>1415.8862305</v>
      </c>
      <c r="J1074">
        <v>1387.7194824000001</v>
      </c>
      <c r="K1074">
        <v>0</v>
      </c>
      <c r="L1074">
        <v>2400</v>
      </c>
      <c r="M1074">
        <v>2400</v>
      </c>
      <c r="N1074">
        <v>0</v>
      </c>
    </row>
    <row r="1075" spans="1:14" x14ac:dyDescent="0.25">
      <c r="A1075">
        <v>570.50455999999997</v>
      </c>
      <c r="B1075" s="1">
        <f>DATE(2011,11,22) + TIME(12,6,34)</f>
        <v>40869.504560185182</v>
      </c>
      <c r="C1075">
        <v>90</v>
      </c>
      <c r="D1075">
        <v>86.458923339999998</v>
      </c>
      <c r="E1075">
        <v>30</v>
      </c>
      <c r="F1075">
        <v>29.984119414999999</v>
      </c>
      <c r="G1075">
        <v>1304.3044434000001</v>
      </c>
      <c r="H1075">
        <v>1293.2421875</v>
      </c>
      <c r="I1075">
        <v>1415.8845214999999</v>
      </c>
      <c r="J1075">
        <v>1387.7257079999999</v>
      </c>
      <c r="K1075">
        <v>0</v>
      </c>
      <c r="L1075">
        <v>2400</v>
      </c>
      <c r="M1075">
        <v>2400</v>
      </c>
      <c r="N1075">
        <v>0</v>
      </c>
    </row>
    <row r="1076" spans="1:14" x14ac:dyDescent="0.25">
      <c r="A1076">
        <v>571.25792899999999</v>
      </c>
      <c r="B1076" s="1">
        <f>DATE(2011,11,23) + TIME(6,11,25)</f>
        <v>40870.257928240739</v>
      </c>
      <c r="C1076">
        <v>90</v>
      </c>
      <c r="D1076">
        <v>86.361579895000006</v>
      </c>
      <c r="E1076">
        <v>30</v>
      </c>
      <c r="F1076">
        <v>29.984127045000001</v>
      </c>
      <c r="G1076">
        <v>1304.2576904</v>
      </c>
      <c r="H1076">
        <v>1293.1883545000001</v>
      </c>
      <c r="I1076">
        <v>1415.8829346</v>
      </c>
      <c r="J1076">
        <v>1387.7320557</v>
      </c>
      <c r="K1076">
        <v>0</v>
      </c>
      <c r="L1076">
        <v>2400</v>
      </c>
      <c r="M1076">
        <v>2400</v>
      </c>
      <c r="N1076">
        <v>0</v>
      </c>
    </row>
    <row r="1077" spans="1:14" x14ac:dyDescent="0.25">
      <c r="A1077">
        <v>572.03773000000001</v>
      </c>
      <c r="B1077" s="1">
        <f>DATE(2011,11,24) + TIME(0,54,19)</f>
        <v>40871.037719907406</v>
      </c>
      <c r="C1077">
        <v>90</v>
      </c>
      <c r="D1077">
        <v>86.262153624999996</v>
      </c>
      <c r="E1077">
        <v>30</v>
      </c>
      <c r="F1077">
        <v>29.984136581000001</v>
      </c>
      <c r="G1077">
        <v>1304.2091064000001</v>
      </c>
      <c r="H1077">
        <v>1293.1323242000001</v>
      </c>
      <c r="I1077">
        <v>1415.8814697</v>
      </c>
      <c r="J1077">
        <v>1387.7385254000001</v>
      </c>
      <c r="K1077">
        <v>0</v>
      </c>
      <c r="L1077">
        <v>2400</v>
      </c>
      <c r="M1077">
        <v>2400</v>
      </c>
      <c r="N1077">
        <v>0</v>
      </c>
    </row>
    <row r="1078" spans="1:14" x14ac:dyDescent="0.25">
      <c r="A1078">
        <v>572.82581500000003</v>
      </c>
      <c r="B1078" s="1">
        <f>DATE(2011,11,24) + TIME(19,49,10)</f>
        <v>40871.825810185182</v>
      </c>
      <c r="C1078">
        <v>90</v>
      </c>
      <c r="D1078">
        <v>86.161735535000005</v>
      </c>
      <c r="E1078">
        <v>30</v>
      </c>
      <c r="F1078">
        <v>29.984146118000002</v>
      </c>
      <c r="G1078">
        <v>1304.1583252</v>
      </c>
      <c r="H1078">
        <v>1293.0739745999999</v>
      </c>
      <c r="I1078">
        <v>1415.8801269999999</v>
      </c>
      <c r="J1078">
        <v>1387.7449951000001</v>
      </c>
      <c r="K1078">
        <v>0</v>
      </c>
      <c r="L1078">
        <v>2400</v>
      </c>
      <c r="M1078">
        <v>2400</v>
      </c>
      <c r="N1078">
        <v>0</v>
      </c>
    </row>
    <row r="1079" spans="1:14" x14ac:dyDescent="0.25">
      <c r="A1079">
        <v>573.62374299999999</v>
      </c>
      <c r="B1079" s="1">
        <f>DATE(2011,11,25) + TIME(14,58,11)</f>
        <v>40872.623738425929</v>
      </c>
      <c r="C1079">
        <v>90</v>
      </c>
      <c r="D1079">
        <v>86.060684203999998</v>
      </c>
      <c r="E1079">
        <v>30</v>
      </c>
      <c r="F1079">
        <v>29.984153748000001</v>
      </c>
      <c r="G1079">
        <v>1304.1066894999999</v>
      </c>
      <c r="H1079">
        <v>1293.0141602000001</v>
      </c>
      <c r="I1079">
        <v>1415.8790283000001</v>
      </c>
      <c r="J1079">
        <v>1387.7513428</v>
      </c>
      <c r="K1079">
        <v>0</v>
      </c>
      <c r="L1079">
        <v>2400</v>
      </c>
      <c r="M1079">
        <v>2400</v>
      </c>
      <c r="N1079">
        <v>0</v>
      </c>
    </row>
    <row r="1080" spans="1:14" x14ac:dyDescent="0.25">
      <c r="A1080">
        <v>574.43357200000003</v>
      </c>
      <c r="B1080" s="1">
        <f>DATE(2011,11,26) + TIME(10,24,20)</f>
        <v>40873.433564814812</v>
      </c>
      <c r="C1080">
        <v>90</v>
      </c>
      <c r="D1080">
        <v>85.959091186999999</v>
      </c>
      <c r="E1080">
        <v>30</v>
      </c>
      <c r="F1080">
        <v>29.984163284000001</v>
      </c>
      <c r="G1080">
        <v>1304.0540771000001</v>
      </c>
      <c r="H1080">
        <v>1292.953125</v>
      </c>
      <c r="I1080">
        <v>1415.8781738</v>
      </c>
      <c r="J1080">
        <v>1387.7576904</v>
      </c>
      <c r="K1080">
        <v>0</v>
      </c>
      <c r="L1080">
        <v>2400</v>
      </c>
      <c r="M1080">
        <v>2400</v>
      </c>
      <c r="N1080">
        <v>0</v>
      </c>
    </row>
    <row r="1081" spans="1:14" x14ac:dyDescent="0.25">
      <c r="A1081">
        <v>575.257429</v>
      </c>
      <c r="B1081" s="1">
        <f>DATE(2011,11,27) + TIME(6,10,41)</f>
        <v>40874.257418981484</v>
      </c>
      <c r="C1081">
        <v>90</v>
      </c>
      <c r="D1081">
        <v>85.856872558999996</v>
      </c>
      <c r="E1081">
        <v>30</v>
      </c>
      <c r="F1081">
        <v>29.984174727999999</v>
      </c>
      <c r="G1081">
        <v>1304.0002440999999</v>
      </c>
      <c r="H1081">
        <v>1292.8903809000001</v>
      </c>
      <c r="I1081">
        <v>1415.8774414</v>
      </c>
      <c r="J1081">
        <v>1387.7639160000001</v>
      </c>
      <c r="K1081">
        <v>0</v>
      </c>
      <c r="L1081">
        <v>2400</v>
      </c>
      <c r="M1081">
        <v>2400</v>
      </c>
      <c r="N1081">
        <v>0</v>
      </c>
    </row>
    <row r="1082" spans="1:14" x14ac:dyDescent="0.25">
      <c r="A1082">
        <v>576.09754899999996</v>
      </c>
      <c r="B1082" s="1">
        <f>DATE(2011,11,28) + TIME(2,20,28)</f>
        <v>40875.097546296296</v>
      </c>
      <c r="C1082">
        <v>90</v>
      </c>
      <c r="D1082">
        <v>85.753890991000006</v>
      </c>
      <c r="E1082">
        <v>30</v>
      </c>
      <c r="F1082">
        <v>29.984184265</v>
      </c>
      <c r="G1082">
        <v>1303.9449463000001</v>
      </c>
      <c r="H1082">
        <v>1292.8258057</v>
      </c>
      <c r="I1082">
        <v>1415.8768310999999</v>
      </c>
      <c r="J1082">
        <v>1387.7702637</v>
      </c>
      <c r="K1082">
        <v>0</v>
      </c>
      <c r="L1082">
        <v>2400</v>
      </c>
      <c r="M1082">
        <v>2400</v>
      </c>
      <c r="N1082">
        <v>0</v>
      </c>
    </row>
    <row r="1083" spans="1:14" x14ac:dyDescent="0.25">
      <c r="A1083">
        <v>576.95631500000002</v>
      </c>
      <c r="B1083" s="1">
        <f>DATE(2011,11,28) + TIME(22,57,5)</f>
        <v>40875.956307870372</v>
      </c>
      <c r="C1083">
        <v>90</v>
      </c>
      <c r="D1083">
        <v>85.649940490999995</v>
      </c>
      <c r="E1083">
        <v>30</v>
      </c>
      <c r="F1083">
        <v>29.984195709000002</v>
      </c>
      <c r="G1083">
        <v>1303.8881836</v>
      </c>
      <c r="H1083">
        <v>1292.7593993999999</v>
      </c>
      <c r="I1083">
        <v>1415.8763428</v>
      </c>
      <c r="J1083">
        <v>1387.7764893000001</v>
      </c>
      <c r="K1083">
        <v>0</v>
      </c>
      <c r="L1083">
        <v>2400</v>
      </c>
      <c r="M1083">
        <v>2400</v>
      </c>
      <c r="N1083">
        <v>0</v>
      </c>
    </row>
    <row r="1084" spans="1:14" x14ac:dyDescent="0.25">
      <c r="A1084">
        <v>577.83630500000004</v>
      </c>
      <c r="B1084" s="1">
        <f>DATE(2011,11,29) + TIME(20,4,16)</f>
        <v>40876.836296296293</v>
      </c>
      <c r="C1084">
        <v>90</v>
      </c>
      <c r="D1084">
        <v>85.544792174999998</v>
      </c>
      <c r="E1084">
        <v>30</v>
      </c>
      <c r="F1084">
        <v>29.984205245999998</v>
      </c>
      <c r="G1084">
        <v>1303.8295897999999</v>
      </c>
      <c r="H1084">
        <v>1292.6905518000001</v>
      </c>
      <c r="I1084">
        <v>1415.8760986</v>
      </c>
      <c r="J1084">
        <v>1387.7827147999999</v>
      </c>
      <c r="K1084">
        <v>0</v>
      </c>
      <c r="L1084">
        <v>2400</v>
      </c>
      <c r="M1084">
        <v>2400</v>
      </c>
      <c r="N1084">
        <v>0</v>
      </c>
    </row>
    <row r="1085" spans="1:14" x14ac:dyDescent="0.25">
      <c r="A1085">
        <v>578.74025099999994</v>
      </c>
      <c r="B1085" s="1">
        <f>DATE(2011,11,30) + TIME(17,45,57)</f>
        <v>40877.740243055552</v>
      </c>
      <c r="C1085">
        <v>90</v>
      </c>
      <c r="D1085">
        <v>85.438194275000001</v>
      </c>
      <c r="E1085">
        <v>30</v>
      </c>
      <c r="F1085">
        <v>29.98421669</v>
      </c>
      <c r="G1085">
        <v>1303.769043</v>
      </c>
      <c r="H1085">
        <v>1292.6192627</v>
      </c>
      <c r="I1085">
        <v>1415.8758545000001</v>
      </c>
      <c r="J1085">
        <v>1387.7890625</v>
      </c>
      <c r="K1085">
        <v>0</v>
      </c>
      <c r="L1085">
        <v>2400</v>
      </c>
      <c r="M1085">
        <v>2400</v>
      </c>
      <c r="N1085">
        <v>0</v>
      </c>
    </row>
    <row r="1086" spans="1:14" x14ac:dyDescent="0.25">
      <c r="A1086">
        <v>579</v>
      </c>
      <c r="B1086" s="1">
        <f>DATE(2011,12,1) + TIME(0,0,0)</f>
        <v>40878</v>
      </c>
      <c r="C1086">
        <v>90</v>
      </c>
      <c r="D1086">
        <v>85.389907836999996</v>
      </c>
      <c r="E1086">
        <v>30</v>
      </c>
      <c r="F1086">
        <v>29.984220505</v>
      </c>
      <c r="G1086">
        <v>1303.7059326000001</v>
      </c>
      <c r="H1086">
        <v>1292.5506591999999</v>
      </c>
      <c r="I1086">
        <v>1415.875</v>
      </c>
      <c r="J1086">
        <v>1387.7944336</v>
      </c>
      <c r="K1086">
        <v>0</v>
      </c>
      <c r="L1086">
        <v>2400</v>
      </c>
      <c r="M1086">
        <v>2400</v>
      </c>
      <c r="N1086">
        <v>0</v>
      </c>
    </row>
    <row r="1087" spans="1:14" x14ac:dyDescent="0.25">
      <c r="A1087">
        <v>579.93076799999994</v>
      </c>
      <c r="B1087" s="1">
        <f>DATE(2011,12,1) + TIME(22,20,18)</f>
        <v>40878.930763888886</v>
      </c>
      <c r="C1087">
        <v>90</v>
      </c>
      <c r="D1087">
        <v>85.290863036999994</v>
      </c>
      <c r="E1087">
        <v>30</v>
      </c>
      <c r="F1087">
        <v>29.984231949000002</v>
      </c>
      <c r="G1087">
        <v>1303.6872559000001</v>
      </c>
      <c r="H1087">
        <v>1292.5216064000001</v>
      </c>
      <c r="I1087">
        <v>1415.8759766000001</v>
      </c>
      <c r="J1087">
        <v>1387.7971190999999</v>
      </c>
      <c r="K1087">
        <v>0</v>
      </c>
      <c r="L1087">
        <v>2400</v>
      </c>
      <c r="M1087">
        <v>2400</v>
      </c>
      <c r="N1087">
        <v>0</v>
      </c>
    </row>
    <row r="1088" spans="1:14" x14ac:dyDescent="0.25">
      <c r="A1088">
        <v>580.88052000000005</v>
      </c>
      <c r="B1088" s="1">
        <f>DATE(2011,12,2) + TIME(21,7,56)</f>
        <v>40879.880509259259</v>
      </c>
      <c r="C1088">
        <v>90</v>
      </c>
      <c r="D1088">
        <v>85.185836792000003</v>
      </c>
      <c r="E1088">
        <v>30</v>
      </c>
      <c r="F1088">
        <v>29.984245300000001</v>
      </c>
      <c r="G1088">
        <v>1303.6223144999999</v>
      </c>
      <c r="H1088">
        <v>1292.4451904</v>
      </c>
      <c r="I1088">
        <v>1415.8760986</v>
      </c>
      <c r="J1088">
        <v>1387.8034668</v>
      </c>
      <c r="K1088">
        <v>0</v>
      </c>
      <c r="L1088">
        <v>2400</v>
      </c>
      <c r="M1088">
        <v>2400</v>
      </c>
      <c r="N1088">
        <v>0</v>
      </c>
    </row>
    <row r="1089" spans="1:14" x14ac:dyDescent="0.25">
      <c r="A1089">
        <v>581.84146999999996</v>
      </c>
      <c r="B1089" s="1">
        <f>DATE(2011,12,3) + TIME(20,11,42)</f>
        <v>40880.841458333336</v>
      </c>
      <c r="C1089">
        <v>90</v>
      </c>
      <c r="D1089">
        <v>85.077835082999997</v>
      </c>
      <c r="E1089">
        <v>30</v>
      </c>
      <c r="F1089">
        <v>29.984256744</v>
      </c>
      <c r="G1089">
        <v>1303.5548096</v>
      </c>
      <c r="H1089">
        <v>1292.3653564000001</v>
      </c>
      <c r="I1089">
        <v>1415.8763428</v>
      </c>
      <c r="J1089">
        <v>1387.8096923999999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582.81598399999996</v>
      </c>
      <c r="B1090" s="1">
        <f>DATE(2011,12,4) + TIME(19,35,1)</f>
        <v>40881.815983796296</v>
      </c>
      <c r="C1090">
        <v>90</v>
      </c>
      <c r="D1090">
        <v>84.968254088999998</v>
      </c>
      <c r="E1090">
        <v>30</v>
      </c>
      <c r="F1090">
        <v>29.984270095999999</v>
      </c>
      <c r="G1090">
        <v>1303.4857178</v>
      </c>
      <c r="H1090">
        <v>1292.2832031</v>
      </c>
      <c r="I1090">
        <v>1415.8767089999999</v>
      </c>
      <c r="J1090">
        <v>1387.8160399999999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583.80643799999996</v>
      </c>
      <c r="B1091" s="1">
        <f>DATE(2011,12,5) + TIME(19,21,16)</f>
        <v>40882.806435185186</v>
      </c>
      <c r="C1091">
        <v>90</v>
      </c>
      <c r="D1091">
        <v>84.857566833000007</v>
      </c>
      <c r="E1091">
        <v>30</v>
      </c>
      <c r="F1091">
        <v>29.984283446999999</v>
      </c>
      <c r="G1091">
        <v>1303.4149170000001</v>
      </c>
      <c r="H1091">
        <v>1292.1984863</v>
      </c>
      <c r="I1091">
        <v>1415.8773193</v>
      </c>
      <c r="J1091">
        <v>1387.8222656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584.81533000000002</v>
      </c>
      <c r="B1092" s="1">
        <f>DATE(2011,12,6) + TIME(19,34,4)</f>
        <v>40883.815324074072</v>
      </c>
      <c r="C1092">
        <v>90</v>
      </c>
      <c r="D1092">
        <v>84.745971679999997</v>
      </c>
      <c r="E1092">
        <v>30</v>
      </c>
      <c r="F1092">
        <v>29.984296798999999</v>
      </c>
      <c r="G1092">
        <v>1303.3421631000001</v>
      </c>
      <c r="H1092">
        <v>1292.1112060999999</v>
      </c>
      <c r="I1092">
        <v>1415.8779297000001</v>
      </c>
      <c r="J1092">
        <v>1387.8284911999999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585.84532100000001</v>
      </c>
      <c r="B1093" s="1">
        <f>DATE(2011,12,7) + TIME(20,17,15)</f>
        <v>40884.845312500001</v>
      </c>
      <c r="C1093">
        <v>90</v>
      </c>
      <c r="D1093">
        <v>84.633392334000007</v>
      </c>
      <c r="E1093">
        <v>30</v>
      </c>
      <c r="F1093">
        <v>29.984310149999999</v>
      </c>
      <c r="G1093">
        <v>1303.2672118999999</v>
      </c>
      <c r="H1093">
        <v>1292.0209961</v>
      </c>
      <c r="I1093">
        <v>1415.8787841999999</v>
      </c>
      <c r="J1093">
        <v>1387.8347168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586.89927999999998</v>
      </c>
      <c r="B1094" s="1">
        <f>DATE(2011,12,8) + TIME(21,34,57)</f>
        <v>40885.899270833332</v>
      </c>
      <c r="C1094">
        <v>90</v>
      </c>
      <c r="D1094">
        <v>84.519660950000002</v>
      </c>
      <c r="E1094">
        <v>30</v>
      </c>
      <c r="F1094">
        <v>29.984325409</v>
      </c>
      <c r="G1094">
        <v>1303.1898193</v>
      </c>
      <c r="H1094">
        <v>1291.9274902</v>
      </c>
      <c r="I1094">
        <v>1415.8796387</v>
      </c>
      <c r="J1094">
        <v>1387.8409423999999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587.98033999999996</v>
      </c>
      <c r="B1095" s="1">
        <f>DATE(2011,12,9) + TIME(23,31,41)</f>
        <v>40886.98033564815</v>
      </c>
      <c r="C1095">
        <v>90</v>
      </c>
      <c r="D1095">
        <v>84.404541015999996</v>
      </c>
      <c r="E1095">
        <v>30</v>
      </c>
      <c r="F1095">
        <v>29.98433876</v>
      </c>
      <c r="G1095">
        <v>1303.1096190999999</v>
      </c>
      <c r="H1095">
        <v>1291.8304443</v>
      </c>
      <c r="I1095">
        <v>1415.8806152</v>
      </c>
      <c r="J1095">
        <v>1387.847168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589.08718599999997</v>
      </c>
      <c r="B1096" s="1">
        <f>DATE(2011,12,11) + TIME(2,5,32)</f>
        <v>40888.087175925924</v>
      </c>
      <c r="C1096">
        <v>90</v>
      </c>
      <c r="D1096">
        <v>84.287986755000006</v>
      </c>
      <c r="E1096">
        <v>30</v>
      </c>
      <c r="F1096">
        <v>29.984354019000001</v>
      </c>
      <c r="G1096">
        <v>1303.0264893000001</v>
      </c>
      <c r="H1096">
        <v>1291.7293701000001</v>
      </c>
      <c r="I1096">
        <v>1415.8818358999999</v>
      </c>
      <c r="J1096">
        <v>1387.8533935999999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590.20476799999994</v>
      </c>
      <c r="B1097" s="1">
        <f>DATE(2011,12,12) + TIME(4,54,51)</f>
        <v>40889.204756944448</v>
      </c>
      <c r="C1097">
        <v>90</v>
      </c>
      <c r="D1097">
        <v>84.170700073000006</v>
      </c>
      <c r="E1097">
        <v>30</v>
      </c>
      <c r="F1097">
        <v>29.984369277999999</v>
      </c>
      <c r="G1097">
        <v>1302.9401855000001</v>
      </c>
      <c r="H1097">
        <v>1291.6243896000001</v>
      </c>
      <c r="I1097">
        <v>1415.8830565999999</v>
      </c>
      <c r="J1097">
        <v>1387.8597411999999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591.33570199999997</v>
      </c>
      <c r="B1098" s="1">
        <f>DATE(2011,12,13) + TIME(8,3,24)</f>
        <v>40890.335694444446</v>
      </c>
      <c r="C1098">
        <v>90</v>
      </c>
      <c r="D1098">
        <v>84.053092957000004</v>
      </c>
      <c r="E1098">
        <v>30</v>
      </c>
      <c r="F1098">
        <v>29.984384537</v>
      </c>
      <c r="G1098">
        <v>1302.8519286999999</v>
      </c>
      <c r="H1098">
        <v>1291.5166016000001</v>
      </c>
      <c r="I1098">
        <v>1415.8843993999999</v>
      </c>
      <c r="J1098">
        <v>1387.8659668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592.48253399999999</v>
      </c>
      <c r="B1099" s="1">
        <f>DATE(2011,12,14) + TIME(11,34,50)</f>
        <v>40891.482523148145</v>
      </c>
      <c r="C1099">
        <v>90</v>
      </c>
      <c r="D1099">
        <v>83.935180664000001</v>
      </c>
      <c r="E1099">
        <v>30</v>
      </c>
      <c r="F1099">
        <v>29.984401703</v>
      </c>
      <c r="G1099">
        <v>1302.7614745999999</v>
      </c>
      <c r="H1099">
        <v>1291.4056396000001</v>
      </c>
      <c r="I1099">
        <v>1415.8857422000001</v>
      </c>
      <c r="J1099">
        <v>1387.8721923999999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593.64791400000001</v>
      </c>
      <c r="B1100" s="1">
        <f>DATE(2011,12,15) + TIME(15,32,59)</f>
        <v>40892.647905092592</v>
      </c>
      <c r="C1100">
        <v>90</v>
      </c>
      <c r="D1100">
        <v>83.816841124999996</v>
      </c>
      <c r="E1100">
        <v>30</v>
      </c>
      <c r="F1100">
        <v>29.984416962000001</v>
      </c>
      <c r="G1100">
        <v>1302.6685791</v>
      </c>
      <c r="H1100">
        <v>1291.2913818</v>
      </c>
      <c r="I1100">
        <v>1415.8873291</v>
      </c>
      <c r="J1100">
        <v>1387.8782959</v>
      </c>
      <c r="K1100">
        <v>0</v>
      </c>
      <c r="L1100">
        <v>2400</v>
      </c>
      <c r="M1100">
        <v>2400</v>
      </c>
      <c r="N1100">
        <v>0</v>
      </c>
    </row>
    <row r="1101" spans="1:14" x14ac:dyDescent="0.25">
      <c r="A1101">
        <v>594.83464200000003</v>
      </c>
      <c r="B1101" s="1">
        <f>DATE(2011,12,16) + TIME(20,1,53)</f>
        <v>40893.834641203706</v>
      </c>
      <c r="C1101">
        <v>90</v>
      </c>
      <c r="D1101">
        <v>83.697868346999996</v>
      </c>
      <c r="E1101">
        <v>30</v>
      </c>
      <c r="F1101">
        <v>29.984434128</v>
      </c>
      <c r="G1101">
        <v>1302.5729980000001</v>
      </c>
      <c r="H1101">
        <v>1291.1733397999999</v>
      </c>
      <c r="I1101">
        <v>1415.8889160000001</v>
      </c>
      <c r="J1101">
        <v>1387.8843993999999</v>
      </c>
      <c r="K1101">
        <v>0</v>
      </c>
      <c r="L1101">
        <v>2400</v>
      </c>
      <c r="M1101">
        <v>2400</v>
      </c>
      <c r="N1101">
        <v>0</v>
      </c>
    </row>
    <row r="1102" spans="1:14" x14ac:dyDescent="0.25">
      <c r="A1102">
        <v>596.04570699999999</v>
      </c>
      <c r="B1102" s="1">
        <f>DATE(2011,12,18) + TIME(1,5,49)</f>
        <v>40895.045706018522</v>
      </c>
      <c r="C1102">
        <v>90</v>
      </c>
      <c r="D1102">
        <v>83.578033446999996</v>
      </c>
      <c r="E1102">
        <v>30</v>
      </c>
      <c r="F1102">
        <v>29.984451293999999</v>
      </c>
      <c r="G1102">
        <v>1302.4742432</v>
      </c>
      <c r="H1102">
        <v>1291.0512695</v>
      </c>
      <c r="I1102">
        <v>1415.890625</v>
      </c>
      <c r="J1102">
        <v>1387.890625</v>
      </c>
      <c r="K1102">
        <v>0</v>
      </c>
      <c r="L1102">
        <v>2400</v>
      </c>
      <c r="M1102">
        <v>2400</v>
      </c>
      <c r="N1102">
        <v>0</v>
      </c>
    </row>
    <row r="1103" spans="1:14" x14ac:dyDescent="0.25">
      <c r="A1103">
        <v>597.28433800000005</v>
      </c>
      <c r="B1103" s="1">
        <f>DATE(2011,12,19) + TIME(6,49,26)</f>
        <v>40896.284328703703</v>
      </c>
      <c r="C1103">
        <v>90</v>
      </c>
      <c r="D1103">
        <v>83.457061768000003</v>
      </c>
      <c r="E1103">
        <v>30</v>
      </c>
      <c r="F1103">
        <v>29.984468459999999</v>
      </c>
      <c r="G1103">
        <v>1302.3723144999999</v>
      </c>
      <c r="H1103">
        <v>1290.9245605000001</v>
      </c>
      <c r="I1103">
        <v>1415.8923339999999</v>
      </c>
      <c r="J1103">
        <v>1387.8967285000001</v>
      </c>
      <c r="K1103">
        <v>0</v>
      </c>
      <c r="L1103">
        <v>2400</v>
      </c>
      <c r="M1103">
        <v>2400</v>
      </c>
      <c r="N1103">
        <v>0</v>
      </c>
    </row>
    <row r="1104" spans="1:14" x14ac:dyDescent="0.25">
      <c r="A1104">
        <v>598.553585</v>
      </c>
      <c r="B1104" s="1">
        <f>DATE(2011,12,20) + TIME(13,17,9)</f>
        <v>40897.553576388891</v>
      </c>
      <c r="C1104">
        <v>90</v>
      </c>
      <c r="D1104">
        <v>83.334701538000004</v>
      </c>
      <c r="E1104">
        <v>30</v>
      </c>
      <c r="F1104">
        <v>29.984485626000001</v>
      </c>
      <c r="G1104">
        <v>1302.2664795000001</v>
      </c>
      <c r="H1104">
        <v>1290.7929687999999</v>
      </c>
      <c r="I1104">
        <v>1415.8942870999999</v>
      </c>
      <c r="J1104">
        <v>1387.902832</v>
      </c>
      <c r="K1104">
        <v>0</v>
      </c>
      <c r="L1104">
        <v>2400</v>
      </c>
      <c r="M1104">
        <v>2400</v>
      </c>
      <c r="N1104">
        <v>0</v>
      </c>
    </row>
    <row r="1105" spans="1:14" x14ac:dyDescent="0.25">
      <c r="A1105">
        <v>599.83401900000001</v>
      </c>
      <c r="B1105" s="1">
        <f>DATE(2011,12,21) + TIME(20,0,59)</f>
        <v>40898.834016203706</v>
      </c>
      <c r="C1105">
        <v>90</v>
      </c>
      <c r="D1105">
        <v>83.211540221999996</v>
      </c>
      <c r="E1105">
        <v>30</v>
      </c>
      <c r="F1105">
        <v>29.984502792000001</v>
      </c>
      <c r="G1105">
        <v>1302.1567382999999</v>
      </c>
      <c r="H1105">
        <v>1290.6560059000001</v>
      </c>
      <c r="I1105">
        <v>1415.8962402</v>
      </c>
      <c r="J1105">
        <v>1387.9090576000001</v>
      </c>
      <c r="K1105">
        <v>0</v>
      </c>
      <c r="L1105">
        <v>2400</v>
      </c>
      <c r="M1105">
        <v>2400</v>
      </c>
      <c r="N1105">
        <v>0</v>
      </c>
    </row>
    <row r="1106" spans="1:14" x14ac:dyDescent="0.25">
      <c r="A1106">
        <v>601.12850500000002</v>
      </c>
      <c r="B1106" s="1">
        <f>DATE(2011,12,23) + TIME(3,5,2)</f>
        <v>40900.128495370373</v>
      </c>
      <c r="C1106">
        <v>90</v>
      </c>
      <c r="D1106">
        <v>83.088088988999999</v>
      </c>
      <c r="E1106">
        <v>30</v>
      </c>
      <c r="F1106">
        <v>29.984521866000001</v>
      </c>
      <c r="G1106">
        <v>1302.0443115</v>
      </c>
      <c r="H1106">
        <v>1290.5151367000001</v>
      </c>
      <c r="I1106">
        <v>1415.8983154</v>
      </c>
      <c r="J1106">
        <v>1387.9151611</v>
      </c>
      <c r="K1106">
        <v>0</v>
      </c>
      <c r="L1106">
        <v>2400</v>
      </c>
      <c r="M1106">
        <v>2400</v>
      </c>
      <c r="N1106">
        <v>0</v>
      </c>
    </row>
    <row r="1107" spans="1:14" x14ac:dyDescent="0.25">
      <c r="A1107">
        <v>602.43984499999999</v>
      </c>
      <c r="B1107" s="1">
        <f>DATE(2011,12,24) + TIME(10,33,22)</f>
        <v>40901.439837962964</v>
      </c>
      <c r="C1107">
        <v>90</v>
      </c>
      <c r="D1107">
        <v>82.964378357000001</v>
      </c>
      <c r="E1107">
        <v>30</v>
      </c>
      <c r="F1107">
        <v>29.984539032000001</v>
      </c>
      <c r="G1107">
        <v>1301.9290771000001</v>
      </c>
      <c r="H1107">
        <v>1290.3703613</v>
      </c>
      <c r="I1107">
        <v>1415.9003906</v>
      </c>
      <c r="J1107">
        <v>1387.9212646000001</v>
      </c>
      <c r="K1107">
        <v>0</v>
      </c>
      <c r="L1107">
        <v>2400</v>
      </c>
      <c r="M1107">
        <v>2400</v>
      </c>
      <c r="N1107">
        <v>0</v>
      </c>
    </row>
    <row r="1108" spans="1:14" x14ac:dyDescent="0.25">
      <c r="A1108">
        <v>603.77090099999998</v>
      </c>
      <c r="B1108" s="1">
        <f>DATE(2011,12,25) + TIME(18,30,5)</f>
        <v>40902.770891203705</v>
      </c>
      <c r="C1108">
        <v>90</v>
      </c>
      <c r="D1108">
        <v>82.840263367000006</v>
      </c>
      <c r="E1108">
        <v>30</v>
      </c>
      <c r="F1108">
        <v>29.984558105000001</v>
      </c>
      <c r="G1108">
        <v>1301.8106689000001</v>
      </c>
      <c r="H1108">
        <v>1290.2211914</v>
      </c>
      <c r="I1108">
        <v>1415.9025879000001</v>
      </c>
      <c r="J1108">
        <v>1387.9272461</v>
      </c>
      <c r="K1108">
        <v>0</v>
      </c>
      <c r="L1108">
        <v>2400</v>
      </c>
      <c r="M1108">
        <v>2400</v>
      </c>
      <c r="N1108">
        <v>0</v>
      </c>
    </row>
    <row r="1109" spans="1:14" x14ac:dyDescent="0.25">
      <c r="A1109">
        <v>605.124686</v>
      </c>
      <c r="B1109" s="1">
        <f>DATE(2011,12,27) + TIME(2,59,32)</f>
        <v>40904.124675925923</v>
      </c>
      <c r="C1109">
        <v>90</v>
      </c>
      <c r="D1109">
        <v>82.715499878000003</v>
      </c>
      <c r="E1109">
        <v>30</v>
      </c>
      <c r="F1109">
        <v>29.984577178999999</v>
      </c>
      <c r="G1109">
        <v>1301.6887207</v>
      </c>
      <c r="H1109">
        <v>1290.0671387</v>
      </c>
      <c r="I1109">
        <v>1415.9047852000001</v>
      </c>
      <c r="J1109">
        <v>1387.9333495999999</v>
      </c>
      <c r="K1109">
        <v>0</v>
      </c>
      <c r="L1109">
        <v>2400</v>
      </c>
      <c r="M1109">
        <v>2400</v>
      </c>
      <c r="N1109">
        <v>0</v>
      </c>
    </row>
    <row r="1110" spans="1:14" x14ac:dyDescent="0.25">
      <c r="A1110">
        <v>606.50440600000002</v>
      </c>
      <c r="B1110" s="1">
        <f>DATE(2011,12,28) + TIME(12,6,20)</f>
        <v>40905.50439814815</v>
      </c>
      <c r="C1110">
        <v>90</v>
      </c>
      <c r="D1110">
        <v>82.589836121000005</v>
      </c>
      <c r="E1110">
        <v>30</v>
      </c>
      <c r="F1110">
        <v>29.984596251999999</v>
      </c>
      <c r="G1110">
        <v>1301.5631103999999</v>
      </c>
      <c r="H1110">
        <v>1289.9078368999999</v>
      </c>
      <c r="I1110">
        <v>1415.9071045000001</v>
      </c>
      <c r="J1110">
        <v>1387.9393310999999</v>
      </c>
      <c r="K1110">
        <v>0</v>
      </c>
      <c r="L1110">
        <v>2400</v>
      </c>
      <c r="M1110">
        <v>2400</v>
      </c>
      <c r="N1110">
        <v>0</v>
      </c>
    </row>
    <row r="1111" spans="1:14" x14ac:dyDescent="0.25">
      <c r="A1111">
        <v>607.91350899999998</v>
      </c>
      <c r="B1111" s="1">
        <f>DATE(2011,12,29) + TIME(21,55,27)</f>
        <v>40906.913506944446</v>
      </c>
      <c r="C1111">
        <v>90</v>
      </c>
      <c r="D1111">
        <v>82.462982178000004</v>
      </c>
      <c r="E1111">
        <v>30</v>
      </c>
      <c r="F1111">
        <v>29.984617233000002</v>
      </c>
      <c r="G1111">
        <v>1301.4332274999999</v>
      </c>
      <c r="H1111">
        <v>1289.7427978999999</v>
      </c>
      <c r="I1111">
        <v>1415.9094238</v>
      </c>
      <c r="J1111">
        <v>1387.9453125</v>
      </c>
      <c r="K1111">
        <v>0</v>
      </c>
      <c r="L1111">
        <v>2400</v>
      </c>
      <c r="M1111">
        <v>2400</v>
      </c>
      <c r="N1111">
        <v>0</v>
      </c>
    </row>
    <row r="1112" spans="1:14" x14ac:dyDescent="0.25">
      <c r="A1112">
        <v>609.34817099999998</v>
      </c>
      <c r="B1112" s="1">
        <f>DATE(2011,12,31) + TIME(8,21,21)</f>
        <v>40908.34815972222</v>
      </c>
      <c r="C1112">
        <v>90</v>
      </c>
      <c r="D1112">
        <v>82.334877014</v>
      </c>
      <c r="E1112">
        <v>30</v>
      </c>
      <c r="F1112">
        <v>29.984636306999999</v>
      </c>
      <c r="G1112">
        <v>1301.2987060999999</v>
      </c>
      <c r="H1112">
        <v>1289.5715332</v>
      </c>
      <c r="I1112">
        <v>1415.9118652</v>
      </c>
      <c r="J1112">
        <v>1387.9512939000001</v>
      </c>
      <c r="K1112">
        <v>0</v>
      </c>
      <c r="L1112">
        <v>2400</v>
      </c>
      <c r="M1112">
        <v>2400</v>
      </c>
      <c r="N1112">
        <v>0</v>
      </c>
    </row>
    <row r="1113" spans="1:14" x14ac:dyDescent="0.25">
      <c r="A1113">
        <v>610</v>
      </c>
      <c r="B1113" s="1">
        <f>DATE(2012,1,1) + TIME(0,0,0)</f>
        <v>40909</v>
      </c>
      <c r="C1113">
        <v>90</v>
      </c>
      <c r="D1113">
        <v>82.246162415000001</v>
      </c>
      <c r="E1113">
        <v>30</v>
      </c>
      <c r="F1113">
        <v>29.984645843999999</v>
      </c>
      <c r="G1113">
        <v>1301.1632079999999</v>
      </c>
      <c r="H1113">
        <v>1289.4046631000001</v>
      </c>
      <c r="I1113">
        <v>1415.9134521000001</v>
      </c>
      <c r="J1113">
        <v>1387.9564209</v>
      </c>
      <c r="K1113">
        <v>0</v>
      </c>
      <c r="L1113">
        <v>2400</v>
      </c>
      <c r="M1113">
        <v>2400</v>
      </c>
      <c r="N1113">
        <v>0</v>
      </c>
    </row>
    <row r="1114" spans="1:14" x14ac:dyDescent="0.25">
      <c r="A1114">
        <v>611.44745</v>
      </c>
      <c r="B1114" s="1">
        <f>DATE(2012,1,2) + TIME(10,44,19)</f>
        <v>40910.447442129633</v>
      </c>
      <c r="C1114">
        <v>90</v>
      </c>
      <c r="D1114">
        <v>82.136550903</v>
      </c>
      <c r="E1114">
        <v>30</v>
      </c>
      <c r="F1114">
        <v>29.984666824000001</v>
      </c>
      <c r="G1114">
        <v>1301.0916748</v>
      </c>
      <c r="H1114">
        <v>1289.3039550999999</v>
      </c>
      <c r="I1114">
        <v>1415.9155272999999</v>
      </c>
      <c r="J1114">
        <v>1387.9599608999999</v>
      </c>
      <c r="K1114">
        <v>0</v>
      </c>
      <c r="L1114">
        <v>2400</v>
      </c>
      <c r="M1114">
        <v>2400</v>
      </c>
      <c r="N1114">
        <v>0</v>
      </c>
    </row>
    <row r="1115" spans="1:14" x14ac:dyDescent="0.25">
      <c r="A1115">
        <v>612.91918499999997</v>
      </c>
      <c r="B1115" s="1">
        <f>DATE(2012,1,3) + TIME(22,3,37)</f>
        <v>40911.919178240743</v>
      </c>
      <c r="C1115">
        <v>90</v>
      </c>
      <c r="D1115">
        <v>82.014404296999999</v>
      </c>
      <c r="E1115">
        <v>30</v>
      </c>
      <c r="F1115">
        <v>29.984687805</v>
      </c>
      <c r="G1115">
        <v>1300.9511719</v>
      </c>
      <c r="H1115">
        <v>1289.1254882999999</v>
      </c>
      <c r="I1115">
        <v>1415.9179687999999</v>
      </c>
      <c r="J1115">
        <v>1387.9658202999999</v>
      </c>
      <c r="K1115">
        <v>0</v>
      </c>
      <c r="L1115">
        <v>2400</v>
      </c>
      <c r="M1115">
        <v>2400</v>
      </c>
      <c r="N1115">
        <v>0</v>
      </c>
    </row>
    <row r="1116" spans="1:14" x14ac:dyDescent="0.25">
      <c r="A1116">
        <v>614.41119700000002</v>
      </c>
      <c r="B1116" s="1">
        <f>DATE(2012,1,5) + TIME(9,52,7)</f>
        <v>40913.411192129628</v>
      </c>
      <c r="C1116">
        <v>90</v>
      </c>
      <c r="D1116">
        <v>81.886970520000006</v>
      </c>
      <c r="E1116">
        <v>30</v>
      </c>
      <c r="F1116">
        <v>29.984708785999999</v>
      </c>
      <c r="G1116">
        <v>1300.8045654</v>
      </c>
      <c r="H1116">
        <v>1288.9375</v>
      </c>
      <c r="I1116">
        <v>1415.9205322</v>
      </c>
      <c r="J1116">
        <v>1387.9716797000001</v>
      </c>
      <c r="K1116">
        <v>0</v>
      </c>
      <c r="L1116">
        <v>2400</v>
      </c>
      <c r="M1116">
        <v>2400</v>
      </c>
      <c r="N1116">
        <v>0</v>
      </c>
    </row>
    <row r="1117" spans="1:14" x14ac:dyDescent="0.25">
      <c r="A1117">
        <v>615.92674</v>
      </c>
      <c r="B1117" s="1">
        <f>DATE(2012,1,6) + TIME(22,14,30)</f>
        <v>40914.926736111112</v>
      </c>
      <c r="C1117">
        <v>90</v>
      </c>
      <c r="D1117">
        <v>81.756958007999998</v>
      </c>
      <c r="E1117">
        <v>30</v>
      </c>
      <c r="F1117">
        <v>29.984729767000001</v>
      </c>
      <c r="G1117">
        <v>1300.6530762</v>
      </c>
      <c r="H1117">
        <v>1288.7424315999999</v>
      </c>
      <c r="I1117">
        <v>1415.9232178</v>
      </c>
      <c r="J1117">
        <v>1387.9774170000001</v>
      </c>
      <c r="K1117">
        <v>0</v>
      </c>
      <c r="L1117">
        <v>2400</v>
      </c>
      <c r="M1117">
        <v>2400</v>
      </c>
      <c r="N1117">
        <v>0</v>
      </c>
    </row>
    <row r="1118" spans="1:14" x14ac:dyDescent="0.25">
      <c r="A1118">
        <v>617.4692</v>
      </c>
      <c r="B1118" s="1">
        <f>DATE(2012,1,8) + TIME(11,15,38)</f>
        <v>40916.469189814816</v>
      </c>
      <c r="C1118">
        <v>90</v>
      </c>
      <c r="D1118">
        <v>81.625152588000006</v>
      </c>
      <c r="E1118">
        <v>30</v>
      </c>
      <c r="F1118">
        <v>29.984750748</v>
      </c>
      <c r="G1118">
        <v>1300.4968262</v>
      </c>
      <c r="H1118">
        <v>1288.5405272999999</v>
      </c>
      <c r="I1118">
        <v>1415.9257812000001</v>
      </c>
      <c r="J1118">
        <v>1387.9832764</v>
      </c>
      <c r="K1118">
        <v>0</v>
      </c>
      <c r="L1118">
        <v>2400</v>
      </c>
      <c r="M1118">
        <v>2400</v>
      </c>
      <c r="N1118">
        <v>0</v>
      </c>
    </row>
    <row r="1119" spans="1:14" x14ac:dyDescent="0.25">
      <c r="A1119">
        <v>619.04220499999997</v>
      </c>
      <c r="B1119" s="1">
        <f>DATE(2012,1,10) + TIME(1,0,46)</f>
        <v>40918.042199074072</v>
      </c>
      <c r="C1119">
        <v>90</v>
      </c>
      <c r="D1119">
        <v>81.491607665999993</v>
      </c>
      <c r="E1119">
        <v>30</v>
      </c>
      <c r="F1119">
        <v>29.984773636</v>
      </c>
      <c r="G1119">
        <v>1300.3355713000001</v>
      </c>
      <c r="H1119">
        <v>1288.3314209</v>
      </c>
      <c r="I1119">
        <v>1415.9284668</v>
      </c>
      <c r="J1119">
        <v>1387.9890137</v>
      </c>
      <c r="K1119">
        <v>0</v>
      </c>
      <c r="L1119">
        <v>2400</v>
      </c>
      <c r="M1119">
        <v>2400</v>
      </c>
      <c r="N1119">
        <v>0</v>
      </c>
    </row>
    <row r="1120" spans="1:14" x14ac:dyDescent="0.25">
      <c r="A1120">
        <v>620.63753799999995</v>
      </c>
      <c r="B1120" s="1">
        <f>DATE(2012,1,11) + TIME(15,18,3)</f>
        <v>40919.63753472222</v>
      </c>
      <c r="C1120">
        <v>90</v>
      </c>
      <c r="D1120">
        <v>81.356468200999998</v>
      </c>
      <c r="E1120">
        <v>30</v>
      </c>
      <c r="F1120">
        <v>29.984796524</v>
      </c>
      <c r="G1120">
        <v>1300.1687012</v>
      </c>
      <c r="H1120">
        <v>1288.114624</v>
      </c>
      <c r="I1120">
        <v>1415.9312743999999</v>
      </c>
      <c r="J1120">
        <v>1387.994751</v>
      </c>
      <c r="K1120">
        <v>0</v>
      </c>
      <c r="L1120">
        <v>2400</v>
      </c>
      <c r="M1120">
        <v>2400</v>
      </c>
      <c r="N1120">
        <v>0</v>
      </c>
    </row>
    <row r="1121" spans="1:14" x14ac:dyDescent="0.25">
      <c r="A1121">
        <v>622.246667</v>
      </c>
      <c r="B1121" s="1">
        <f>DATE(2012,1,13) + TIME(5,55,12)</f>
        <v>40921.246666666666</v>
      </c>
      <c r="C1121">
        <v>90</v>
      </c>
      <c r="D1121">
        <v>81.220184325999995</v>
      </c>
      <c r="E1121">
        <v>30</v>
      </c>
      <c r="F1121">
        <v>29.984817504999999</v>
      </c>
      <c r="G1121">
        <v>1299.9971923999999</v>
      </c>
      <c r="H1121">
        <v>1287.8911132999999</v>
      </c>
      <c r="I1121">
        <v>1415.9339600000001</v>
      </c>
      <c r="J1121">
        <v>1388.0004882999999</v>
      </c>
      <c r="K1121">
        <v>0</v>
      </c>
      <c r="L1121">
        <v>2400</v>
      </c>
      <c r="M1121">
        <v>2400</v>
      </c>
      <c r="N1121">
        <v>0</v>
      </c>
    </row>
    <row r="1122" spans="1:14" x14ac:dyDescent="0.25">
      <c r="A1122">
        <v>623.873017</v>
      </c>
      <c r="B1122" s="1">
        <f>DATE(2012,1,14) + TIME(20,57,8)</f>
        <v>40922.87300925926</v>
      </c>
      <c r="C1122">
        <v>90</v>
      </c>
      <c r="D1122">
        <v>81.082984924000002</v>
      </c>
      <c r="E1122">
        <v>30</v>
      </c>
      <c r="F1122">
        <v>29.984840392999999</v>
      </c>
      <c r="G1122">
        <v>1299.8215332</v>
      </c>
      <c r="H1122">
        <v>1287.6616211</v>
      </c>
      <c r="I1122">
        <v>1415.9367675999999</v>
      </c>
      <c r="J1122">
        <v>1388.0061035000001</v>
      </c>
      <c r="K1122">
        <v>0</v>
      </c>
      <c r="L1122">
        <v>2400</v>
      </c>
      <c r="M1122">
        <v>2400</v>
      </c>
      <c r="N1122">
        <v>0</v>
      </c>
    </row>
    <row r="1123" spans="1:14" x14ac:dyDescent="0.25">
      <c r="A1123">
        <v>625.51985999999999</v>
      </c>
      <c r="B1123" s="1">
        <f>DATE(2012,1,16) + TIME(12,28,35)</f>
        <v>40924.519849537035</v>
      </c>
      <c r="C1123">
        <v>90</v>
      </c>
      <c r="D1123">
        <v>80.94468689</v>
      </c>
      <c r="E1123">
        <v>30</v>
      </c>
      <c r="F1123">
        <v>29.984863280999999</v>
      </c>
      <c r="G1123">
        <v>1299.6414795000001</v>
      </c>
      <c r="H1123">
        <v>1287.4259033000001</v>
      </c>
      <c r="I1123">
        <v>1415.9394531</v>
      </c>
      <c r="J1123">
        <v>1388.0117187999999</v>
      </c>
      <c r="K1123">
        <v>0</v>
      </c>
      <c r="L1123">
        <v>2400</v>
      </c>
      <c r="M1123">
        <v>2400</v>
      </c>
      <c r="N1123">
        <v>0</v>
      </c>
    </row>
    <row r="1124" spans="1:14" x14ac:dyDescent="0.25">
      <c r="A1124">
        <v>627.19066399999997</v>
      </c>
      <c r="B1124" s="1">
        <f>DATE(2012,1,18) + TIME(4,34,33)</f>
        <v>40926.190659722219</v>
      </c>
      <c r="C1124">
        <v>90</v>
      </c>
      <c r="D1124">
        <v>80.804977417000003</v>
      </c>
      <c r="E1124">
        <v>30</v>
      </c>
      <c r="F1124">
        <v>29.984886168999999</v>
      </c>
      <c r="G1124">
        <v>1299.4566649999999</v>
      </c>
      <c r="H1124">
        <v>1287.1832274999999</v>
      </c>
      <c r="I1124">
        <v>1415.9422606999999</v>
      </c>
      <c r="J1124">
        <v>1388.0172118999999</v>
      </c>
      <c r="K1124">
        <v>0</v>
      </c>
      <c r="L1124">
        <v>2400</v>
      </c>
      <c r="M1124">
        <v>2400</v>
      </c>
      <c r="N1124">
        <v>0</v>
      </c>
    </row>
    <row r="1125" spans="1:14" x14ac:dyDescent="0.25">
      <c r="A1125">
        <v>628.88897699999995</v>
      </c>
      <c r="B1125" s="1">
        <f>DATE(2012,1,19) + TIME(21,20,7)</f>
        <v>40927.888969907406</v>
      </c>
      <c r="C1125">
        <v>90</v>
      </c>
      <c r="D1125">
        <v>80.663459778000004</v>
      </c>
      <c r="E1125">
        <v>30</v>
      </c>
      <c r="F1125">
        <v>29.984910965000001</v>
      </c>
      <c r="G1125">
        <v>1299.2666016000001</v>
      </c>
      <c r="H1125">
        <v>1286.9331055</v>
      </c>
      <c r="I1125">
        <v>1415.9449463000001</v>
      </c>
      <c r="J1125">
        <v>1388.0227050999999</v>
      </c>
      <c r="K1125">
        <v>0</v>
      </c>
      <c r="L1125">
        <v>2400</v>
      </c>
      <c r="M1125">
        <v>2400</v>
      </c>
      <c r="N1125">
        <v>0</v>
      </c>
    </row>
    <row r="1126" spans="1:14" x14ac:dyDescent="0.25">
      <c r="A1126">
        <v>630.61858500000005</v>
      </c>
      <c r="B1126" s="1">
        <f>DATE(2012,1,21) + TIME(14,50,45)</f>
        <v>40929.618576388886</v>
      </c>
      <c r="C1126">
        <v>90</v>
      </c>
      <c r="D1126">
        <v>80.519721985000004</v>
      </c>
      <c r="E1126">
        <v>30</v>
      </c>
      <c r="F1126">
        <v>29.984933853000001</v>
      </c>
      <c r="G1126">
        <v>1299.0708007999999</v>
      </c>
      <c r="H1126">
        <v>1286.6749268000001</v>
      </c>
      <c r="I1126">
        <v>1415.9477539</v>
      </c>
      <c r="J1126">
        <v>1388.0281981999999</v>
      </c>
      <c r="K1126">
        <v>0</v>
      </c>
      <c r="L1126">
        <v>2400</v>
      </c>
      <c r="M1126">
        <v>2400</v>
      </c>
      <c r="N1126">
        <v>0</v>
      </c>
    </row>
    <row r="1127" spans="1:14" x14ac:dyDescent="0.25">
      <c r="A1127">
        <v>632.36748</v>
      </c>
      <c r="B1127" s="1">
        <f>DATE(2012,1,23) + TIME(8,49,10)</f>
        <v>40931.367476851854</v>
      </c>
      <c r="C1127">
        <v>90</v>
      </c>
      <c r="D1127">
        <v>80.373718261999997</v>
      </c>
      <c r="E1127">
        <v>30</v>
      </c>
      <c r="F1127">
        <v>29.984958648999999</v>
      </c>
      <c r="G1127">
        <v>1298.8687743999999</v>
      </c>
      <c r="H1127">
        <v>1286.4079589999999</v>
      </c>
      <c r="I1127">
        <v>1415.9505615</v>
      </c>
      <c r="J1127">
        <v>1388.0335693</v>
      </c>
      <c r="K1127">
        <v>0</v>
      </c>
      <c r="L1127">
        <v>2400</v>
      </c>
      <c r="M1127">
        <v>2400</v>
      </c>
      <c r="N1127">
        <v>0</v>
      </c>
    </row>
    <row r="1128" spans="1:14" x14ac:dyDescent="0.25">
      <c r="A1128">
        <v>634.13089500000001</v>
      </c>
      <c r="B1128" s="1">
        <f>DATE(2012,1,25) + TIME(3,8,29)</f>
        <v>40933.130891203706</v>
      </c>
      <c r="C1128">
        <v>90</v>
      </c>
      <c r="D1128">
        <v>80.225830078000001</v>
      </c>
      <c r="E1128">
        <v>30</v>
      </c>
      <c r="F1128">
        <v>29.984983444000001</v>
      </c>
      <c r="G1128">
        <v>1298.6617432</v>
      </c>
      <c r="H1128">
        <v>1286.1336670000001</v>
      </c>
      <c r="I1128">
        <v>1415.9532471</v>
      </c>
      <c r="J1128">
        <v>1388.0389404</v>
      </c>
      <c r="K1128">
        <v>0</v>
      </c>
      <c r="L1128">
        <v>2400</v>
      </c>
      <c r="M1128">
        <v>2400</v>
      </c>
      <c r="N1128">
        <v>0</v>
      </c>
    </row>
    <row r="1129" spans="1:14" x14ac:dyDescent="0.25">
      <c r="A1129">
        <v>635.91264999999999</v>
      </c>
      <c r="B1129" s="1">
        <f>DATE(2012,1,26) + TIME(21,54,12)</f>
        <v>40934.912638888891</v>
      </c>
      <c r="C1129">
        <v>90</v>
      </c>
      <c r="D1129">
        <v>80.076103209999999</v>
      </c>
      <c r="E1129">
        <v>30</v>
      </c>
      <c r="F1129">
        <v>29.985008239999999</v>
      </c>
      <c r="G1129">
        <v>1298.4500731999999</v>
      </c>
      <c r="H1129">
        <v>1285.8525391000001</v>
      </c>
      <c r="I1129">
        <v>1415.9560547000001</v>
      </c>
      <c r="J1129">
        <v>1388.0440673999999</v>
      </c>
      <c r="K1129">
        <v>0</v>
      </c>
      <c r="L1129">
        <v>2400</v>
      </c>
      <c r="M1129">
        <v>2400</v>
      </c>
      <c r="N1129">
        <v>0</v>
      </c>
    </row>
    <row r="1130" spans="1:14" x14ac:dyDescent="0.25">
      <c r="A1130">
        <v>637.71622000000002</v>
      </c>
      <c r="B1130" s="1">
        <f>DATE(2012,1,28) + TIME(17,11,21)</f>
        <v>40936.716215277775</v>
      </c>
      <c r="C1130">
        <v>90</v>
      </c>
      <c r="D1130">
        <v>79.924179077000005</v>
      </c>
      <c r="E1130">
        <v>30</v>
      </c>
      <c r="F1130">
        <v>29.985031127999999</v>
      </c>
      <c r="G1130">
        <v>1298.2333983999999</v>
      </c>
      <c r="H1130">
        <v>1285.5640868999999</v>
      </c>
      <c r="I1130">
        <v>1415.9587402</v>
      </c>
      <c r="J1130">
        <v>1388.0493164</v>
      </c>
      <c r="K1130">
        <v>0</v>
      </c>
      <c r="L1130">
        <v>2400</v>
      </c>
      <c r="M1130">
        <v>2400</v>
      </c>
      <c r="N1130">
        <v>0</v>
      </c>
    </row>
    <row r="1131" spans="1:14" x14ac:dyDescent="0.25">
      <c r="A1131">
        <v>639.545298</v>
      </c>
      <c r="B1131" s="1">
        <f>DATE(2012,1,30) + TIME(13,5,13)</f>
        <v>40938.545289351852</v>
      </c>
      <c r="C1131">
        <v>90</v>
      </c>
      <c r="D1131">
        <v>79.769584656000006</v>
      </c>
      <c r="E1131">
        <v>30</v>
      </c>
      <c r="F1131">
        <v>29.985055923000001</v>
      </c>
      <c r="G1131">
        <v>1298.0113524999999</v>
      </c>
      <c r="H1131">
        <v>1285.2677002</v>
      </c>
      <c r="I1131">
        <v>1415.9613036999999</v>
      </c>
      <c r="J1131">
        <v>1388.0543213000001</v>
      </c>
      <c r="K1131">
        <v>0</v>
      </c>
      <c r="L1131">
        <v>2400</v>
      </c>
      <c r="M1131">
        <v>2400</v>
      </c>
      <c r="N1131">
        <v>0</v>
      </c>
    </row>
    <row r="1132" spans="1:14" x14ac:dyDescent="0.25">
      <c r="A1132">
        <v>641</v>
      </c>
      <c r="B1132" s="1">
        <f>DATE(2012,2,1) + TIME(0,0,0)</f>
        <v>40940</v>
      </c>
      <c r="C1132">
        <v>90</v>
      </c>
      <c r="D1132">
        <v>79.624099731000001</v>
      </c>
      <c r="E1132">
        <v>30</v>
      </c>
      <c r="F1132">
        <v>29.985076904</v>
      </c>
      <c r="G1132">
        <v>1297.7854004000001</v>
      </c>
      <c r="H1132">
        <v>1284.9683838000001</v>
      </c>
      <c r="I1132">
        <v>1415.9636230000001</v>
      </c>
      <c r="J1132">
        <v>1388.0589600000001</v>
      </c>
      <c r="K1132">
        <v>0</v>
      </c>
      <c r="L1132">
        <v>2400</v>
      </c>
      <c r="M1132">
        <v>2400</v>
      </c>
      <c r="N1132">
        <v>0</v>
      </c>
    </row>
    <row r="1133" spans="1:14" x14ac:dyDescent="0.25">
      <c r="A1133">
        <v>642.85844099999997</v>
      </c>
      <c r="B1133" s="1">
        <f>DATE(2012,2,2) + TIME(20,36,9)</f>
        <v>40941.858437499999</v>
      </c>
      <c r="C1133">
        <v>90</v>
      </c>
      <c r="D1133">
        <v>79.479377747000001</v>
      </c>
      <c r="E1133">
        <v>30</v>
      </c>
      <c r="F1133">
        <v>29.985101700000001</v>
      </c>
      <c r="G1133">
        <v>1297.5948486</v>
      </c>
      <c r="H1133">
        <v>1284.7078856999999</v>
      </c>
      <c r="I1133">
        <v>1415.9659423999999</v>
      </c>
      <c r="J1133">
        <v>1388.0632324000001</v>
      </c>
      <c r="K1133">
        <v>0</v>
      </c>
      <c r="L1133">
        <v>2400</v>
      </c>
      <c r="M1133">
        <v>2400</v>
      </c>
      <c r="N1133">
        <v>0</v>
      </c>
    </row>
    <row r="1134" spans="1:14" x14ac:dyDescent="0.25">
      <c r="A1134">
        <v>644.75447899999995</v>
      </c>
      <c r="B1134" s="1">
        <f>DATE(2012,2,4) + TIME(18,6,26)</f>
        <v>40943.754467592589</v>
      </c>
      <c r="C1134">
        <v>90</v>
      </c>
      <c r="D1134">
        <v>79.320930481000005</v>
      </c>
      <c r="E1134">
        <v>30</v>
      </c>
      <c r="F1134">
        <v>29.985126494999999</v>
      </c>
      <c r="G1134">
        <v>1297.3612060999999</v>
      </c>
      <c r="H1134">
        <v>1284.395874</v>
      </c>
      <c r="I1134">
        <v>1415.9683838000001</v>
      </c>
      <c r="J1134">
        <v>1388.0679932</v>
      </c>
      <c r="K1134">
        <v>0</v>
      </c>
      <c r="L1134">
        <v>2400</v>
      </c>
      <c r="M1134">
        <v>2400</v>
      </c>
      <c r="N1134">
        <v>0</v>
      </c>
    </row>
    <row r="1135" spans="1:14" x14ac:dyDescent="0.25">
      <c r="A1135">
        <v>646.66632800000002</v>
      </c>
      <c r="B1135" s="1">
        <f>DATE(2012,2,6) + TIME(15,59,30)</f>
        <v>40945.666319444441</v>
      </c>
      <c r="C1135">
        <v>90</v>
      </c>
      <c r="D1135">
        <v>79.155319214000002</v>
      </c>
      <c r="E1135">
        <v>30</v>
      </c>
      <c r="F1135">
        <v>29.985153197999999</v>
      </c>
      <c r="G1135">
        <v>1297.1179199000001</v>
      </c>
      <c r="H1135">
        <v>1284.0690918</v>
      </c>
      <c r="I1135">
        <v>1415.9708252</v>
      </c>
      <c r="J1135">
        <v>1388.0726318</v>
      </c>
      <c r="K1135">
        <v>0</v>
      </c>
      <c r="L1135">
        <v>2400</v>
      </c>
      <c r="M1135">
        <v>2400</v>
      </c>
      <c r="N1135">
        <v>0</v>
      </c>
    </row>
    <row r="1136" spans="1:14" x14ac:dyDescent="0.25">
      <c r="A1136">
        <v>648.59815600000002</v>
      </c>
      <c r="B1136" s="1">
        <f>DATE(2012,2,8) + TIME(14,21,20)</f>
        <v>40947.59814814815</v>
      </c>
      <c r="C1136">
        <v>90</v>
      </c>
      <c r="D1136">
        <v>78.985061646000005</v>
      </c>
      <c r="E1136">
        <v>30</v>
      </c>
      <c r="F1136">
        <v>29.985179900999999</v>
      </c>
      <c r="G1136">
        <v>1296.8685303</v>
      </c>
      <c r="H1136">
        <v>1283.7331543</v>
      </c>
      <c r="I1136">
        <v>1415.9732666</v>
      </c>
      <c r="J1136">
        <v>1388.0772704999999</v>
      </c>
      <c r="K1136">
        <v>0</v>
      </c>
      <c r="L1136">
        <v>2400</v>
      </c>
      <c r="M1136">
        <v>2400</v>
      </c>
      <c r="N1136">
        <v>0</v>
      </c>
    </row>
    <row r="1137" spans="1:14" x14ac:dyDescent="0.25">
      <c r="A1137">
        <v>650.55371100000002</v>
      </c>
      <c r="B1137" s="1">
        <f>DATE(2012,2,10) + TIME(13,17,20)</f>
        <v>40949.553703703707</v>
      </c>
      <c r="C1137">
        <v>90</v>
      </c>
      <c r="D1137">
        <v>78.810455321999996</v>
      </c>
      <c r="E1137">
        <v>30</v>
      </c>
      <c r="F1137">
        <v>29.985204697</v>
      </c>
      <c r="G1137">
        <v>1296.6134033000001</v>
      </c>
      <c r="H1137">
        <v>1283.3884277</v>
      </c>
      <c r="I1137">
        <v>1415.9755858999999</v>
      </c>
      <c r="J1137">
        <v>1388.0817870999999</v>
      </c>
      <c r="K1137">
        <v>0</v>
      </c>
      <c r="L1137">
        <v>2400</v>
      </c>
      <c r="M1137">
        <v>2400</v>
      </c>
      <c r="N1137">
        <v>0</v>
      </c>
    </row>
    <row r="1138" spans="1:14" x14ac:dyDescent="0.25">
      <c r="A1138">
        <v>652.53692100000001</v>
      </c>
      <c r="B1138" s="1">
        <f>DATE(2012,2,12) + TIME(12,53,10)</f>
        <v>40951.536921296298</v>
      </c>
      <c r="C1138">
        <v>90</v>
      </c>
      <c r="D1138">
        <v>78.631111145000006</v>
      </c>
      <c r="E1138">
        <v>30</v>
      </c>
      <c r="F1138">
        <v>29.9852314</v>
      </c>
      <c r="G1138">
        <v>1296.3521728999999</v>
      </c>
      <c r="H1138">
        <v>1283.0345459</v>
      </c>
      <c r="I1138">
        <v>1415.9777832</v>
      </c>
      <c r="J1138">
        <v>1388.0861815999999</v>
      </c>
      <c r="K1138">
        <v>0</v>
      </c>
      <c r="L1138">
        <v>2400</v>
      </c>
      <c r="M1138">
        <v>2400</v>
      </c>
      <c r="N1138">
        <v>0</v>
      </c>
    </row>
    <row r="1139" spans="1:14" x14ac:dyDescent="0.25">
      <c r="A1139">
        <v>654.55201899999997</v>
      </c>
      <c r="B1139" s="1">
        <f>DATE(2012,2,14) + TIME(13,14,54)</f>
        <v>40953.55201388889</v>
      </c>
      <c r="C1139">
        <v>90</v>
      </c>
      <c r="D1139">
        <v>78.446411132999998</v>
      </c>
      <c r="E1139">
        <v>30</v>
      </c>
      <c r="F1139">
        <v>29.985258102</v>
      </c>
      <c r="G1139">
        <v>1296.0842285000001</v>
      </c>
      <c r="H1139">
        <v>1282.6710204999999</v>
      </c>
      <c r="I1139">
        <v>1415.9798584</v>
      </c>
      <c r="J1139">
        <v>1388.0904541</v>
      </c>
      <c r="K1139">
        <v>0</v>
      </c>
      <c r="L1139">
        <v>2400</v>
      </c>
      <c r="M1139">
        <v>2400</v>
      </c>
      <c r="N1139">
        <v>0</v>
      </c>
    </row>
    <row r="1140" spans="1:14" x14ac:dyDescent="0.25">
      <c r="A1140">
        <v>656.57975999999996</v>
      </c>
      <c r="B1140" s="1">
        <f>DATE(2012,2,16) + TIME(13,54,51)</f>
        <v>40955.579756944448</v>
      </c>
      <c r="C1140">
        <v>90</v>
      </c>
      <c r="D1140">
        <v>78.256202697999996</v>
      </c>
      <c r="E1140">
        <v>30</v>
      </c>
      <c r="F1140">
        <v>29.985284804999999</v>
      </c>
      <c r="G1140">
        <v>1295.8092041</v>
      </c>
      <c r="H1140">
        <v>1282.2971190999999</v>
      </c>
      <c r="I1140">
        <v>1415.9819336</v>
      </c>
      <c r="J1140">
        <v>1388.0946045000001</v>
      </c>
      <c r="K1140">
        <v>0</v>
      </c>
      <c r="L1140">
        <v>2400</v>
      </c>
      <c r="M1140">
        <v>2400</v>
      </c>
      <c r="N1140">
        <v>0</v>
      </c>
    </row>
    <row r="1141" spans="1:14" x14ac:dyDescent="0.25">
      <c r="A1141">
        <v>658.62318700000003</v>
      </c>
      <c r="B1141" s="1">
        <f>DATE(2012,2,18) + TIME(14,57,23)</f>
        <v>40957.623182870368</v>
      </c>
      <c r="C1141">
        <v>90</v>
      </c>
      <c r="D1141">
        <v>78.060913085999999</v>
      </c>
      <c r="E1141">
        <v>30</v>
      </c>
      <c r="F1141">
        <v>29.985311507999999</v>
      </c>
      <c r="G1141">
        <v>1295.5290527</v>
      </c>
      <c r="H1141">
        <v>1281.9155272999999</v>
      </c>
      <c r="I1141">
        <v>1415.9837646000001</v>
      </c>
      <c r="J1141">
        <v>1388.0985106999999</v>
      </c>
      <c r="K1141">
        <v>0</v>
      </c>
      <c r="L1141">
        <v>2400</v>
      </c>
      <c r="M1141">
        <v>2400</v>
      </c>
      <c r="N1141">
        <v>0</v>
      </c>
    </row>
    <row r="1142" spans="1:14" x14ac:dyDescent="0.25">
      <c r="A1142">
        <v>660.68695100000002</v>
      </c>
      <c r="B1142" s="1">
        <f>DATE(2012,2,20) + TIME(16,29,12)</f>
        <v>40959.686944444446</v>
      </c>
      <c r="C1142">
        <v>90</v>
      </c>
      <c r="D1142">
        <v>77.860153198000006</v>
      </c>
      <c r="E1142">
        <v>30</v>
      </c>
      <c r="F1142">
        <v>29.985338210999998</v>
      </c>
      <c r="G1142">
        <v>1295.2437743999999</v>
      </c>
      <c r="H1142">
        <v>1281.5258789</v>
      </c>
      <c r="I1142">
        <v>1415.9855957</v>
      </c>
      <c r="J1142">
        <v>1388.1024170000001</v>
      </c>
      <c r="K1142">
        <v>0</v>
      </c>
      <c r="L1142">
        <v>2400</v>
      </c>
      <c r="M1142">
        <v>2400</v>
      </c>
      <c r="N1142">
        <v>0</v>
      </c>
    </row>
    <row r="1143" spans="1:14" x14ac:dyDescent="0.25">
      <c r="A1143">
        <v>662.77498800000001</v>
      </c>
      <c r="B1143" s="1">
        <f>DATE(2012,2,22) + TIME(18,35,58)</f>
        <v>40961.774976851855</v>
      </c>
      <c r="C1143">
        <v>90</v>
      </c>
      <c r="D1143">
        <v>77.653221130000006</v>
      </c>
      <c r="E1143">
        <v>30</v>
      </c>
      <c r="F1143">
        <v>29.985366821</v>
      </c>
      <c r="G1143">
        <v>1294.9527588000001</v>
      </c>
      <c r="H1143">
        <v>1281.1275635</v>
      </c>
      <c r="I1143">
        <v>1415.9871826000001</v>
      </c>
      <c r="J1143">
        <v>1388.1060791</v>
      </c>
      <c r="K1143">
        <v>0</v>
      </c>
      <c r="L1143">
        <v>2400</v>
      </c>
      <c r="M1143">
        <v>2400</v>
      </c>
      <c r="N1143">
        <v>0</v>
      </c>
    </row>
    <row r="1144" spans="1:14" x14ac:dyDescent="0.25">
      <c r="A1144">
        <v>664.89138800000001</v>
      </c>
      <c r="B1144" s="1">
        <f>DATE(2012,2,24) + TIME(21,23,35)</f>
        <v>40963.891377314816</v>
      </c>
      <c r="C1144">
        <v>90</v>
      </c>
      <c r="D1144">
        <v>77.439323424999998</v>
      </c>
      <c r="E1144">
        <v>30</v>
      </c>
      <c r="F1144">
        <v>29.985393523999999</v>
      </c>
      <c r="G1144">
        <v>1294.6555175999999</v>
      </c>
      <c r="H1144">
        <v>1280.7197266000001</v>
      </c>
      <c r="I1144">
        <v>1415.9887695</v>
      </c>
      <c r="J1144">
        <v>1388.1096190999999</v>
      </c>
      <c r="K1144">
        <v>0</v>
      </c>
      <c r="L1144">
        <v>2400</v>
      </c>
      <c r="M1144">
        <v>2400</v>
      </c>
      <c r="N1144">
        <v>0</v>
      </c>
    </row>
    <row r="1145" spans="1:14" x14ac:dyDescent="0.25">
      <c r="A1145">
        <v>667.03261099999997</v>
      </c>
      <c r="B1145" s="1">
        <f>DATE(2012,2,27) + TIME(0,46,57)</f>
        <v>40966.032604166663</v>
      </c>
      <c r="C1145">
        <v>90</v>
      </c>
      <c r="D1145">
        <v>77.217796325999998</v>
      </c>
      <c r="E1145">
        <v>30</v>
      </c>
      <c r="F1145">
        <v>29.985420226999999</v>
      </c>
      <c r="G1145">
        <v>1294.3513184000001</v>
      </c>
      <c r="H1145">
        <v>1280.3017577999999</v>
      </c>
      <c r="I1145">
        <v>1415.9901123</v>
      </c>
      <c r="J1145">
        <v>1388.1129149999999</v>
      </c>
      <c r="K1145">
        <v>0</v>
      </c>
      <c r="L1145">
        <v>2400</v>
      </c>
      <c r="M1145">
        <v>2400</v>
      </c>
      <c r="N1145">
        <v>0</v>
      </c>
    </row>
    <row r="1146" spans="1:14" x14ac:dyDescent="0.25">
      <c r="A1146">
        <v>669.18771600000002</v>
      </c>
      <c r="B1146" s="1">
        <f>DATE(2012,2,29) + TIME(4,30,18)</f>
        <v>40968.187708333331</v>
      </c>
      <c r="C1146">
        <v>90</v>
      </c>
      <c r="D1146">
        <v>76.988601685000006</v>
      </c>
      <c r="E1146">
        <v>30</v>
      </c>
      <c r="F1146">
        <v>29.985448837</v>
      </c>
      <c r="G1146">
        <v>1294.0407714999999</v>
      </c>
      <c r="H1146">
        <v>1279.8740233999999</v>
      </c>
      <c r="I1146">
        <v>1415.9913329999999</v>
      </c>
      <c r="J1146">
        <v>1388.1160889</v>
      </c>
      <c r="K1146">
        <v>0</v>
      </c>
      <c r="L1146">
        <v>2400</v>
      </c>
      <c r="M1146">
        <v>2400</v>
      </c>
      <c r="N1146">
        <v>0</v>
      </c>
    </row>
    <row r="1147" spans="1:14" x14ac:dyDescent="0.25">
      <c r="A1147">
        <v>670</v>
      </c>
      <c r="B1147" s="1">
        <f>DATE(2012,3,1) + TIME(0,0,0)</f>
        <v>40969</v>
      </c>
      <c r="C1147">
        <v>90</v>
      </c>
      <c r="D1147">
        <v>76.823158264</v>
      </c>
      <c r="E1147">
        <v>30</v>
      </c>
      <c r="F1147">
        <v>29.985458374</v>
      </c>
      <c r="G1147">
        <v>1293.7385254000001</v>
      </c>
      <c r="H1147">
        <v>1279.4744873</v>
      </c>
      <c r="I1147">
        <v>1415.9912108999999</v>
      </c>
      <c r="J1147">
        <v>1388.1180420000001</v>
      </c>
      <c r="K1147">
        <v>0</v>
      </c>
      <c r="L1147">
        <v>2400</v>
      </c>
      <c r="M1147">
        <v>2400</v>
      </c>
      <c r="N1147">
        <v>0</v>
      </c>
    </row>
    <row r="1148" spans="1:14" x14ac:dyDescent="0.25">
      <c r="A1148">
        <v>672.17250200000001</v>
      </c>
      <c r="B1148" s="1">
        <f>DATE(2012,3,3) + TIME(4,8,24)</f>
        <v>40971.172500000001</v>
      </c>
      <c r="C1148">
        <v>90</v>
      </c>
      <c r="D1148">
        <v>76.640708923000005</v>
      </c>
      <c r="E1148">
        <v>30</v>
      </c>
      <c r="F1148">
        <v>29.985486984000001</v>
      </c>
      <c r="G1148">
        <v>1293.5893555</v>
      </c>
      <c r="H1148">
        <v>1279.2420654</v>
      </c>
      <c r="I1148">
        <v>1415.9927978999999</v>
      </c>
      <c r="J1148">
        <v>1388.1202393000001</v>
      </c>
      <c r="K1148">
        <v>0</v>
      </c>
      <c r="L1148">
        <v>2400</v>
      </c>
      <c r="M1148">
        <v>2400</v>
      </c>
      <c r="N1148">
        <v>0</v>
      </c>
    </row>
    <row r="1149" spans="1:14" x14ac:dyDescent="0.25">
      <c r="A1149">
        <v>674.37676699999997</v>
      </c>
      <c r="B1149" s="1">
        <f>DATE(2012,3,5) + TIME(9,2,32)</f>
        <v>40973.376759259256</v>
      </c>
      <c r="C1149">
        <v>90</v>
      </c>
      <c r="D1149">
        <v>76.407836914000001</v>
      </c>
      <c r="E1149">
        <v>30</v>
      </c>
      <c r="F1149">
        <v>29.985515593999999</v>
      </c>
      <c r="G1149">
        <v>1293.2788086</v>
      </c>
      <c r="H1149">
        <v>1278.8181152</v>
      </c>
      <c r="I1149">
        <v>1415.9934082</v>
      </c>
      <c r="J1149">
        <v>1388.1228027</v>
      </c>
      <c r="K1149">
        <v>0</v>
      </c>
      <c r="L1149">
        <v>2400</v>
      </c>
      <c r="M1149">
        <v>2400</v>
      </c>
      <c r="N1149">
        <v>0</v>
      </c>
    </row>
    <row r="1150" spans="1:14" x14ac:dyDescent="0.25">
      <c r="A1150">
        <v>676.60909700000002</v>
      </c>
      <c r="B1150" s="1">
        <f>DATE(2012,3,7) + TIME(14,37,6)</f>
        <v>40975.609097222223</v>
      </c>
      <c r="C1150">
        <v>90</v>
      </c>
      <c r="D1150">
        <v>76.154174804999997</v>
      </c>
      <c r="E1150">
        <v>30</v>
      </c>
      <c r="F1150">
        <v>29.985542296999999</v>
      </c>
      <c r="G1150">
        <v>1292.9525146000001</v>
      </c>
      <c r="H1150">
        <v>1278.3669434000001</v>
      </c>
      <c r="I1150">
        <v>1415.9940185999999</v>
      </c>
      <c r="J1150">
        <v>1388.1253661999999</v>
      </c>
      <c r="K1150">
        <v>0</v>
      </c>
      <c r="L1150">
        <v>2400</v>
      </c>
      <c r="M1150">
        <v>2400</v>
      </c>
      <c r="N1150">
        <v>0</v>
      </c>
    </row>
    <row r="1151" spans="1:14" x14ac:dyDescent="0.25">
      <c r="A1151">
        <v>678.86400500000002</v>
      </c>
      <c r="B1151" s="1">
        <f>DATE(2012,3,9) + TIME(20,44,9)</f>
        <v>40977.863993055558</v>
      </c>
      <c r="C1151">
        <v>90</v>
      </c>
      <c r="D1151">
        <v>75.887542725000003</v>
      </c>
      <c r="E1151">
        <v>30</v>
      </c>
      <c r="F1151">
        <v>29.985570908</v>
      </c>
      <c r="G1151">
        <v>1292.6171875</v>
      </c>
      <c r="H1151">
        <v>1277.901001</v>
      </c>
      <c r="I1151">
        <v>1415.9943848</v>
      </c>
      <c r="J1151">
        <v>1388.1275635</v>
      </c>
      <c r="K1151">
        <v>0</v>
      </c>
      <c r="L1151">
        <v>2400</v>
      </c>
      <c r="M1151">
        <v>2400</v>
      </c>
      <c r="N1151">
        <v>0</v>
      </c>
    </row>
    <row r="1152" spans="1:14" x14ac:dyDescent="0.25">
      <c r="A1152">
        <v>681.13368100000002</v>
      </c>
      <c r="B1152" s="1">
        <f>DATE(2012,3,12) + TIME(3,12,30)</f>
        <v>40980.133680555555</v>
      </c>
      <c r="C1152">
        <v>90</v>
      </c>
      <c r="D1152">
        <v>75.610176085999996</v>
      </c>
      <c r="E1152">
        <v>30</v>
      </c>
      <c r="F1152">
        <v>29.985599518000001</v>
      </c>
      <c r="G1152">
        <v>1292.2751464999999</v>
      </c>
      <c r="H1152">
        <v>1277.4243164</v>
      </c>
      <c r="I1152">
        <v>1415.9946289</v>
      </c>
      <c r="J1152">
        <v>1388.1296387</v>
      </c>
      <c r="K1152">
        <v>0</v>
      </c>
      <c r="L1152">
        <v>2400</v>
      </c>
      <c r="M1152">
        <v>2400</v>
      </c>
      <c r="N1152">
        <v>0</v>
      </c>
    </row>
    <row r="1153" spans="1:14" x14ac:dyDescent="0.25">
      <c r="A1153">
        <v>683.42135900000005</v>
      </c>
      <c r="B1153" s="1">
        <f>DATE(2012,3,14) + TIME(10,6,45)</f>
        <v>40982.421354166669</v>
      </c>
      <c r="C1153">
        <v>90</v>
      </c>
      <c r="D1153">
        <v>75.322860718000001</v>
      </c>
      <c r="E1153">
        <v>30</v>
      </c>
      <c r="F1153">
        <v>29.985628127999998</v>
      </c>
      <c r="G1153">
        <v>1291.9278564000001</v>
      </c>
      <c r="H1153">
        <v>1276.9393310999999</v>
      </c>
      <c r="I1153">
        <v>1415.9945068</v>
      </c>
      <c r="J1153">
        <v>1388.1314697</v>
      </c>
      <c r="K1153">
        <v>0</v>
      </c>
      <c r="L1153">
        <v>2400</v>
      </c>
      <c r="M1153">
        <v>2400</v>
      </c>
      <c r="N1153">
        <v>0</v>
      </c>
    </row>
    <row r="1154" spans="1:14" x14ac:dyDescent="0.25">
      <c r="A1154">
        <v>685.73225000000002</v>
      </c>
      <c r="B1154" s="1">
        <f>DATE(2012,3,16) + TIME(17,34,26)</f>
        <v>40984.732245370367</v>
      </c>
      <c r="C1154">
        <v>90</v>
      </c>
      <c r="D1154">
        <v>75.024894713999998</v>
      </c>
      <c r="E1154">
        <v>30</v>
      </c>
      <c r="F1154">
        <v>29.985656737999999</v>
      </c>
      <c r="G1154">
        <v>1291.5753173999999</v>
      </c>
      <c r="H1154">
        <v>1276.4455565999999</v>
      </c>
      <c r="I1154">
        <v>1415.9942627</v>
      </c>
      <c r="J1154">
        <v>1388.1330565999999</v>
      </c>
      <c r="K1154">
        <v>0</v>
      </c>
      <c r="L1154">
        <v>2400</v>
      </c>
      <c r="M1154">
        <v>2400</v>
      </c>
      <c r="N1154">
        <v>0</v>
      </c>
    </row>
    <row r="1155" spans="1:14" x14ac:dyDescent="0.25">
      <c r="A1155">
        <v>688.07072400000004</v>
      </c>
      <c r="B1155" s="1">
        <f>DATE(2012,3,19) + TIME(1,41,50)</f>
        <v>40987.070717592593</v>
      </c>
      <c r="C1155">
        <v>90</v>
      </c>
      <c r="D1155">
        <v>74.714988708000007</v>
      </c>
      <c r="E1155">
        <v>30</v>
      </c>
      <c r="F1155">
        <v>29.985685349000001</v>
      </c>
      <c r="G1155">
        <v>1291.2169189000001</v>
      </c>
      <c r="H1155">
        <v>1275.9423827999999</v>
      </c>
      <c r="I1155">
        <v>1415.9937743999999</v>
      </c>
      <c r="J1155">
        <v>1388.1343993999999</v>
      </c>
      <c r="K1155">
        <v>0</v>
      </c>
      <c r="L1155">
        <v>2400</v>
      </c>
      <c r="M1155">
        <v>2400</v>
      </c>
      <c r="N1155">
        <v>0</v>
      </c>
    </row>
    <row r="1156" spans="1:14" x14ac:dyDescent="0.25">
      <c r="A1156">
        <v>690.42960600000004</v>
      </c>
      <c r="B1156" s="1">
        <f>DATE(2012,3,21) + TIME(10,18,37)</f>
        <v>40989.429594907408</v>
      </c>
      <c r="C1156">
        <v>90</v>
      </c>
      <c r="D1156">
        <v>74.392654418999996</v>
      </c>
      <c r="E1156">
        <v>30</v>
      </c>
      <c r="F1156">
        <v>29.985713959000002</v>
      </c>
      <c r="G1156">
        <v>1290.8519286999999</v>
      </c>
      <c r="H1156">
        <v>1275.4290771000001</v>
      </c>
      <c r="I1156">
        <v>1415.9929199000001</v>
      </c>
      <c r="J1156">
        <v>1388.135376</v>
      </c>
      <c r="K1156">
        <v>0</v>
      </c>
      <c r="L1156">
        <v>2400</v>
      </c>
      <c r="M1156">
        <v>2400</v>
      </c>
      <c r="N1156">
        <v>0</v>
      </c>
    </row>
    <row r="1157" spans="1:14" x14ac:dyDescent="0.25">
      <c r="A1157">
        <v>692.80429600000002</v>
      </c>
      <c r="B1157" s="1">
        <f>DATE(2012,3,23) + TIME(19,18,11)</f>
        <v>40991.804293981484</v>
      </c>
      <c r="C1157">
        <v>90</v>
      </c>
      <c r="D1157">
        <v>74.058235167999996</v>
      </c>
      <c r="E1157">
        <v>30</v>
      </c>
      <c r="F1157">
        <v>29.985744476000001</v>
      </c>
      <c r="G1157">
        <v>1290.4814452999999</v>
      </c>
      <c r="H1157">
        <v>1274.9066161999999</v>
      </c>
      <c r="I1157">
        <v>1415.9918213000001</v>
      </c>
      <c r="J1157">
        <v>1388.1361084</v>
      </c>
      <c r="K1157">
        <v>0</v>
      </c>
      <c r="L1157">
        <v>2400</v>
      </c>
      <c r="M1157">
        <v>2400</v>
      </c>
      <c r="N1157">
        <v>0</v>
      </c>
    </row>
    <row r="1158" spans="1:14" x14ac:dyDescent="0.25">
      <c r="A1158">
        <v>695.19788700000004</v>
      </c>
      <c r="B1158" s="1">
        <f>DATE(2012,3,26) + TIME(4,44,57)</f>
        <v>40994.197881944441</v>
      </c>
      <c r="C1158">
        <v>90</v>
      </c>
      <c r="D1158">
        <v>73.711708068999997</v>
      </c>
      <c r="E1158">
        <v>30</v>
      </c>
      <c r="F1158">
        <v>29.985773086999998</v>
      </c>
      <c r="G1158">
        <v>1290.1063231999999</v>
      </c>
      <c r="H1158">
        <v>1274.3762207</v>
      </c>
      <c r="I1158">
        <v>1415.9906006000001</v>
      </c>
      <c r="J1158">
        <v>1388.1365966999999</v>
      </c>
      <c r="K1158">
        <v>0</v>
      </c>
      <c r="L1158">
        <v>2400</v>
      </c>
      <c r="M1158">
        <v>2400</v>
      </c>
      <c r="N1158">
        <v>0</v>
      </c>
    </row>
    <row r="1159" spans="1:14" x14ac:dyDescent="0.25">
      <c r="A1159">
        <v>697.61588500000005</v>
      </c>
      <c r="B1159" s="1">
        <f>DATE(2012,3,28) + TIME(14,46,52)</f>
        <v>40996.615879629629</v>
      </c>
      <c r="C1159">
        <v>90</v>
      </c>
      <c r="D1159">
        <v>73.352348328000005</v>
      </c>
      <c r="E1159">
        <v>30</v>
      </c>
      <c r="F1159">
        <v>29.985801696999999</v>
      </c>
      <c r="G1159">
        <v>1289.7260742000001</v>
      </c>
      <c r="H1159">
        <v>1273.8374022999999</v>
      </c>
      <c r="I1159">
        <v>1415.9888916</v>
      </c>
      <c r="J1159">
        <v>1388.1368408000001</v>
      </c>
      <c r="K1159">
        <v>0</v>
      </c>
      <c r="L1159">
        <v>2400</v>
      </c>
      <c r="M1159">
        <v>2400</v>
      </c>
      <c r="N1159">
        <v>0</v>
      </c>
    </row>
    <row r="1160" spans="1:14" x14ac:dyDescent="0.25">
      <c r="A1160">
        <v>700.06159500000001</v>
      </c>
      <c r="B1160" s="1">
        <f>DATE(2012,3,31) + TIME(1,28,41)</f>
        <v>40999.061585648145</v>
      </c>
      <c r="C1160">
        <v>90</v>
      </c>
      <c r="D1160">
        <v>72.979171753000003</v>
      </c>
      <c r="E1160">
        <v>30</v>
      </c>
      <c r="F1160">
        <v>29.985830307000001</v>
      </c>
      <c r="G1160">
        <v>1289.3402100000001</v>
      </c>
      <c r="H1160">
        <v>1273.2891846</v>
      </c>
      <c r="I1160">
        <v>1415.9870605000001</v>
      </c>
      <c r="J1160">
        <v>1388.1367187999999</v>
      </c>
      <c r="K1160">
        <v>0</v>
      </c>
      <c r="L1160">
        <v>2400</v>
      </c>
      <c r="M1160">
        <v>2400</v>
      </c>
      <c r="N1160">
        <v>0</v>
      </c>
    </row>
    <row r="1161" spans="1:14" x14ac:dyDescent="0.25">
      <c r="A1161">
        <v>701</v>
      </c>
      <c r="B1161" s="1">
        <f>DATE(2012,4,1) + TIME(0,0,0)</f>
        <v>41000</v>
      </c>
      <c r="C1161">
        <v>90</v>
      </c>
      <c r="D1161">
        <v>72.694297790999997</v>
      </c>
      <c r="E1161">
        <v>30</v>
      </c>
      <c r="F1161">
        <v>29.985841750999999</v>
      </c>
      <c r="G1161">
        <v>1288.9620361</v>
      </c>
      <c r="H1161">
        <v>1272.7777100000001</v>
      </c>
      <c r="I1161">
        <v>1415.9838867000001</v>
      </c>
      <c r="J1161">
        <v>1388.135376</v>
      </c>
      <c r="K1161">
        <v>0</v>
      </c>
      <c r="L1161">
        <v>2400</v>
      </c>
      <c r="M1161">
        <v>2400</v>
      </c>
      <c r="N1161">
        <v>0</v>
      </c>
    </row>
    <row r="1162" spans="1:14" x14ac:dyDescent="0.25">
      <c r="A1162">
        <v>703.46021099999996</v>
      </c>
      <c r="B1162" s="1">
        <f>DATE(2012,4,3) + TIME(11,2,42)</f>
        <v>41002.46020833333</v>
      </c>
      <c r="C1162">
        <v>90</v>
      </c>
      <c r="D1162">
        <v>72.408782959000007</v>
      </c>
      <c r="E1162">
        <v>30</v>
      </c>
      <c r="F1162">
        <v>29.985872269000001</v>
      </c>
      <c r="G1162">
        <v>1288.7788086</v>
      </c>
      <c r="H1162">
        <v>1272.4770507999999</v>
      </c>
      <c r="I1162">
        <v>1415.9838867000001</v>
      </c>
      <c r="J1162">
        <v>1388.1359863</v>
      </c>
      <c r="K1162">
        <v>0</v>
      </c>
      <c r="L1162">
        <v>2400</v>
      </c>
      <c r="M1162">
        <v>2400</v>
      </c>
      <c r="N1162">
        <v>0</v>
      </c>
    </row>
    <row r="1163" spans="1:14" x14ac:dyDescent="0.25">
      <c r="A1163">
        <v>705.94629199999997</v>
      </c>
      <c r="B1163" s="1">
        <f>DATE(2012,4,5) + TIME(22,42,39)</f>
        <v>41004.946284722224</v>
      </c>
      <c r="C1163">
        <v>90</v>
      </c>
      <c r="D1163">
        <v>72.027397156000006</v>
      </c>
      <c r="E1163">
        <v>30</v>
      </c>
      <c r="F1163">
        <v>29.985900878999999</v>
      </c>
      <c r="G1163">
        <v>1288.3961182</v>
      </c>
      <c r="H1163">
        <v>1271.9394531</v>
      </c>
      <c r="I1163">
        <v>1415.9812012</v>
      </c>
      <c r="J1163">
        <v>1388.1350098</v>
      </c>
      <c r="K1163">
        <v>0</v>
      </c>
      <c r="L1163">
        <v>2400</v>
      </c>
      <c r="M1163">
        <v>2400</v>
      </c>
      <c r="N1163">
        <v>0</v>
      </c>
    </row>
    <row r="1164" spans="1:14" x14ac:dyDescent="0.25">
      <c r="A1164">
        <v>708.457267</v>
      </c>
      <c r="B1164" s="1">
        <f>DATE(2012,4,8) + TIME(10,58,27)</f>
        <v>41007.457256944443</v>
      </c>
      <c r="C1164">
        <v>90</v>
      </c>
      <c r="D1164">
        <v>71.612861632999994</v>
      </c>
      <c r="E1164">
        <v>30</v>
      </c>
      <c r="F1164">
        <v>29.985931396000002</v>
      </c>
      <c r="G1164">
        <v>1287.9973144999999</v>
      </c>
      <c r="H1164">
        <v>1271.3701172000001</v>
      </c>
      <c r="I1164">
        <v>1415.9781493999999</v>
      </c>
      <c r="J1164">
        <v>1388.1337891000001</v>
      </c>
      <c r="K1164">
        <v>0</v>
      </c>
      <c r="L1164">
        <v>2400</v>
      </c>
      <c r="M1164">
        <v>2400</v>
      </c>
      <c r="N1164">
        <v>0</v>
      </c>
    </row>
    <row r="1165" spans="1:14" x14ac:dyDescent="0.25">
      <c r="A1165">
        <v>710.99229300000002</v>
      </c>
      <c r="B1165" s="1">
        <f>DATE(2012,4,10) + TIME(23,48,54)</f>
        <v>41009.992291666669</v>
      </c>
      <c r="C1165">
        <v>90</v>
      </c>
      <c r="D1165">
        <v>71.179557799999998</v>
      </c>
      <c r="E1165">
        <v>30</v>
      </c>
      <c r="F1165">
        <v>29.985960006999999</v>
      </c>
      <c r="G1165">
        <v>1287.5906981999999</v>
      </c>
      <c r="H1165">
        <v>1270.7863769999999</v>
      </c>
      <c r="I1165">
        <v>1415.9747314000001</v>
      </c>
      <c r="J1165">
        <v>1388.1320800999999</v>
      </c>
      <c r="K1165">
        <v>0</v>
      </c>
      <c r="L1165">
        <v>2400</v>
      </c>
      <c r="M1165">
        <v>2400</v>
      </c>
      <c r="N1165">
        <v>0</v>
      </c>
    </row>
    <row r="1166" spans="1:14" x14ac:dyDescent="0.25">
      <c r="A1166">
        <v>713.543994</v>
      </c>
      <c r="B1166" s="1">
        <f>DATE(2012,4,13) + TIME(13,3,21)</f>
        <v>41012.543993055559</v>
      </c>
      <c r="C1166">
        <v>90</v>
      </c>
      <c r="D1166">
        <v>70.730804442999997</v>
      </c>
      <c r="E1166">
        <v>30</v>
      </c>
      <c r="F1166">
        <v>29.985990524000002</v>
      </c>
      <c r="G1166">
        <v>1287.1783447</v>
      </c>
      <c r="H1166">
        <v>1270.192749</v>
      </c>
      <c r="I1166">
        <v>1415.9710693</v>
      </c>
      <c r="J1166">
        <v>1388.1301269999999</v>
      </c>
      <c r="K1166">
        <v>0</v>
      </c>
      <c r="L1166">
        <v>2400</v>
      </c>
      <c r="M1166">
        <v>2400</v>
      </c>
      <c r="N1166">
        <v>0</v>
      </c>
    </row>
    <row r="1167" spans="1:14" x14ac:dyDescent="0.25">
      <c r="A1167">
        <v>716.11571100000003</v>
      </c>
      <c r="B1167" s="1">
        <f>DATE(2012,4,16) + TIME(2,46,37)</f>
        <v>41015.115706018521</v>
      </c>
      <c r="C1167">
        <v>90</v>
      </c>
      <c r="D1167">
        <v>70.267662048000005</v>
      </c>
      <c r="E1167">
        <v>30</v>
      </c>
      <c r="F1167">
        <v>29.986019134999999</v>
      </c>
      <c r="G1167">
        <v>1286.7619629000001</v>
      </c>
      <c r="H1167">
        <v>1269.5915527</v>
      </c>
      <c r="I1167">
        <v>1415.9669189000001</v>
      </c>
      <c r="J1167">
        <v>1388.1278076000001</v>
      </c>
      <c r="K1167">
        <v>0</v>
      </c>
      <c r="L1167">
        <v>2400</v>
      </c>
      <c r="M1167">
        <v>2400</v>
      </c>
      <c r="N1167">
        <v>0</v>
      </c>
    </row>
    <row r="1168" spans="1:14" x14ac:dyDescent="0.25">
      <c r="A1168">
        <v>718.71238500000004</v>
      </c>
      <c r="B1168" s="1">
        <f>DATE(2012,4,18) + TIME(17,5,50)</f>
        <v>41017.712384259263</v>
      </c>
      <c r="C1168">
        <v>90</v>
      </c>
      <c r="D1168">
        <v>69.789657593000001</v>
      </c>
      <c r="E1168">
        <v>30</v>
      </c>
      <c r="F1168">
        <v>29.986049651999998</v>
      </c>
      <c r="G1168">
        <v>1286.3415527</v>
      </c>
      <c r="H1168">
        <v>1268.9826660000001</v>
      </c>
      <c r="I1168">
        <v>1415.9625243999999</v>
      </c>
      <c r="J1168">
        <v>1388.125</v>
      </c>
      <c r="K1168">
        <v>0</v>
      </c>
      <c r="L1168">
        <v>2400</v>
      </c>
      <c r="M1168">
        <v>2400</v>
      </c>
      <c r="N1168">
        <v>0</v>
      </c>
    </row>
    <row r="1169" spans="1:14" x14ac:dyDescent="0.25">
      <c r="A1169">
        <v>721.330737</v>
      </c>
      <c r="B1169" s="1">
        <f>DATE(2012,4,21) + TIME(7,56,15)</f>
        <v>41020.330729166664</v>
      </c>
      <c r="C1169">
        <v>90</v>
      </c>
      <c r="D1169">
        <v>69.296302795000003</v>
      </c>
      <c r="E1169">
        <v>30</v>
      </c>
      <c r="F1169">
        <v>29.986080170000001</v>
      </c>
      <c r="G1169">
        <v>1285.9165039</v>
      </c>
      <c r="H1169">
        <v>1268.3656006000001</v>
      </c>
      <c r="I1169">
        <v>1415.9576416</v>
      </c>
      <c r="J1169">
        <v>1388.1219481999999</v>
      </c>
      <c r="K1169">
        <v>0</v>
      </c>
      <c r="L1169">
        <v>2400</v>
      </c>
      <c r="M1169">
        <v>2400</v>
      </c>
      <c r="N1169">
        <v>0</v>
      </c>
    </row>
    <row r="1170" spans="1:14" x14ac:dyDescent="0.25">
      <c r="A1170">
        <v>723.96839999999997</v>
      </c>
      <c r="B1170" s="1">
        <f>DATE(2012,4,23) + TIME(23,14,29)</f>
        <v>41022.968391203707</v>
      </c>
      <c r="C1170">
        <v>90</v>
      </c>
      <c r="D1170">
        <v>68.788223267000006</v>
      </c>
      <c r="E1170">
        <v>30</v>
      </c>
      <c r="F1170">
        <v>29.986110687</v>
      </c>
      <c r="G1170">
        <v>1285.4875488</v>
      </c>
      <c r="H1170">
        <v>1267.7410889</v>
      </c>
      <c r="I1170">
        <v>1415.9523925999999</v>
      </c>
      <c r="J1170">
        <v>1388.1184082</v>
      </c>
      <c r="K1170">
        <v>0</v>
      </c>
      <c r="L1170">
        <v>2400</v>
      </c>
      <c r="M1170">
        <v>2400</v>
      </c>
      <c r="N1170">
        <v>0</v>
      </c>
    </row>
    <row r="1171" spans="1:14" x14ac:dyDescent="0.25">
      <c r="A1171">
        <v>726.628244</v>
      </c>
      <c r="B1171" s="1">
        <f>DATE(2012,4,26) + TIME(15,4,40)</f>
        <v>41025.628240740742</v>
      </c>
      <c r="C1171">
        <v>90</v>
      </c>
      <c r="D1171">
        <v>68.265945435000006</v>
      </c>
      <c r="E1171">
        <v>30</v>
      </c>
      <c r="F1171">
        <v>29.986139297000001</v>
      </c>
      <c r="G1171">
        <v>1285.0551757999999</v>
      </c>
      <c r="H1171">
        <v>1267.1097411999999</v>
      </c>
      <c r="I1171">
        <v>1415.9467772999999</v>
      </c>
      <c r="J1171">
        <v>1388.1143798999999</v>
      </c>
      <c r="K1171">
        <v>0</v>
      </c>
      <c r="L1171">
        <v>2400</v>
      </c>
      <c r="M1171">
        <v>2400</v>
      </c>
      <c r="N1171">
        <v>0</v>
      </c>
    </row>
    <row r="1172" spans="1:14" x14ac:dyDescent="0.25">
      <c r="A1172">
        <v>729.31527900000003</v>
      </c>
      <c r="B1172" s="1">
        <f>DATE(2012,4,29) + TIME(7,34,0)</f>
        <v>41028.31527777778</v>
      </c>
      <c r="C1172">
        <v>90</v>
      </c>
      <c r="D1172">
        <v>67.729293823000006</v>
      </c>
      <c r="E1172">
        <v>30</v>
      </c>
      <c r="F1172">
        <v>29.986169815</v>
      </c>
      <c r="G1172">
        <v>1284.6191406</v>
      </c>
      <c r="H1172">
        <v>1266.4713135</v>
      </c>
      <c r="I1172">
        <v>1415.9406738</v>
      </c>
      <c r="J1172">
        <v>1388.1099853999999</v>
      </c>
      <c r="K1172">
        <v>0</v>
      </c>
      <c r="L1172">
        <v>2400</v>
      </c>
      <c r="M1172">
        <v>2400</v>
      </c>
      <c r="N1172">
        <v>0</v>
      </c>
    </row>
    <row r="1173" spans="1:14" x14ac:dyDescent="0.25">
      <c r="A1173">
        <v>731</v>
      </c>
      <c r="B1173" s="1">
        <f>DATE(2012,5,1) + TIME(0,0,0)</f>
        <v>41030</v>
      </c>
      <c r="C1173">
        <v>90</v>
      </c>
      <c r="D1173">
        <v>67.236930846999996</v>
      </c>
      <c r="E1173">
        <v>30</v>
      </c>
      <c r="F1173">
        <v>29.986188889000001</v>
      </c>
      <c r="G1173">
        <v>1284.1843262</v>
      </c>
      <c r="H1173">
        <v>1265.8500977000001</v>
      </c>
      <c r="I1173">
        <v>1415.9337158000001</v>
      </c>
      <c r="J1173">
        <v>1388.1048584</v>
      </c>
      <c r="K1173">
        <v>0</v>
      </c>
      <c r="L1173">
        <v>2400</v>
      </c>
      <c r="M1173">
        <v>2400</v>
      </c>
      <c r="N1173">
        <v>0</v>
      </c>
    </row>
    <row r="1174" spans="1:14" x14ac:dyDescent="0.25">
      <c r="A1174">
        <v>731.000001</v>
      </c>
      <c r="B1174" s="1">
        <f>DATE(2012,5,1) + TIME(0,0,0)</f>
        <v>41030</v>
      </c>
      <c r="C1174">
        <v>90</v>
      </c>
      <c r="D1174">
        <v>67.237113953000005</v>
      </c>
      <c r="E1174">
        <v>30</v>
      </c>
      <c r="F1174">
        <v>29.986089706000001</v>
      </c>
      <c r="G1174">
        <v>1304.3167725000001</v>
      </c>
      <c r="H1174">
        <v>1285.2834473</v>
      </c>
      <c r="I1174">
        <v>1387.2297363</v>
      </c>
      <c r="J1174">
        <v>1359.6380615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731.00000399999999</v>
      </c>
      <c r="B1175" s="1">
        <f>DATE(2012,5,1) + TIME(0,0,0)</f>
        <v>41030</v>
      </c>
      <c r="C1175">
        <v>90</v>
      </c>
      <c r="D1175">
        <v>67.237602233999993</v>
      </c>
      <c r="E1175">
        <v>30</v>
      </c>
      <c r="F1175">
        <v>29.985815047999999</v>
      </c>
      <c r="G1175">
        <v>1306.7285156</v>
      </c>
      <c r="H1175">
        <v>1288.0969238</v>
      </c>
      <c r="I1175">
        <v>1384.8135986</v>
      </c>
      <c r="J1175">
        <v>1357.2211914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731.00001299999997</v>
      </c>
      <c r="B1176" s="1">
        <f>DATE(2012,5,1) + TIME(0,0,1)</f>
        <v>41030.000011574077</v>
      </c>
      <c r="C1176">
        <v>90</v>
      </c>
      <c r="D1176">
        <v>67.238693237000007</v>
      </c>
      <c r="E1176">
        <v>30</v>
      </c>
      <c r="F1176">
        <v>29.985151291000001</v>
      </c>
      <c r="G1176">
        <v>1312.0308838000001</v>
      </c>
      <c r="H1176">
        <v>1293.9383545000001</v>
      </c>
      <c r="I1176">
        <v>1378.9726562000001</v>
      </c>
      <c r="J1176">
        <v>1351.3790283000001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731.00004000000001</v>
      </c>
      <c r="B1177" s="1">
        <f>DATE(2012,5,1) + TIME(0,0,3)</f>
        <v>41030.000034722223</v>
      </c>
      <c r="C1177">
        <v>90</v>
      </c>
      <c r="D1177">
        <v>67.240806579999997</v>
      </c>
      <c r="E1177">
        <v>30</v>
      </c>
      <c r="F1177">
        <v>29.983909607000001</v>
      </c>
      <c r="G1177">
        <v>1320.7263184000001</v>
      </c>
      <c r="H1177">
        <v>1302.8612060999999</v>
      </c>
      <c r="I1177">
        <v>1368.0373535000001</v>
      </c>
      <c r="J1177">
        <v>1340.442749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731.00012100000004</v>
      </c>
      <c r="B1178" s="1">
        <f>DATE(2012,5,1) + TIME(0,0,10)</f>
        <v>41030.000115740739</v>
      </c>
      <c r="C1178">
        <v>90</v>
      </c>
      <c r="D1178">
        <v>67.244941710999996</v>
      </c>
      <c r="E1178">
        <v>30</v>
      </c>
      <c r="F1178">
        <v>29.982229233000002</v>
      </c>
      <c r="G1178">
        <v>1331.3051757999999</v>
      </c>
      <c r="H1178">
        <v>1313.2761230000001</v>
      </c>
      <c r="I1178">
        <v>1353.2702637</v>
      </c>
      <c r="J1178">
        <v>1325.6785889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731.00036399999999</v>
      </c>
      <c r="B1179" s="1">
        <f>DATE(2012,5,1) + TIME(0,0,31)</f>
        <v>41030.000358796293</v>
      </c>
      <c r="C1179">
        <v>90</v>
      </c>
      <c r="D1179">
        <v>67.254684448000006</v>
      </c>
      <c r="E1179">
        <v>30</v>
      </c>
      <c r="F1179">
        <v>29.980421066000002</v>
      </c>
      <c r="G1179">
        <v>1342.3447266000001</v>
      </c>
      <c r="H1179">
        <v>1324.0827637</v>
      </c>
      <c r="I1179">
        <v>1337.4515381000001</v>
      </c>
      <c r="J1179">
        <v>1309.8670654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731.00109299999997</v>
      </c>
      <c r="B1180" s="1">
        <f>DATE(2012,5,1) + TIME(0,1,34)</f>
        <v>41030.001087962963</v>
      </c>
      <c r="C1180">
        <v>90</v>
      </c>
      <c r="D1180">
        <v>67.281341553000004</v>
      </c>
      <c r="E1180">
        <v>30</v>
      </c>
      <c r="F1180">
        <v>29.978580475000001</v>
      </c>
      <c r="G1180">
        <v>1353.7683105000001</v>
      </c>
      <c r="H1180">
        <v>1335.2705077999999</v>
      </c>
      <c r="I1180">
        <v>1321.6083983999999</v>
      </c>
      <c r="J1180">
        <v>1294.0355225000001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731.00328000000002</v>
      </c>
      <c r="B1181" s="1">
        <f>DATE(2012,5,1) + TIME(0,4,43)</f>
        <v>41030.003275462965</v>
      </c>
      <c r="C1181">
        <v>90</v>
      </c>
      <c r="D1181">
        <v>67.359184264999996</v>
      </c>
      <c r="E1181">
        <v>30</v>
      </c>
      <c r="F1181">
        <v>29.976659775000002</v>
      </c>
      <c r="G1181">
        <v>1366.0836182</v>
      </c>
      <c r="H1181">
        <v>1347.3487548999999</v>
      </c>
      <c r="I1181">
        <v>1305.7845459</v>
      </c>
      <c r="J1181">
        <v>1278.2143555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731.00984100000005</v>
      </c>
      <c r="B1182" s="1">
        <f>DATE(2012,5,1) + TIME(0,14,10)</f>
        <v>41030.009837962964</v>
      </c>
      <c r="C1182">
        <v>90</v>
      </c>
      <c r="D1182">
        <v>67.589973450000002</v>
      </c>
      <c r="E1182">
        <v>30</v>
      </c>
      <c r="F1182">
        <v>29.974554061999999</v>
      </c>
      <c r="G1182">
        <v>1379.0332031</v>
      </c>
      <c r="H1182">
        <v>1360.1291504000001</v>
      </c>
      <c r="I1182">
        <v>1290.5419922000001</v>
      </c>
      <c r="J1182">
        <v>1262.9334716999999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731.02952400000004</v>
      </c>
      <c r="B1183" s="1">
        <f>DATE(2012,5,1) + TIME(0,42,30)</f>
        <v>41030.029513888891</v>
      </c>
      <c r="C1183">
        <v>90</v>
      </c>
      <c r="D1183">
        <v>68.262748717999997</v>
      </c>
      <c r="E1183">
        <v>30</v>
      </c>
      <c r="F1183">
        <v>29.972066879</v>
      </c>
      <c r="G1183">
        <v>1389.8962402</v>
      </c>
      <c r="H1183">
        <v>1371.0323486</v>
      </c>
      <c r="I1183">
        <v>1278.5200195</v>
      </c>
      <c r="J1183">
        <v>1250.8544922000001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731.05072900000005</v>
      </c>
      <c r="B1184" s="1">
        <f>DATE(2012,5,1) + TIME(1,13,2)</f>
        <v>41030.050717592596</v>
      </c>
      <c r="C1184">
        <v>90</v>
      </c>
      <c r="D1184">
        <v>68.964981078999998</v>
      </c>
      <c r="E1184">
        <v>30</v>
      </c>
      <c r="F1184">
        <v>29.970355988000001</v>
      </c>
      <c r="G1184">
        <v>1394.0378418</v>
      </c>
      <c r="H1184">
        <v>1375.3093262</v>
      </c>
      <c r="I1184">
        <v>1274.2056885</v>
      </c>
      <c r="J1184">
        <v>1246.5183105000001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731.07237799999996</v>
      </c>
      <c r="B1185" s="1">
        <f>DATE(2012,5,1) + TIME(1,44,13)</f>
        <v>41030.072372685187</v>
      </c>
      <c r="C1185">
        <v>90</v>
      </c>
      <c r="D1185">
        <v>69.658752441000004</v>
      </c>
      <c r="E1185">
        <v>30</v>
      </c>
      <c r="F1185">
        <v>29.968927383</v>
      </c>
      <c r="G1185">
        <v>1395.6781006000001</v>
      </c>
      <c r="H1185">
        <v>1377.1086425999999</v>
      </c>
      <c r="I1185">
        <v>1272.6022949000001</v>
      </c>
      <c r="J1185">
        <v>1244.9064940999999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731.09443899999997</v>
      </c>
      <c r="B1186" s="1">
        <f>DATE(2012,5,1) + TIME(2,15,59)</f>
        <v>41030.09443287037</v>
      </c>
      <c r="C1186">
        <v>90</v>
      </c>
      <c r="D1186">
        <v>70.341957092000001</v>
      </c>
      <c r="E1186">
        <v>30</v>
      </c>
      <c r="F1186">
        <v>29.967597960999999</v>
      </c>
      <c r="G1186">
        <v>1396.3027344</v>
      </c>
      <c r="H1186">
        <v>1377.8963623</v>
      </c>
      <c r="I1186">
        <v>1272.0125731999999</v>
      </c>
      <c r="J1186">
        <v>1244.3133545000001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731.11691399999995</v>
      </c>
      <c r="B1187" s="1">
        <f>DATE(2012,5,1) + TIME(2,48,21)</f>
        <v>41030.116909722223</v>
      </c>
      <c r="C1187">
        <v>90</v>
      </c>
      <c r="D1187">
        <v>71.014152526999993</v>
      </c>
      <c r="E1187">
        <v>30</v>
      </c>
      <c r="F1187">
        <v>29.966297149999999</v>
      </c>
      <c r="G1187">
        <v>1396.4783935999999</v>
      </c>
      <c r="H1187">
        <v>1378.2329102000001</v>
      </c>
      <c r="I1187">
        <v>1271.8155518000001</v>
      </c>
      <c r="J1187">
        <v>1244.1148682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731.139814</v>
      </c>
      <c r="B1188" s="1">
        <f>DATE(2012,5,1) + TIME(3,21,19)</f>
        <v>41030.139803240738</v>
      </c>
      <c r="C1188">
        <v>90</v>
      </c>
      <c r="D1188">
        <v>71.675399780000006</v>
      </c>
      <c r="E1188">
        <v>30</v>
      </c>
      <c r="F1188">
        <v>29.964996337999999</v>
      </c>
      <c r="G1188">
        <v>1396.4461670000001</v>
      </c>
      <c r="H1188">
        <v>1378.3575439000001</v>
      </c>
      <c r="I1188">
        <v>1271.7666016000001</v>
      </c>
      <c r="J1188">
        <v>1244.0651855000001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731.16312400000004</v>
      </c>
      <c r="B1189" s="1">
        <f>DATE(2012,5,1) + TIME(3,54,53)</f>
        <v>41030.163113425922</v>
      </c>
      <c r="C1189">
        <v>90</v>
      </c>
      <c r="D1189">
        <v>72.324790954999997</v>
      </c>
      <c r="E1189">
        <v>30</v>
      </c>
      <c r="F1189">
        <v>29.963689804000001</v>
      </c>
      <c r="G1189">
        <v>1396.3161620999999</v>
      </c>
      <c r="H1189">
        <v>1378.3793945</v>
      </c>
      <c r="I1189">
        <v>1271.7685547000001</v>
      </c>
      <c r="J1189">
        <v>1244.0667725000001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731.18683999999996</v>
      </c>
      <c r="B1190" s="1">
        <f>DATE(2012,5,1) + TIME(4,29,2)</f>
        <v>41030.186828703707</v>
      </c>
      <c r="C1190">
        <v>90</v>
      </c>
      <c r="D1190">
        <v>72.961860657000003</v>
      </c>
      <c r="E1190">
        <v>30</v>
      </c>
      <c r="F1190">
        <v>29.962371825999998</v>
      </c>
      <c r="G1190">
        <v>1396.1403809000001</v>
      </c>
      <c r="H1190">
        <v>1378.3500977000001</v>
      </c>
      <c r="I1190">
        <v>1271.7839355000001</v>
      </c>
      <c r="J1190">
        <v>1244.0817870999999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731.21098199999994</v>
      </c>
      <c r="B1191" s="1">
        <f>DATE(2012,5,1) + TIME(5,3,48)</f>
        <v>41030.210972222223</v>
      </c>
      <c r="C1191">
        <v>90</v>
      </c>
      <c r="D1191">
        <v>73.586776732999994</v>
      </c>
      <c r="E1191">
        <v>30</v>
      </c>
      <c r="F1191">
        <v>29.961038589000001</v>
      </c>
      <c r="G1191">
        <v>1395.9442139</v>
      </c>
      <c r="H1191">
        <v>1378.2950439000001</v>
      </c>
      <c r="I1191">
        <v>1271.7996826000001</v>
      </c>
      <c r="J1191">
        <v>1244.0972899999999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731.23557200000005</v>
      </c>
      <c r="B1192" s="1">
        <f>DATE(2012,5,1) + TIME(5,39,13)</f>
        <v>41030.235567129632</v>
      </c>
      <c r="C1192">
        <v>90</v>
      </c>
      <c r="D1192">
        <v>74.199676514000004</v>
      </c>
      <c r="E1192">
        <v>30</v>
      </c>
      <c r="F1192">
        <v>29.959690093999999</v>
      </c>
      <c r="G1192">
        <v>1395.7402344</v>
      </c>
      <c r="H1192">
        <v>1378.2272949000001</v>
      </c>
      <c r="I1192">
        <v>1271.8121338000001</v>
      </c>
      <c r="J1192">
        <v>1244.1096190999999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731.26062899999999</v>
      </c>
      <c r="B1193" s="1">
        <f>DATE(2012,5,1) + TIME(6,15,18)</f>
        <v>41030.260625000003</v>
      </c>
      <c r="C1193">
        <v>90</v>
      </c>
      <c r="D1193">
        <v>74.800674438000001</v>
      </c>
      <c r="E1193">
        <v>30</v>
      </c>
      <c r="F1193">
        <v>29.958326339999999</v>
      </c>
      <c r="G1193">
        <v>1395.5350341999999</v>
      </c>
      <c r="H1193">
        <v>1378.1533202999999</v>
      </c>
      <c r="I1193">
        <v>1271.8211670000001</v>
      </c>
      <c r="J1193">
        <v>1244.1184082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731.28617599999995</v>
      </c>
      <c r="B1194" s="1">
        <f>DATE(2012,5,1) + TIME(6,52,5)</f>
        <v>41030.286168981482</v>
      </c>
      <c r="C1194">
        <v>90</v>
      </c>
      <c r="D1194">
        <v>75.389572143999999</v>
      </c>
      <c r="E1194">
        <v>30</v>
      </c>
      <c r="F1194">
        <v>29.956947327000002</v>
      </c>
      <c r="G1194">
        <v>1395.3320312000001</v>
      </c>
      <c r="H1194">
        <v>1378.0769043</v>
      </c>
      <c r="I1194">
        <v>1271.8273925999999</v>
      </c>
      <c r="J1194">
        <v>1244.1243896000001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731.31221400000004</v>
      </c>
      <c r="B1195" s="1">
        <f>DATE(2012,5,1) + TIME(7,29,35)</f>
        <v>41030.312210648146</v>
      </c>
      <c r="C1195">
        <v>90</v>
      </c>
      <c r="D1195">
        <v>75.966079711999996</v>
      </c>
      <c r="E1195">
        <v>30</v>
      </c>
      <c r="F1195">
        <v>29.95554924</v>
      </c>
      <c r="G1195">
        <v>1395.1331786999999</v>
      </c>
      <c r="H1195">
        <v>1378</v>
      </c>
      <c r="I1195">
        <v>1271.831543</v>
      </c>
      <c r="J1195">
        <v>1244.128418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731.33875499999999</v>
      </c>
      <c r="B1196" s="1">
        <f>DATE(2012,5,1) + TIME(8,7,48)</f>
        <v>41030.338750000003</v>
      </c>
      <c r="C1196">
        <v>90</v>
      </c>
      <c r="D1196">
        <v>76.530273437999995</v>
      </c>
      <c r="E1196">
        <v>30</v>
      </c>
      <c r="F1196">
        <v>29.954135895</v>
      </c>
      <c r="G1196">
        <v>1394.9395752</v>
      </c>
      <c r="H1196">
        <v>1377.9238281</v>
      </c>
      <c r="I1196">
        <v>1271.8343506000001</v>
      </c>
      <c r="J1196">
        <v>1244.1309814000001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731.36582499999997</v>
      </c>
      <c r="B1197" s="1">
        <f>DATE(2012,5,1) + TIME(8,46,47)</f>
        <v>41030.36582175926</v>
      </c>
      <c r="C1197">
        <v>90</v>
      </c>
      <c r="D1197">
        <v>77.082267760999997</v>
      </c>
      <c r="E1197">
        <v>30</v>
      </c>
      <c r="F1197">
        <v>29.952705383000001</v>
      </c>
      <c r="G1197">
        <v>1394.7514647999999</v>
      </c>
      <c r="H1197">
        <v>1377.8488769999999</v>
      </c>
      <c r="I1197">
        <v>1271.8363036999999</v>
      </c>
      <c r="J1197">
        <v>1244.1325684000001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731.39344900000003</v>
      </c>
      <c r="B1198" s="1">
        <f>DATE(2012,5,1) + TIME(9,26,34)</f>
        <v>41030.393449074072</v>
      </c>
      <c r="C1198">
        <v>90</v>
      </c>
      <c r="D1198">
        <v>77.622138977000006</v>
      </c>
      <c r="E1198">
        <v>30</v>
      </c>
      <c r="F1198">
        <v>29.951255797999998</v>
      </c>
      <c r="G1198">
        <v>1394.5689697</v>
      </c>
      <c r="H1198">
        <v>1377.7753906</v>
      </c>
      <c r="I1198">
        <v>1271.8375243999999</v>
      </c>
      <c r="J1198">
        <v>1244.1336670000001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731.42165499999999</v>
      </c>
      <c r="B1199" s="1">
        <f>DATE(2012,5,1) + TIME(10,7,10)</f>
        <v>41030.421643518515</v>
      </c>
      <c r="C1199">
        <v>90</v>
      </c>
      <c r="D1199">
        <v>78.150001525999997</v>
      </c>
      <c r="E1199">
        <v>30</v>
      </c>
      <c r="F1199">
        <v>29.949785233</v>
      </c>
      <c r="G1199">
        <v>1394.3920897999999</v>
      </c>
      <c r="H1199">
        <v>1377.7036132999999</v>
      </c>
      <c r="I1199">
        <v>1271.838501</v>
      </c>
      <c r="J1199">
        <v>1244.1343993999999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731.45047099999999</v>
      </c>
      <c r="B1200" s="1">
        <f>DATE(2012,5,1) + TIME(10,48,40)</f>
        <v>41030.450462962966</v>
      </c>
      <c r="C1200">
        <v>90</v>
      </c>
      <c r="D1200">
        <v>78.665916443</v>
      </c>
      <c r="E1200">
        <v>30</v>
      </c>
      <c r="F1200">
        <v>29.948295593000001</v>
      </c>
      <c r="G1200">
        <v>1394.2205810999999</v>
      </c>
      <c r="H1200">
        <v>1377.6334228999999</v>
      </c>
      <c r="I1200">
        <v>1271.8392334</v>
      </c>
      <c r="J1200">
        <v>1244.1348877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731.47992999999997</v>
      </c>
      <c r="B1201" s="1">
        <f>DATE(2012,5,1) + TIME(11,31,5)</f>
        <v>41030.47991898148</v>
      </c>
      <c r="C1201">
        <v>90</v>
      </c>
      <c r="D1201">
        <v>79.169975281000006</v>
      </c>
      <c r="E1201">
        <v>30</v>
      </c>
      <c r="F1201">
        <v>29.946783065999998</v>
      </c>
      <c r="G1201">
        <v>1394.0544434000001</v>
      </c>
      <c r="H1201">
        <v>1377.5649414</v>
      </c>
      <c r="I1201">
        <v>1271.8397216999999</v>
      </c>
      <c r="J1201">
        <v>1244.1351318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731.51006299999995</v>
      </c>
      <c r="B1202" s="1">
        <f>DATE(2012,5,1) + TIME(12,14,29)</f>
        <v>41030.510057870371</v>
      </c>
      <c r="C1202">
        <v>90</v>
      </c>
      <c r="D1202">
        <v>79.662231445000003</v>
      </c>
      <c r="E1202">
        <v>30</v>
      </c>
      <c r="F1202">
        <v>29.945247649999999</v>
      </c>
      <c r="G1202">
        <v>1393.8933105000001</v>
      </c>
      <c r="H1202">
        <v>1377.4980469</v>
      </c>
      <c r="I1202">
        <v>1271.8402100000001</v>
      </c>
      <c r="J1202">
        <v>1244.1352539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731.54091000000005</v>
      </c>
      <c r="B1203" s="1">
        <f>DATE(2012,5,1) + TIME(12,58,54)</f>
        <v>41030.540902777779</v>
      </c>
      <c r="C1203">
        <v>90</v>
      </c>
      <c r="D1203">
        <v>80.142776488999999</v>
      </c>
      <c r="E1203">
        <v>30</v>
      </c>
      <c r="F1203">
        <v>29.943687439000001</v>
      </c>
      <c r="G1203">
        <v>1393.7370605000001</v>
      </c>
      <c r="H1203">
        <v>1377.4326172000001</v>
      </c>
      <c r="I1203">
        <v>1271.8405762</v>
      </c>
      <c r="J1203">
        <v>1244.135376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731.57251699999995</v>
      </c>
      <c r="B1204" s="1">
        <f>DATE(2012,5,1) + TIME(13,44,25)</f>
        <v>41030.572511574072</v>
      </c>
      <c r="C1204">
        <v>90</v>
      </c>
      <c r="D1204">
        <v>80.611701964999995</v>
      </c>
      <c r="E1204">
        <v>30</v>
      </c>
      <c r="F1204">
        <v>29.942102431999999</v>
      </c>
      <c r="G1204">
        <v>1393.5854492000001</v>
      </c>
      <c r="H1204">
        <v>1377.3685303</v>
      </c>
      <c r="I1204">
        <v>1271.8408202999999</v>
      </c>
      <c r="J1204">
        <v>1244.135376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731.60491400000001</v>
      </c>
      <c r="B1205" s="1">
        <f>DATE(2012,5,1) + TIME(14,31,4)</f>
        <v>41030.604907407411</v>
      </c>
      <c r="C1205">
        <v>90</v>
      </c>
      <c r="D1205">
        <v>81.068969726999995</v>
      </c>
      <c r="E1205">
        <v>30</v>
      </c>
      <c r="F1205">
        <v>29.940486908</v>
      </c>
      <c r="G1205">
        <v>1393.4381103999999</v>
      </c>
      <c r="H1205">
        <v>1377.3057861</v>
      </c>
      <c r="I1205">
        <v>1271.8410644999999</v>
      </c>
      <c r="J1205">
        <v>1244.135376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731.63814500000001</v>
      </c>
      <c r="B1206" s="1">
        <f>DATE(2012,5,1) + TIME(15,18,55)</f>
        <v>41030.638136574074</v>
      </c>
      <c r="C1206">
        <v>90</v>
      </c>
      <c r="D1206">
        <v>81.514633179</v>
      </c>
      <c r="E1206">
        <v>30</v>
      </c>
      <c r="F1206">
        <v>29.938844680999999</v>
      </c>
      <c r="G1206">
        <v>1393.2950439000001</v>
      </c>
      <c r="H1206">
        <v>1377.2442627</v>
      </c>
      <c r="I1206">
        <v>1271.8413086</v>
      </c>
      <c r="J1206">
        <v>1244.1352539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731.67225800000006</v>
      </c>
      <c r="B1207" s="1">
        <f>DATE(2012,5,1) + TIME(16,8,3)</f>
        <v>41030.672256944446</v>
      </c>
      <c r="C1207">
        <v>90</v>
      </c>
      <c r="D1207">
        <v>81.948707580999994</v>
      </c>
      <c r="E1207">
        <v>30</v>
      </c>
      <c r="F1207">
        <v>29.937170029000001</v>
      </c>
      <c r="G1207">
        <v>1393.1560059000001</v>
      </c>
      <c r="H1207">
        <v>1377.1838379000001</v>
      </c>
      <c r="I1207">
        <v>1271.8414307</v>
      </c>
      <c r="J1207">
        <v>1244.1351318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731.70730400000002</v>
      </c>
      <c r="B1208" s="1">
        <f>DATE(2012,5,1) + TIME(16,58,31)</f>
        <v>41030.707303240742</v>
      </c>
      <c r="C1208">
        <v>90</v>
      </c>
      <c r="D1208">
        <v>82.371223450000002</v>
      </c>
      <c r="E1208">
        <v>30</v>
      </c>
      <c r="F1208">
        <v>29.935462952000002</v>
      </c>
      <c r="G1208">
        <v>1393.0206298999999</v>
      </c>
      <c r="H1208">
        <v>1377.1243896000001</v>
      </c>
      <c r="I1208">
        <v>1271.8415527</v>
      </c>
      <c r="J1208">
        <v>1244.1350098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731.74333799999999</v>
      </c>
      <c r="B1209" s="1">
        <f>DATE(2012,5,1) + TIME(17,50,24)</f>
        <v>41030.743333333332</v>
      </c>
      <c r="C1209">
        <v>90</v>
      </c>
      <c r="D1209">
        <v>82.782211304</v>
      </c>
      <c r="E1209">
        <v>30</v>
      </c>
      <c r="F1209">
        <v>29.933721542000001</v>
      </c>
      <c r="G1209">
        <v>1392.8889160000001</v>
      </c>
      <c r="H1209">
        <v>1377.0657959</v>
      </c>
      <c r="I1209">
        <v>1271.8416748</v>
      </c>
      <c r="J1209">
        <v>1244.1347656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731.78042000000005</v>
      </c>
      <c r="B1210" s="1">
        <f>DATE(2012,5,1) + TIME(18,43,48)</f>
        <v>41030.780416666668</v>
      </c>
      <c r="C1210">
        <v>90</v>
      </c>
      <c r="D1210">
        <v>83.181678771999998</v>
      </c>
      <c r="E1210">
        <v>30</v>
      </c>
      <c r="F1210">
        <v>29.931943893</v>
      </c>
      <c r="G1210">
        <v>1392.7606201000001</v>
      </c>
      <c r="H1210">
        <v>1377.0080565999999</v>
      </c>
      <c r="I1210">
        <v>1271.8417969</v>
      </c>
      <c r="J1210">
        <v>1244.1346435999999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731.81861500000002</v>
      </c>
      <c r="B1211" s="1">
        <f>DATE(2012,5,1) + TIME(19,38,48)</f>
        <v>41030.818611111114</v>
      </c>
      <c r="C1211">
        <v>90</v>
      </c>
      <c r="D1211">
        <v>83.569641113000003</v>
      </c>
      <c r="E1211">
        <v>30</v>
      </c>
      <c r="F1211">
        <v>29.930124283000001</v>
      </c>
      <c r="G1211">
        <v>1392.6354980000001</v>
      </c>
      <c r="H1211">
        <v>1376.9511719</v>
      </c>
      <c r="I1211">
        <v>1271.8417969</v>
      </c>
      <c r="J1211">
        <v>1244.1342772999999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731.85799499999996</v>
      </c>
      <c r="B1212" s="1">
        <f>DATE(2012,5,1) + TIME(20,35,30)</f>
        <v>41030.857986111114</v>
      </c>
      <c r="C1212">
        <v>90</v>
      </c>
      <c r="D1212">
        <v>83.946098328000005</v>
      </c>
      <c r="E1212">
        <v>30</v>
      </c>
      <c r="F1212">
        <v>29.928264618</v>
      </c>
      <c r="G1212">
        <v>1392.5134277</v>
      </c>
      <c r="H1212">
        <v>1376.8947754000001</v>
      </c>
      <c r="I1212">
        <v>1271.8419189000001</v>
      </c>
      <c r="J1212">
        <v>1244.1340332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731.89863700000001</v>
      </c>
      <c r="B1213" s="1">
        <f>DATE(2012,5,1) + TIME(21,34,2)</f>
        <v>41030.898634259262</v>
      </c>
      <c r="C1213">
        <v>90</v>
      </c>
      <c r="D1213">
        <v>84.311058044000006</v>
      </c>
      <c r="E1213">
        <v>30</v>
      </c>
      <c r="F1213">
        <v>29.926359176999998</v>
      </c>
      <c r="G1213">
        <v>1392.3941649999999</v>
      </c>
      <c r="H1213">
        <v>1376.8388672000001</v>
      </c>
      <c r="I1213">
        <v>1271.8419189000001</v>
      </c>
      <c r="J1213">
        <v>1244.1337891000001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731.94065599999999</v>
      </c>
      <c r="B1214" s="1">
        <f>DATE(2012,5,1) + TIME(22,34,32)</f>
        <v>41030.940648148149</v>
      </c>
      <c r="C1214">
        <v>90</v>
      </c>
      <c r="D1214">
        <v>84.664764403999996</v>
      </c>
      <c r="E1214">
        <v>30</v>
      </c>
      <c r="F1214">
        <v>29.924406051999998</v>
      </c>
      <c r="G1214">
        <v>1392.2774658000001</v>
      </c>
      <c r="H1214">
        <v>1376.7834473</v>
      </c>
      <c r="I1214">
        <v>1271.8419189000001</v>
      </c>
      <c r="J1214">
        <v>1244.1334228999999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731.98411999999996</v>
      </c>
      <c r="B1215" s="1">
        <f>DATE(2012,5,1) + TIME(23,37,7)</f>
        <v>41030.9841087963</v>
      </c>
      <c r="C1215">
        <v>90</v>
      </c>
      <c r="D1215">
        <v>85.006958007999998</v>
      </c>
      <c r="E1215">
        <v>30</v>
      </c>
      <c r="F1215">
        <v>29.922399520999999</v>
      </c>
      <c r="G1215">
        <v>1392.1633300999999</v>
      </c>
      <c r="H1215">
        <v>1376.7282714999999</v>
      </c>
      <c r="I1215">
        <v>1271.8419189000001</v>
      </c>
      <c r="J1215">
        <v>1244.1330565999999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732.02913100000001</v>
      </c>
      <c r="B1216" s="1">
        <f>DATE(2012,5,2) + TIME(0,41,56)</f>
        <v>41031.029120370367</v>
      </c>
      <c r="C1216">
        <v>90</v>
      </c>
      <c r="D1216">
        <v>85.337394713999998</v>
      </c>
      <c r="E1216">
        <v>30</v>
      </c>
      <c r="F1216">
        <v>29.920339584000001</v>
      </c>
      <c r="G1216">
        <v>1392.0515137</v>
      </c>
      <c r="H1216">
        <v>1376.6733397999999</v>
      </c>
      <c r="I1216">
        <v>1271.8419189000001</v>
      </c>
      <c r="J1216">
        <v>1244.1326904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732.07580499999995</v>
      </c>
      <c r="B1217" s="1">
        <f>DATE(2012,5,2) + TIME(1,49,9)</f>
        <v>41031.075798611113</v>
      </c>
      <c r="C1217">
        <v>90</v>
      </c>
      <c r="D1217">
        <v>85.656295775999993</v>
      </c>
      <c r="E1217">
        <v>30</v>
      </c>
      <c r="F1217">
        <v>29.918220519999998</v>
      </c>
      <c r="G1217">
        <v>1391.9417725000001</v>
      </c>
      <c r="H1217">
        <v>1376.6185303</v>
      </c>
      <c r="I1217">
        <v>1271.8417969</v>
      </c>
      <c r="J1217">
        <v>1244.1322021000001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732.12426900000003</v>
      </c>
      <c r="B1218" s="1">
        <f>DATE(2012,5,2) + TIME(2,58,56)</f>
        <v>41031.124259259261</v>
      </c>
      <c r="C1218">
        <v>90</v>
      </c>
      <c r="D1218">
        <v>85.963668823000006</v>
      </c>
      <c r="E1218">
        <v>30</v>
      </c>
      <c r="F1218">
        <v>29.916036605999999</v>
      </c>
      <c r="G1218">
        <v>1391.8339844</v>
      </c>
      <c r="H1218">
        <v>1376.5638428</v>
      </c>
      <c r="I1218">
        <v>1271.8417969</v>
      </c>
      <c r="J1218">
        <v>1244.1318358999999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732.17465400000003</v>
      </c>
      <c r="B1219" s="1">
        <f>DATE(2012,5,2) + TIME(4,11,30)</f>
        <v>41031.17465277778</v>
      </c>
      <c r="C1219">
        <v>90</v>
      </c>
      <c r="D1219">
        <v>86.259429932000003</v>
      </c>
      <c r="E1219">
        <v>30</v>
      </c>
      <c r="F1219">
        <v>29.913784026999998</v>
      </c>
      <c r="G1219">
        <v>1391.7281493999999</v>
      </c>
      <c r="H1219">
        <v>1376.5090332</v>
      </c>
      <c r="I1219">
        <v>1271.8416748</v>
      </c>
      <c r="J1219">
        <v>1244.1313477000001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732.227125</v>
      </c>
      <c r="B1220" s="1">
        <f>DATE(2012,5,2) + TIME(5,27,3)</f>
        <v>41031.227118055554</v>
      </c>
      <c r="C1220">
        <v>90</v>
      </c>
      <c r="D1220">
        <v>86.543624878000003</v>
      </c>
      <c r="E1220">
        <v>30</v>
      </c>
      <c r="F1220">
        <v>29.911458969000002</v>
      </c>
      <c r="G1220">
        <v>1391.6237793</v>
      </c>
      <c r="H1220">
        <v>1376.4539795000001</v>
      </c>
      <c r="I1220">
        <v>1271.8416748</v>
      </c>
      <c r="J1220">
        <v>1244.1308594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732.28186300000004</v>
      </c>
      <c r="B1221" s="1">
        <f>DATE(2012,5,2) + TIME(6,45,52)</f>
        <v>41031.281851851854</v>
      </c>
      <c r="C1221">
        <v>90</v>
      </c>
      <c r="D1221">
        <v>86.816253661999994</v>
      </c>
      <c r="E1221">
        <v>30</v>
      </c>
      <c r="F1221">
        <v>29.909051895000001</v>
      </c>
      <c r="G1221">
        <v>1391.5209961</v>
      </c>
      <c r="H1221">
        <v>1376.3986815999999</v>
      </c>
      <c r="I1221">
        <v>1271.8415527</v>
      </c>
      <c r="J1221">
        <v>1244.1303711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732.33906999999999</v>
      </c>
      <c r="B1222" s="1">
        <f>DATE(2012,5,2) + TIME(8,8,15)</f>
        <v>41031.339062500003</v>
      </c>
      <c r="C1222">
        <v>90</v>
      </c>
      <c r="D1222">
        <v>87.077301024999997</v>
      </c>
      <c r="E1222">
        <v>30</v>
      </c>
      <c r="F1222">
        <v>29.906557082999999</v>
      </c>
      <c r="G1222">
        <v>1391.4194336</v>
      </c>
      <c r="H1222">
        <v>1376.3430175999999</v>
      </c>
      <c r="I1222">
        <v>1271.8414307</v>
      </c>
      <c r="J1222">
        <v>1244.1298827999999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732.39897199999996</v>
      </c>
      <c r="B1223" s="1">
        <f>DATE(2012,5,2) + TIME(9,34,31)</f>
        <v>41031.398969907408</v>
      </c>
      <c r="C1223">
        <v>90</v>
      </c>
      <c r="D1223">
        <v>87.326751709000007</v>
      </c>
      <c r="E1223">
        <v>30</v>
      </c>
      <c r="F1223">
        <v>29.903966904000001</v>
      </c>
      <c r="G1223">
        <v>1391.3189697</v>
      </c>
      <c r="H1223">
        <v>1376.2868652</v>
      </c>
      <c r="I1223">
        <v>1271.8413086</v>
      </c>
      <c r="J1223">
        <v>1244.1292725000001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732.461859</v>
      </c>
      <c r="B1224" s="1">
        <f>DATE(2012,5,2) + TIME(11,5,4)</f>
        <v>41031.461851851855</v>
      </c>
      <c r="C1224">
        <v>90</v>
      </c>
      <c r="D1224">
        <v>87.564697265999996</v>
      </c>
      <c r="E1224">
        <v>30</v>
      </c>
      <c r="F1224">
        <v>29.901271820000002</v>
      </c>
      <c r="G1224">
        <v>1391.2193603999999</v>
      </c>
      <c r="H1224">
        <v>1376.2299805</v>
      </c>
      <c r="I1224">
        <v>1271.8411865</v>
      </c>
      <c r="J1224">
        <v>1244.1286620999999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732.52802599999995</v>
      </c>
      <c r="B1225" s="1">
        <f>DATE(2012,5,2) + TIME(12,40,21)</f>
        <v>41031.528020833335</v>
      </c>
      <c r="C1225">
        <v>90</v>
      </c>
      <c r="D1225">
        <v>87.791091918999996</v>
      </c>
      <c r="E1225">
        <v>30</v>
      </c>
      <c r="F1225">
        <v>29.898460388</v>
      </c>
      <c r="G1225">
        <v>1391.1203613</v>
      </c>
      <c r="H1225">
        <v>1376.1722411999999</v>
      </c>
      <c r="I1225">
        <v>1271.8410644999999</v>
      </c>
      <c r="J1225">
        <v>1244.1280518000001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732.597803</v>
      </c>
      <c r="B1226" s="1">
        <f>DATE(2012,5,2) + TIME(14,20,50)</f>
        <v>41031.597800925927</v>
      </c>
      <c r="C1226">
        <v>90</v>
      </c>
      <c r="D1226">
        <v>88.005867003999995</v>
      </c>
      <c r="E1226">
        <v>30</v>
      </c>
      <c r="F1226">
        <v>29.895523071</v>
      </c>
      <c r="G1226">
        <v>1391.0218506000001</v>
      </c>
      <c r="H1226">
        <v>1376.1136475000001</v>
      </c>
      <c r="I1226">
        <v>1271.8409423999999</v>
      </c>
      <c r="J1226">
        <v>1244.1274414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732.67159400000003</v>
      </c>
      <c r="B1227" s="1">
        <f>DATE(2012,5,2) + TIME(16,7,5)</f>
        <v>41031.671585648146</v>
      </c>
      <c r="C1227">
        <v>90</v>
      </c>
      <c r="D1227">
        <v>88.209014893000003</v>
      </c>
      <c r="E1227">
        <v>30</v>
      </c>
      <c r="F1227">
        <v>29.892444610999998</v>
      </c>
      <c r="G1227">
        <v>1390.9234618999999</v>
      </c>
      <c r="H1227">
        <v>1376.0538329999999</v>
      </c>
      <c r="I1227">
        <v>1271.8408202999999</v>
      </c>
      <c r="J1227">
        <v>1244.1268310999999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732.74987199999998</v>
      </c>
      <c r="B1228" s="1">
        <f>DATE(2012,5,2) + TIME(17,59,48)</f>
        <v>41031.749861111108</v>
      </c>
      <c r="C1228">
        <v>90</v>
      </c>
      <c r="D1228">
        <v>88.400543213000006</v>
      </c>
      <c r="E1228">
        <v>30</v>
      </c>
      <c r="F1228">
        <v>29.889207840000001</v>
      </c>
      <c r="G1228">
        <v>1390.8251952999999</v>
      </c>
      <c r="H1228">
        <v>1375.9927978999999</v>
      </c>
      <c r="I1228">
        <v>1271.8406981999999</v>
      </c>
      <c r="J1228">
        <v>1244.1260986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732.83321999999998</v>
      </c>
      <c r="B1229" s="1">
        <f>DATE(2012,5,2) + TIME(19,59,50)</f>
        <v>41031.83321759259</v>
      </c>
      <c r="C1229">
        <v>90</v>
      </c>
      <c r="D1229">
        <v>88.580497742000006</v>
      </c>
      <c r="E1229">
        <v>30</v>
      </c>
      <c r="F1229">
        <v>29.885795593000001</v>
      </c>
      <c r="G1229">
        <v>1390.7265625</v>
      </c>
      <c r="H1229">
        <v>1375.9301757999999</v>
      </c>
      <c r="I1229">
        <v>1271.8404541</v>
      </c>
      <c r="J1229">
        <v>1244.1253661999999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732.92233599999997</v>
      </c>
      <c r="B1230" s="1">
        <f>DATE(2012,5,2) + TIME(22,8,9)</f>
        <v>41031.922326388885</v>
      </c>
      <c r="C1230">
        <v>90</v>
      </c>
      <c r="D1230">
        <v>88.748916625999996</v>
      </c>
      <c r="E1230">
        <v>30</v>
      </c>
      <c r="F1230">
        <v>29.882184981999998</v>
      </c>
      <c r="G1230">
        <v>1390.6271973</v>
      </c>
      <c r="H1230">
        <v>1375.8658447</v>
      </c>
      <c r="I1230">
        <v>1271.840332</v>
      </c>
      <c r="J1230">
        <v>1244.1245117000001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733.015086</v>
      </c>
      <c r="B1231" s="1">
        <f>DATE(2012,5,3) + TIME(0,21,43)</f>
        <v>41032.015081018515</v>
      </c>
      <c r="C1231">
        <v>90</v>
      </c>
      <c r="D1231">
        <v>88.901596068999993</v>
      </c>
      <c r="E1231">
        <v>30</v>
      </c>
      <c r="F1231">
        <v>29.878452300999999</v>
      </c>
      <c r="G1231">
        <v>1390.5292969</v>
      </c>
      <c r="H1231">
        <v>1375.8006591999999</v>
      </c>
      <c r="I1231">
        <v>1271.8400879000001</v>
      </c>
      <c r="J1231">
        <v>1244.1236572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733.10848999999996</v>
      </c>
      <c r="B1232" s="1">
        <f>DATE(2012,5,3) + TIME(2,36,13)</f>
        <v>41032.108483796299</v>
      </c>
      <c r="C1232">
        <v>90</v>
      </c>
      <c r="D1232">
        <v>89.035415649000001</v>
      </c>
      <c r="E1232">
        <v>30</v>
      </c>
      <c r="F1232">
        <v>29.874710083</v>
      </c>
      <c r="G1232">
        <v>1390.4351807</v>
      </c>
      <c r="H1232">
        <v>1375.7364502</v>
      </c>
      <c r="I1232">
        <v>1271.8398437999999</v>
      </c>
      <c r="J1232">
        <v>1244.1228027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733.202404</v>
      </c>
      <c r="B1233" s="1">
        <f>DATE(2012,5,3) + TIME(4,51,27)</f>
        <v>41032.20239583333</v>
      </c>
      <c r="C1233">
        <v>90</v>
      </c>
      <c r="D1233">
        <v>89.152442932</v>
      </c>
      <c r="E1233">
        <v>30</v>
      </c>
      <c r="F1233">
        <v>29.870960235999998</v>
      </c>
      <c r="G1233">
        <v>1390.3449707</v>
      </c>
      <c r="H1233">
        <v>1375.6738281</v>
      </c>
      <c r="I1233">
        <v>1271.8394774999999</v>
      </c>
      <c r="J1233">
        <v>1244.1219481999999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733.29702199999997</v>
      </c>
      <c r="B1234" s="1">
        <f>DATE(2012,5,3) + TIME(7,7,42)</f>
        <v>41032.297013888892</v>
      </c>
      <c r="C1234">
        <v>90</v>
      </c>
      <c r="D1234">
        <v>89.254913329999994</v>
      </c>
      <c r="E1234">
        <v>30</v>
      </c>
      <c r="F1234">
        <v>29.867197037</v>
      </c>
      <c r="G1234">
        <v>1390.2583007999999</v>
      </c>
      <c r="H1234">
        <v>1375.612793</v>
      </c>
      <c r="I1234">
        <v>1271.8392334</v>
      </c>
      <c r="J1234">
        <v>1244.1210937999999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733.392515</v>
      </c>
      <c r="B1235" s="1">
        <f>DATE(2012,5,3) + TIME(9,25,13)</f>
        <v>41032.392511574071</v>
      </c>
      <c r="C1235">
        <v>90</v>
      </c>
      <c r="D1235">
        <v>89.344696045000006</v>
      </c>
      <c r="E1235">
        <v>30</v>
      </c>
      <c r="F1235">
        <v>29.863412857</v>
      </c>
      <c r="G1235">
        <v>1390.1746826000001</v>
      </c>
      <c r="H1235">
        <v>1375.5529785000001</v>
      </c>
      <c r="I1235">
        <v>1271.8389893000001</v>
      </c>
      <c r="J1235">
        <v>1244.1202393000001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733.48901799999999</v>
      </c>
      <c r="B1236" s="1">
        <f>DATE(2012,5,3) + TIME(11,44,11)</f>
        <v>41032.489016203705</v>
      </c>
      <c r="C1236">
        <v>90</v>
      </c>
      <c r="D1236">
        <v>89.423362732000001</v>
      </c>
      <c r="E1236">
        <v>30</v>
      </c>
      <c r="F1236">
        <v>29.859603881999998</v>
      </c>
      <c r="G1236">
        <v>1390.09375</v>
      </c>
      <c r="H1236">
        <v>1375.4943848</v>
      </c>
      <c r="I1236">
        <v>1271.8387451000001</v>
      </c>
      <c r="J1236">
        <v>1244.1193848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733.58668699999998</v>
      </c>
      <c r="B1237" s="1">
        <f>DATE(2012,5,3) + TIME(14,4,49)</f>
        <v>41032.586678240739</v>
      </c>
      <c r="C1237">
        <v>90</v>
      </c>
      <c r="D1237">
        <v>89.492301940999994</v>
      </c>
      <c r="E1237">
        <v>30</v>
      </c>
      <c r="F1237">
        <v>29.855766295999999</v>
      </c>
      <c r="G1237">
        <v>1390.0151367000001</v>
      </c>
      <c r="H1237">
        <v>1375.4367675999999</v>
      </c>
      <c r="I1237">
        <v>1271.8383789</v>
      </c>
      <c r="J1237">
        <v>1244.1184082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733.68568300000004</v>
      </c>
      <c r="B1238" s="1">
        <f>DATE(2012,5,3) + TIME(16,27,22)</f>
        <v>41032.685671296298</v>
      </c>
      <c r="C1238">
        <v>90</v>
      </c>
      <c r="D1238">
        <v>89.552703856999997</v>
      </c>
      <c r="E1238">
        <v>30</v>
      </c>
      <c r="F1238">
        <v>29.851890564000001</v>
      </c>
      <c r="G1238">
        <v>1389.9387207</v>
      </c>
      <c r="H1238">
        <v>1375.3800048999999</v>
      </c>
      <c r="I1238">
        <v>1271.8381348</v>
      </c>
      <c r="J1238">
        <v>1244.1175536999999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733.78616499999998</v>
      </c>
      <c r="B1239" s="1">
        <f>DATE(2012,5,3) + TIME(18,52,4)</f>
        <v>41032.786157407405</v>
      </c>
      <c r="C1239">
        <v>90</v>
      </c>
      <c r="D1239">
        <v>89.605606078999998</v>
      </c>
      <c r="E1239">
        <v>30</v>
      </c>
      <c r="F1239">
        <v>29.847974777000001</v>
      </c>
      <c r="G1239">
        <v>1389.8640137</v>
      </c>
      <c r="H1239">
        <v>1375.3242187999999</v>
      </c>
      <c r="I1239">
        <v>1271.8377685999999</v>
      </c>
      <c r="J1239">
        <v>1244.1165771000001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733.88829999999996</v>
      </c>
      <c r="B1240" s="1">
        <f>DATE(2012,5,3) + TIME(21,19,9)</f>
        <v>41032.888298611113</v>
      </c>
      <c r="C1240">
        <v>90</v>
      </c>
      <c r="D1240">
        <v>89.651916503999999</v>
      </c>
      <c r="E1240">
        <v>30</v>
      </c>
      <c r="F1240">
        <v>29.844011306999999</v>
      </c>
      <c r="G1240">
        <v>1389.7910156</v>
      </c>
      <c r="H1240">
        <v>1375.269043</v>
      </c>
      <c r="I1240">
        <v>1271.8374022999999</v>
      </c>
      <c r="J1240">
        <v>1244.1156006000001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733.99225899999999</v>
      </c>
      <c r="B1241" s="1">
        <f>DATE(2012,5,3) + TIME(23,48,51)</f>
        <v>41032.992256944446</v>
      </c>
      <c r="C1241">
        <v>90</v>
      </c>
      <c r="D1241">
        <v>89.692420959000003</v>
      </c>
      <c r="E1241">
        <v>30</v>
      </c>
      <c r="F1241">
        <v>29.839992522999999</v>
      </c>
      <c r="G1241">
        <v>1389.7193603999999</v>
      </c>
      <c r="H1241">
        <v>1375.2144774999999</v>
      </c>
      <c r="I1241">
        <v>1271.8371582</v>
      </c>
      <c r="J1241">
        <v>1244.114624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734.09822399999996</v>
      </c>
      <c r="B1242" s="1">
        <f>DATE(2012,5,4) + TIME(2,21,26)</f>
        <v>41033.098217592589</v>
      </c>
      <c r="C1242">
        <v>90</v>
      </c>
      <c r="D1242">
        <v>89.727813721000004</v>
      </c>
      <c r="E1242">
        <v>30</v>
      </c>
      <c r="F1242">
        <v>29.835916519000001</v>
      </c>
      <c r="G1242">
        <v>1389.6488036999999</v>
      </c>
      <c r="H1242">
        <v>1375.1604004000001</v>
      </c>
      <c r="I1242">
        <v>1271.8367920000001</v>
      </c>
      <c r="J1242">
        <v>1244.1136475000001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734.20638499999995</v>
      </c>
      <c r="B1243" s="1">
        <f>DATE(2012,5,4) + TIME(4,57,11)</f>
        <v>41033.206377314818</v>
      </c>
      <c r="C1243">
        <v>90</v>
      </c>
      <c r="D1243">
        <v>89.758705139</v>
      </c>
      <c r="E1243">
        <v>30</v>
      </c>
      <c r="F1243">
        <v>29.831771850999999</v>
      </c>
      <c r="G1243">
        <v>1389.5793457</v>
      </c>
      <c r="H1243">
        <v>1375.1066894999999</v>
      </c>
      <c r="I1243">
        <v>1271.8364257999999</v>
      </c>
      <c r="J1243">
        <v>1244.1126709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734.31685200000004</v>
      </c>
      <c r="B1244" s="1">
        <f>DATE(2012,5,4) + TIME(7,36,16)</f>
        <v>41033.316851851851</v>
      </c>
      <c r="C1244">
        <v>90</v>
      </c>
      <c r="D1244">
        <v>89.785606384000005</v>
      </c>
      <c r="E1244">
        <v>30</v>
      </c>
      <c r="F1244">
        <v>29.827558517</v>
      </c>
      <c r="G1244">
        <v>1389.5107422000001</v>
      </c>
      <c r="H1244">
        <v>1375.0534668</v>
      </c>
      <c r="I1244">
        <v>1271.8360596</v>
      </c>
      <c r="J1244">
        <v>1244.1116943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734.42945899999995</v>
      </c>
      <c r="B1245" s="1">
        <f>DATE(2012,5,4) + TIME(10,18,25)</f>
        <v>41033.429456018515</v>
      </c>
      <c r="C1245">
        <v>90</v>
      </c>
      <c r="D1245">
        <v>89.808929442999997</v>
      </c>
      <c r="E1245">
        <v>30</v>
      </c>
      <c r="F1245">
        <v>29.823282242000001</v>
      </c>
      <c r="G1245">
        <v>1389.4428711</v>
      </c>
      <c r="H1245">
        <v>1375.0004882999999</v>
      </c>
      <c r="I1245">
        <v>1271.8356934000001</v>
      </c>
      <c r="J1245">
        <v>1244.1105957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734.54440399999999</v>
      </c>
      <c r="B1246" s="1">
        <f>DATE(2012,5,4) + TIME(13,3,56)</f>
        <v>41033.544398148151</v>
      </c>
      <c r="C1246">
        <v>90</v>
      </c>
      <c r="D1246">
        <v>89.829132079999994</v>
      </c>
      <c r="E1246">
        <v>30</v>
      </c>
      <c r="F1246">
        <v>29.818933486999999</v>
      </c>
      <c r="G1246">
        <v>1389.3758545000001</v>
      </c>
      <c r="H1246">
        <v>1374.9479980000001</v>
      </c>
      <c r="I1246">
        <v>1271.8353271000001</v>
      </c>
      <c r="J1246">
        <v>1244.1094971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734.66188399999999</v>
      </c>
      <c r="B1247" s="1">
        <f>DATE(2012,5,4) + TIME(15,53,6)</f>
        <v>41033.661874999998</v>
      </c>
      <c r="C1247">
        <v>90</v>
      </c>
      <c r="D1247">
        <v>89.846603393999999</v>
      </c>
      <c r="E1247">
        <v>30</v>
      </c>
      <c r="F1247">
        <v>29.814508438000001</v>
      </c>
      <c r="G1247">
        <v>1389.3095702999999</v>
      </c>
      <c r="H1247">
        <v>1374.8957519999999</v>
      </c>
      <c r="I1247">
        <v>1271.8348389</v>
      </c>
      <c r="J1247">
        <v>1244.1083983999999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734.78212299999996</v>
      </c>
      <c r="B1248" s="1">
        <f>DATE(2012,5,4) + TIME(18,46,15)</f>
        <v>41033.782118055555</v>
      </c>
      <c r="C1248">
        <v>90</v>
      </c>
      <c r="D1248">
        <v>89.861679077000005</v>
      </c>
      <c r="E1248">
        <v>30</v>
      </c>
      <c r="F1248">
        <v>29.809999466000001</v>
      </c>
      <c r="G1248">
        <v>1389.2437743999999</v>
      </c>
      <c r="H1248">
        <v>1374.8436279</v>
      </c>
      <c r="I1248">
        <v>1271.8344727000001</v>
      </c>
      <c r="J1248">
        <v>1244.1071777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734.90541800000005</v>
      </c>
      <c r="B1249" s="1">
        <f>DATE(2012,5,4) + TIME(21,43,48)</f>
        <v>41033.905416666668</v>
      </c>
      <c r="C1249">
        <v>90</v>
      </c>
      <c r="D1249">
        <v>89.874687195000007</v>
      </c>
      <c r="E1249">
        <v>30</v>
      </c>
      <c r="F1249">
        <v>29.805395126000001</v>
      </c>
      <c r="G1249">
        <v>1389.1783447</v>
      </c>
      <c r="H1249">
        <v>1374.7918701000001</v>
      </c>
      <c r="I1249">
        <v>1271.8339844</v>
      </c>
      <c r="J1249">
        <v>1244.1060791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735.03194800000006</v>
      </c>
      <c r="B1250" s="1">
        <f>DATE(2012,5,5) + TIME(0,46,0)</f>
        <v>41034.031944444447</v>
      </c>
      <c r="C1250">
        <v>90</v>
      </c>
      <c r="D1250">
        <v>89.885864257999998</v>
      </c>
      <c r="E1250">
        <v>30</v>
      </c>
      <c r="F1250">
        <v>29.800691605000001</v>
      </c>
      <c r="G1250">
        <v>1389.1131591999999</v>
      </c>
      <c r="H1250">
        <v>1374.7401123</v>
      </c>
      <c r="I1250">
        <v>1271.8334961</v>
      </c>
      <c r="J1250">
        <v>1244.1048584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735.16198899999995</v>
      </c>
      <c r="B1251" s="1">
        <f>DATE(2012,5,5) + TIME(3,53,15)</f>
        <v>41034.161979166667</v>
      </c>
      <c r="C1251">
        <v>90</v>
      </c>
      <c r="D1251">
        <v>89.895454407000003</v>
      </c>
      <c r="E1251">
        <v>30</v>
      </c>
      <c r="F1251">
        <v>29.795879364000001</v>
      </c>
      <c r="G1251">
        <v>1389.0482178</v>
      </c>
      <c r="H1251">
        <v>1374.6882324000001</v>
      </c>
      <c r="I1251">
        <v>1271.8331298999999</v>
      </c>
      <c r="J1251">
        <v>1244.1036377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735.29584</v>
      </c>
      <c r="B1252" s="1">
        <f>DATE(2012,5,5) + TIME(7,6,0)</f>
        <v>41034.29583333333</v>
      </c>
      <c r="C1252">
        <v>90</v>
      </c>
      <c r="D1252">
        <v>89.903663635000001</v>
      </c>
      <c r="E1252">
        <v>30</v>
      </c>
      <c r="F1252">
        <v>29.790948868000001</v>
      </c>
      <c r="G1252">
        <v>1388.9832764</v>
      </c>
      <c r="H1252">
        <v>1374.6364745999999</v>
      </c>
      <c r="I1252">
        <v>1271.8326416</v>
      </c>
      <c r="J1252">
        <v>1244.1022949000001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735.43383100000005</v>
      </c>
      <c r="B1253" s="1">
        <f>DATE(2012,5,5) + TIME(10,24,43)</f>
        <v>41034.433831018519</v>
      </c>
      <c r="C1253">
        <v>90</v>
      </c>
      <c r="D1253">
        <v>89.910675049000005</v>
      </c>
      <c r="E1253">
        <v>30</v>
      </c>
      <c r="F1253">
        <v>29.785890579</v>
      </c>
      <c r="G1253">
        <v>1388.9182129000001</v>
      </c>
      <c r="H1253">
        <v>1374.5844727000001</v>
      </c>
      <c r="I1253">
        <v>1271.8320312000001</v>
      </c>
      <c r="J1253">
        <v>1244.1009521000001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735.57629499999996</v>
      </c>
      <c r="B1254" s="1">
        <f>DATE(2012,5,5) + TIME(13,49,51)</f>
        <v>41034.576284722221</v>
      </c>
      <c r="C1254">
        <v>90</v>
      </c>
      <c r="D1254">
        <v>89.916648864999999</v>
      </c>
      <c r="E1254">
        <v>30</v>
      </c>
      <c r="F1254">
        <v>29.780693054</v>
      </c>
      <c r="G1254">
        <v>1388.8530272999999</v>
      </c>
      <c r="H1254">
        <v>1374.5323486</v>
      </c>
      <c r="I1254">
        <v>1271.831543</v>
      </c>
      <c r="J1254">
        <v>1244.0996094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735.72366499999998</v>
      </c>
      <c r="B1255" s="1">
        <f>DATE(2012,5,5) + TIME(17,22,4)</f>
        <v>41034.723657407405</v>
      </c>
      <c r="C1255">
        <v>90</v>
      </c>
      <c r="D1255">
        <v>89.921714782999999</v>
      </c>
      <c r="E1255">
        <v>30</v>
      </c>
      <c r="F1255">
        <v>29.775342941000002</v>
      </c>
      <c r="G1255">
        <v>1388.7874756000001</v>
      </c>
      <c r="H1255">
        <v>1374.4798584</v>
      </c>
      <c r="I1255">
        <v>1271.8310547000001</v>
      </c>
      <c r="J1255">
        <v>1244.0981445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735.876396</v>
      </c>
      <c r="B1256" s="1">
        <f>DATE(2012,5,5) + TIME(21,2,0)</f>
        <v>41034.876388888886</v>
      </c>
      <c r="C1256">
        <v>90</v>
      </c>
      <c r="D1256">
        <v>89.926010132000002</v>
      </c>
      <c r="E1256">
        <v>30</v>
      </c>
      <c r="F1256">
        <v>29.769828795999999</v>
      </c>
      <c r="G1256">
        <v>1388.7215576000001</v>
      </c>
      <c r="H1256">
        <v>1374.4270019999999</v>
      </c>
      <c r="I1256">
        <v>1271.8304443</v>
      </c>
      <c r="J1256">
        <v>1244.0966797000001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736.03499699999998</v>
      </c>
      <c r="B1257" s="1">
        <f>DATE(2012,5,6) + TIME(0,50,23)</f>
        <v>41035.034988425927</v>
      </c>
      <c r="C1257">
        <v>90</v>
      </c>
      <c r="D1257">
        <v>89.929634093999994</v>
      </c>
      <c r="E1257">
        <v>30</v>
      </c>
      <c r="F1257">
        <v>29.764129639</v>
      </c>
      <c r="G1257">
        <v>1388.6550293</v>
      </c>
      <c r="H1257">
        <v>1374.3736572</v>
      </c>
      <c r="I1257">
        <v>1271.8298339999999</v>
      </c>
      <c r="J1257">
        <v>1244.0952147999999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736.19848000000002</v>
      </c>
      <c r="B1258" s="1">
        <f>DATE(2012,5,6) + TIME(4,45,48)</f>
        <v>41035.198472222219</v>
      </c>
      <c r="C1258">
        <v>90</v>
      </c>
      <c r="D1258">
        <v>89.932662964000002</v>
      </c>
      <c r="E1258">
        <v>30</v>
      </c>
      <c r="F1258">
        <v>29.7582798</v>
      </c>
      <c r="G1258">
        <v>1388.5877685999999</v>
      </c>
      <c r="H1258">
        <v>1374.3197021000001</v>
      </c>
      <c r="I1258">
        <v>1271.8292236</v>
      </c>
      <c r="J1258">
        <v>1244.0936279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736.36687199999994</v>
      </c>
      <c r="B1259" s="1">
        <f>DATE(2012,5,6) + TIME(8,48,17)</f>
        <v>41035.366863425923</v>
      </c>
      <c r="C1259">
        <v>90</v>
      </c>
      <c r="D1259">
        <v>89.935180664000001</v>
      </c>
      <c r="E1259">
        <v>30</v>
      </c>
      <c r="F1259">
        <v>29.752277373999998</v>
      </c>
      <c r="G1259">
        <v>1388.5202637</v>
      </c>
      <c r="H1259">
        <v>1374.2655029</v>
      </c>
      <c r="I1259">
        <v>1271.8286132999999</v>
      </c>
      <c r="J1259">
        <v>1244.0919189000001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736.54059400000006</v>
      </c>
      <c r="B1260" s="1">
        <f>DATE(2012,5,6) + TIME(12,58,27)</f>
        <v>41035.540590277778</v>
      </c>
      <c r="C1260">
        <v>90</v>
      </c>
      <c r="D1260">
        <v>89.937271117999998</v>
      </c>
      <c r="E1260">
        <v>30</v>
      </c>
      <c r="F1260">
        <v>29.746110915999999</v>
      </c>
      <c r="G1260">
        <v>1388.4526367000001</v>
      </c>
      <c r="H1260">
        <v>1374.2111815999999</v>
      </c>
      <c r="I1260">
        <v>1271.8278809000001</v>
      </c>
      <c r="J1260">
        <v>1244.0902100000001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736.720056</v>
      </c>
      <c r="B1261" s="1">
        <f>DATE(2012,5,6) + TIME(17,16,52)</f>
        <v>41035.720046296294</v>
      </c>
      <c r="C1261">
        <v>90</v>
      </c>
      <c r="D1261">
        <v>89.939002990999995</v>
      </c>
      <c r="E1261">
        <v>30</v>
      </c>
      <c r="F1261">
        <v>29.739767075</v>
      </c>
      <c r="G1261">
        <v>1388.3846435999999</v>
      </c>
      <c r="H1261">
        <v>1374.1566161999999</v>
      </c>
      <c r="I1261">
        <v>1271.8271483999999</v>
      </c>
      <c r="J1261">
        <v>1244.088501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736.90579600000001</v>
      </c>
      <c r="B1262" s="1">
        <f>DATE(2012,5,6) + TIME(21,44,20)</f>
        <v>41035.905787037038</v>
      </c>
      <c r="C1262">
        <v>90</v>
      </c>
      <c r="D1262">
        <v>89.940437317000004</v>
      </c>
      <c r="E1262">
        <v>30</v>
      </c>
      <c r="F1262">
        <v>29.733230591000002</v>
      </c>
      <c r="G1262">
        <v>1388.3161620999999</v>
      </c>
      <c r="H1262">
        <v>1374.1018065999999</v>
      </c>
      <c r="I1262">
        <v>1271.8264160000001</v>
      </c>
      <c r="J1262">
        <v>1244.0866699000001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737.09723399999996</v>
      </c>
      <c r="B1263" s="1">
        <f>DATE(2012,5,7) + TIME(2,20,1)</f>
        <v>41036.097233796296</v>
      </c>
      <c r="C1263">
        <v>90</v>
      </c>
      <c r="D1263">
        <v>89.941619872999993</v>
      </c>
      <c r="E1263">
        <v>30</v>
      </c>
      <c r="F1263">
        <v>29.726518631000001</v>
      </c>
      <c r="G1263">
        <v>1388.2470702999999</v>
      </c>
      <c r="H1263">
        <v>1374.0463867000001</v>
      </c>
      <c r="I1263">
        <v>1271.8256836</v>
      </c>
      <c r="J1263">
        <v>1244.0848389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737.28949899999998</v>
      </c>
      <c r="B1264" s="1">
        <f>DATE(2012,5,7) + TIME(6,56,52)</f>
        <v>41036.289490740739</v>
      </c>
      <c r="C1264">
        <v>90</v>
      </c>
      <c r="D1264">
        <v>89.942573546999995</v>
      </c>
      <c r="E1264">
        <v>30</v>
      </c>
      <c r="F1264">
        <v>29.719770432000001</v>
      </c>
      <c r="G1264">
        <v>1388.1778564000001</v>
      </c>
      <c r="H1264">
        <v>1373.9909668</v>
      </c>
      <c r="I1264">
        <v>1271.8248291</v>
      </c>
      <c r="J1264">
        <v>1244.0828856999999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737.48296900000003</v>
      </c>
      <c r="B1265" s="1">
        <f>DATE(2012,5,7) + TIME(11,35,28)</f>
        <v>41036.48296296296</v>
      </c>
      <c r="C1265">
        <v>90</v>
      </c>
      <c r="D1265">
        <v>89.943344116000006</v>
      </c>
      <c r="E1265">
        <v>30</v>
      </c>
      <c r="F1265">
        <v>29.712982178000001</v>
      </c>
      <c r="G1265">
        <v>1388.1099853999999</v>
      </c>
      <c r="H1265">
        <v>1373.9365233999999</v>
      </c>
      <c r="I1265">
        <v>1271.8239745999999</v>
      </c>
      <c r="J1265">
        <v>1244.0809326000001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737.677998</v>
      </c>
      <c r="B1266" s="1">
        <f>DATE(2012,5,7) + TIME(16,16,18)</f>
        <v>41036.677986111114</v>
      </c>
      <c r="C1266">
        <v>90</v>
      </c>
      <c r="D1266">
        <v>89.943962096999996</v>
      </c>
      <c r="E1266">
        <v>30</v>
      </c>
      <c r="F1266">
        <v>29.706146239999999</v>
      </c>
      <c r="G1266">
        <v>1388.0433350000001</v>
      </c>
      <c r="H1266">
        <v>1373.8833007999999</v>
      </c>
      <c r="I1266">
        <v>1271.8231201000001</v>
      </c>
      <c r="J1266">
        <v>1244.0789795000001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737.87493099999995</v>
      </c>
      <c r="B1267" s="1">
        <f>DATE(2012,5,7) + TIME(20,59,54)</f>
        <v>41036.874930555554</v>
      </c>
      <c r="C1267">
        <v>90</v>
      </c>
      <c r="D1267">
        <v>89.944473267000006</v>
      </c>
      <c r="E1267">
        <v>30</v>
      </c>
      <c r="F1267">
        <v>29.69925499</v>
      </c>
      <c r="G1267">
        <v>1387.9776611</v>
      </c>
      <c r="H1267">
        <v>1373.8308105000001</v>
      </c>
      <c r="I1267">
        <v>1271.8222656</v>
      </c>
      <c r="J1267">
        <v>1244.0770264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738.074117</v>
      </c>
      <c r="B1268" s="1">
        <f>DATE(2012,5,8) + TIME(1,46,43)</f>
        <v>41037.074108796296</v>
      </c>
      <c r="C1268">
        <v>90</v>
      </c>
      <c r="D1268">
        <v>89.944892882999994</v>
      </c>
      <c r="E1268">
        <v>30</v>
      </c>
      <c r="F1268">
        <v>29.692302703999999</v>
      </c>
      <c r="G1268">
        <v>1387.9129639</v>
      </c>
      <c r="H1268">
        <v>1373.7790527</v>
      </c>
      <c r="I1268">
        <v>1271.8214111</v>
      </c>
      <c r="J1268">
        <v>1244.0749512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738.27590799999996</v>
      </c>
      <c r="B1269" s="1">
        <f>DATE(2012,5,8) + TIME(6,37,18)</f>
        <v>41037.275902777779</v>
      </c>
      <c r="C1269">
        <v>90</v>
      </c>
      <c r="D1269">
        <v>89.945236206000004</v>
      </c>
      <c r="E1269">
        <v>30</v>
      </c>
      <c r="F1269">
        <v>29.685279846</v>
      </c>
      <c r="G1269">
        <v>1387.848999</v>
      </c>
      <c r="H1269">
        <v>1373.7280272999999</v>
      </c>
      <c r="I1269">
        <v>1271.8205565999999</v>
      </c>
      <c r="J1269">
        <v>1244.0729980000001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738.48066700000004</v>
      </c>
      <c r="B1270" s="1">
        <f>DATE(2012,5,8) + TIME(11,32,9)</f>
        <v>41037.48065972222</v>
      </c>
      <c r="C1270">
        <v>90</v>
      </c>
      <c r="D1270">
        <v>89.945518493999998</v>
      </c>
      <c r="E1270">
        <v>30</v>
      </c>
      <c r="F1270">
        <v>29.678176879999999</v>
      </c>
      <c r="G1270">
        <v>1387.7855225000001</v>
      </c>
      <c r="H1270">
        <v>1373.6773682</v>
      </c>
      <c r="I1270">
        <v>1271.8197021000001</v>
      </c>
      <c r="J1270">
        <v>1244.0709228999999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738.688896</v>
      </c>
      <c r="B1271" s="1">
        <f>DATE(2012,5,8) + TIME(16,32,0)</f>
        <v>41037.688888888886</v>
      </c>
      <c r="C1271">
        <v>90</v>
      </c>
      <c r="D1271">
        <v>89.945755004999995</v>
      </c>
      <c r="E1271">
        <v>30</v>
      </c>
      <c r="F1271">
        <v>29.670980452999999</v>
      </c>
      <c r="G1271">
        <v>1387.7226562000001</v>
      </c>
      <c r="H1271">
        <v>1373.6273193</v>
      </c>
      <c r="I1271">
        <v>1271.8188477000001</v>
      </c>
      <c r="J1271">
        <v>1244.0688477000001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738.900893</v>
      </c>
      <c r="B1272" s="1">
        <f>DATE(2012,5,8) + TIME(21,37,17)</f>
        <v>41037.900891203702</v>
      </c>
      <c r="C1272">
        <v>90</v>
      </c>
      <c r="D1272">
        <v>89.945945739999999</v>
      </c>
      <c r="E1272">
        <v>30</v>
      </c>
      <c r="F1272">
        <v>29.663682938000001</v>
      </c>
      <c r="G1272">
        <v>1387.6600341999999</v>
      </c>
      <c r="H1272">
        <v>1373.5773925999999</v>
      </c>
      <c r="I1272">
        <v>1271.8179932</v>
      </c>
      <c r="J1272">
        <v>1244.0666504000001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739.11676199999999</v>
      </c>
      <c r="B1273" s="1">
        <f>DATE(2012,5,9) + TIME(2,48,8)</f>
        <v>41038.116759259261</v>
      </c>
      <c r="C1273">
        <v>90</v>
      </c>
      <c r="D1273">
        <v>89.946105957</v>
      </c>
      <c r="E1273">
        <v>30</v>
      </c>
      <c r="F1273">
        <v>29.656280517999999</v>
      </c>
      <c r="G1273">
        <v>1387.5976562000001</v>
      </c>
      <c r="H1273">
        <v>1373.5277100000001</v>
      </c>
      <c r="I1273">
        <v>1271.8170166</v>
      </c>
      <c r="J1273">
        <v>1244.0644531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739.33579699999996</v>
      </c>
      <c r="B1274" s="1">
        <f>DATE(2012,5,9) + TIME(8,3,32)</f>
        <v>41038.335787037038</v>
      </c>
      <c r="C1274">
        <v>90</v>
      </c>
      <c r="D1274">
        <v>89.946243285999998</v>
      </c>
      <c r="E1274">
        <v>30</v>
      </c>
      <c r="F1274">
        <v>29.648792267000001</v>
      </c>
      <c r="G1274">
        <v>1387.5354004000001</v>
      </c>
      <c r="H1274">
        <v>1373.4782714999999</v>
      </c>
      <c r="I1274">
        <v>1271.8161620999999</v>
      </c>
      <c r="J1274">
        <v>1244.0622559000001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739.55838300000005</v>
      </c>
      <c r="B1275" s="1">
        <f>DATE(2012,5,9) + TIME(13,24,4)</f>
        <v>41038.558379629627</v>
      </c>
      <c r="C1275">
        <v>90</v>
      </c>
      <c r="D1275">
        <v>89.946350097999996</v>
      </c>
      <c r="E1275">
        <v>30</v>
      </c>
      <c r="F1275">
        <v>29.641210556000001</v>
      </c>
      <c r="G1275">
        <v>1387.4735106999999</v>
      </c>
      <c r="H1275">
        <v>1373.4290771000001</v>
      </c>
      <c r="I1275">
        <v>1271.8151855000001</v>
      </c>
      <c r="J1275">
        <v>1244.0600586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739.785033</v>
      </c>
      <c r="B1276" s="1">
        <f>DATE(2012,5,9) + TIME(18,50,26)</f>
        <v>41038.78502314815</v>
      </c>
      <c r="C1276">
        <v>90</v>
      </c>
      <c r="D1276">
        <v>89.946441649999997</v>
      </c>
      <c r="E1276">
        <v>30</v>
      </c>
      <c r="F1276">
        <v>29.633520126000001</v>
      </c>
      <c r="G1276">
        <v>1387.4119873</v>
      </c>
      <c r="H1276">
        <v>1373.3801269999999</v>
      </c>
      <c r="I1276">
        <v>1271.8142089999999</v>
      </c>
      <c r="J1276">
        <v>1244.0577393000001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740.01608799999997</v>
      </c>
      <c r="B1277" s="1">
        <f>DATE(2012,5,10) + TIME(0,23,10)</f>
        <v>41039.016087962962</v>
      </c>
      <c r="C1277">
        <v>90</v>
      </c>
      <c r="D1277">
        <v>89.946517943999993</v>
      </c>
      <c r="E1277">
        <v>30</v>
      </c>
      <c r="F1277">
        <v>29.625711441</v>
      </c>
      <c r="G1277">
        <v>1387.3505858999999</v>
      </c>
      <c r="H1277">
        <v>1373.3314209</v>
      </c>
      <c r="I1277">
        <v>1271.8132324000001</v>
      </c>
      <c r="J1277">
        <v>1244.0554199000001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740.25196400000004</v>
      </c>
      <c r="B1278" s="1">
        <f>DATE(2012,5,10) + TIME(6,2,49)</f>
        <v>41039.251956018517</v>
      </c>
      <c r="C1278">
        <v>90</v>
      </c>
      <c r="D1278">
        <v>89.946578978999995</v>
      </c>
      <c r="E1278">
        <v>30</v>
      </c>
      <c r="F1278">
        <v>29.617773056000001</v>
      </c>
      <c r="G1278">
        <v>1387.2891846</v>
      </c>
      <c r="H1278">
        <v>1373.2827147999999</v>
      </c>
      <c r="I1278">
        <v>1271.8122559000001</v>
      </c>
      <c r="J1278">
        <v>1244.0531006000001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740.49314400000003</v>
      </c>
      <c r="B1279" s="1">
        <f>DATE(2012,5,10) + TIME(11,50,7)</f>
        <v>41039.493136574078</v>
      </c>
      <c r="C1279">
        <v>90</v>
      </c>
      <c r="D1279">
        <v>89.946624756000006</v>
      </c>
      <c r="E1279">
        <v>30</v>
      </c>
      <c r="F1279">
        <v>29.609693527000001</v>
      </c>
      <c r="G1279">
        <v>1387.2277832</v>
      </c>
      <c r="H1279">
        <v>1373.2340088000001</v>
      </c>
      <c r="I1279">
        <v>1271.8112793</v>
      </c>
      <c r="J1279">
        <v>1244.0506591999999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740.74015399999996</v>
      </c>
      <c r="B1280" s="1">
        <f>DATE(2012,5,10) + TIME(17,45,49)</f>
        <v>41039.74015046296</v>
      </c>
      <c r="C1280">
        <v>90</v>
      </c>
      <c r="D1280">
        <v>89.946662903000004</v>
      </c>
      <c r="E1280">
        <v>30</v>
      </c>
      <c r="F1280">
        <v>29.601455688000001</v>
      </c>
      <c r="G1280">
        <v>1387.1662598</v>
      </c>
      <c r="H1280">
        <v>1373.1853027</v>
      </c>
      <c r="I1280">
        <v>1271.8101807</v>
      </c>
      <c r="J1280">
        <v>1244.0480957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740.99352999999996</v>
      </c>
      <c r="B1281" s="1">
        <f>DATE(2012,5,10) + TIME(23,50,40)</f>
        <v>41039.993518518517</v>
      </c>
      <c r="C1281">
        <v>90</v>
      </c>
      <c r="D1281">
        <v>89.946693420000003</v>
      </c>
      <c r="E1281">
        <v>30</v>
      </c>
      <c r="F1281">
        <v>29.593046187999999</v>
      </c>
      <c r="G1281">
        <v>1387.1044922000001</v>
      </c>
      <c r="H1281">
        <v>1373.1363524999999</v>
      </c>
      <c r="I1281">
        <v>1271.809082</v>
      </c>
      <c r="J1281">
        <v>1244.0456543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741.25392199999999</v>
      </c>
      <c r="B1282" s="1">
        <f>DATE(2012,5,11) + TIME(6,5,38)</f>
        <v>41040.253912037035</v>
      </c>
      <c r="C1282">
        <v>90</v>
      </c>
      <c r="D1282">
        <v>89.946708678999997</v>
      </c>
      <c r="E1282">
        <v>30</v>
      </c>
      <c r="F1282">
        <v>29.584447861000001</v>
      </c>
      <c r="G1282">
        <v>1387.0422363</v>
      </c>
      <c r="H1282">
        <v>1373.0871582</v>
      </c>
      <c r="I1282">
        <v>1271.8079834</v>
      </c>
      <c r="J1282">
        <v>1244.0429687999999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741.52205100000003</v>
      </c>
      <c r="B1283" s="1">
        <f>DATE(2012,5,11) + TIME(12,31,45)</f>
        <v>41040.522048611114</v>
      </c>
      <c r="C1283">
        <v>90</v>
      </c>
      <c r="D1283">
        <v>89.946723938000005</v>
      </c>
      <c r="E1283">
        <v>30</v>
      </c>
      <c r="F1283">
        <v>29.575639724999998</v>
      </c>
      <c r="G1283">
        <v>1386.9796143000001</v>
      </c>
      <c r="H1283">
        <v>1373.0375977000001</v>
      </c>
      <c r="I1283">
        <v>1271.8068848</v>
      </c>
      <c r="J1283">
        <v>1244.0402832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741.79689199999996</v>
      </c>
      <c r="B1284" s="1">
        <f>DATE(2012,5,11) + TIME(19,7,31)</f>
        <v>41040.796886574077</v>
      </c>
      <c r="C1284">
        <v>90</v>
      </c>
      <c r="D1284">
        <v>89.946731567</v>
      </c>
      <c r="E1284">
        <v>30</v>
      </c>
      <c r="F1284">
        <v>29.566644668999999</v>
      </c>
      <c r="G1284">
        <v>1386.9163818</v>
      </c>
      <c r="H1284">
        <v>1372.9875488</v>
      </c>
      <c r="I1284">
        <v>1271.8057861</v>
      </c>
      <c r="J1284">
        <v>1244.0375977000001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742.07744300000002</v>
      </c>
      <c r="B1285" s="1">
        <f>DATE(2012,5,12) + TIME(1,51,31)</f>
        <v>41041.07744212963</v>
      </c>
      <c r="C1285">
        <v>90</v>
      </c>
      <c r="D1285">
        <v>89.946731567</v>
      </c>
      <c r="E1285">
        <v>30</v>
      </c>
      <c r="F1285">
        <v>29.557489395000001</v>
      </c>
      <c r="G1285">
        <v>1386.8527832</v>
      </c>
      <c r="H1285">
        <v>1372.9372559000001</v>
      </c>
      <c r="I1285">
        <v>1271.8045654</v>
      </c>
      <c r="J1285">
        <v>1244.0347899999999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742.36413700000003</v>
      </c>
      <c r="B1286" s="1">
        <f>DATE(2012,5,12) + TIME(8,44,21)</f>
        <v>41041.364131944443</v>
      </c>
      <c r="C1286">
        <v>90</v>
      </c>
      <c r="D1286">
        <v>89.946731567</v>
      </c>
      <c r="E1286">
        <v>30</v>
      </c>
      <c r="F1286">
        <v>29.54816246</v>
      </c>
      <c r="G1286">
        <v>1386.7891846</v>
      </c>
      <c r="H1286">
        <v>1372.8869629000001</v>
      </c>
      <c r="I1286">
        <v>1271.8033447</v>
      </c>
      <c r="J1286">
        <v>1244.0318603999999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742.65754100000004</v>
      </c>
      <c r="B1287" s="1">
        <f>DATE(2012,5,12) + TIME(15,46,51)</f>
        <v>41041.657534722224</v>
      </c>
      <c r="C1287">
        <v>90</v>
      </c>
      <c r="D1287">
        <v>89.946723938000005</v>
      </c>
      <c r="E1287">
        <v>30</v>
      </c>
      <c r="F1287">
        <v>29.538654327</v>
      </c>
      <c r="G1287">
        <v>1386.7253418</v>
      </c>
      <c r="H1287">
        <v>1372.8366699000001</v>
      </c>
      <c r="I1287">
        <v>1271.802124</v>
      </c>
      <c r="J1287">
        <v>1244.0289307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742.95660199999998</v>
      </c>
      <c r="B1288" s="1">
        <f>DATE(2012,5,12) + TIME(22,57,30)</f>
        <v>41041.956597222219</v>
      </c>
      <c r="C1288">
        <v>90</v>
      </c>
      <c r="D1288">
        <v>89.946708678999997</v>
      </c>
      <c r="E1288">
        <v>30</v>
      </c>
      <c r="F1288">
        <v>29.528989792000001</v>
      </c>
      <c r="G1288">
        <v>1386.6613769999999</v>
      </c>
      <c r="H1288">
        <v>1372.7861327999999</v>
      </c>
      <c r="I1288">
        <v>1271.8007812000001</v>
      </c>
      <c r="J1288">
        <v>1244.0258789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743.25752299999999</v>
      </c>
      <c r="B1289" s="1">
        <f>DATE(2012,5,13) + TIME(6,10,49)</f>
        <v>41042.257511574076</v>
      </c>
      <c r="C1289">
        <v>90</v>
      </c>
      <c r="D1289">
        <v>89.946693420000003</v>
      </c>
      <c r="E1289">
        <v>30</v>
      </c>
      <c r="F1289">
        <v>29.519260406000001</v>
      </c>
      <c r="G1289">
        <v>1386.5972899999999</v>
      </c>
      <c r="H1289">
        <v>1372.7355957</v>
      </c>
      <c r="I1289">
        <v>1271.7994385</v>
      </c>
      <c r="J1289">
        <v>1244.0228271000001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743.56088799999998</v>
      </c>
      <c r="B1290" s="1">
        <f>DATE(2012,5,13) + TIME(13,27,40)</f>
        <v>41042.560879629629</v>
      </c>
      <c r="C1290">
        <v>90</v>
      </c>
      <c r="D1290">
        <v>89.946678161999998</v>
      </c>
      <c r="E1290">
        <v>30</v>
      </c>
      <c r="F1290">
        <v>29.509464264000002</v>
      </c>
      <c r="G1290">
        <v>1386.5341797000001</v>
      </c>
      <c r="H1290">
        <v>1372.6856689000001</v>
      </c>
      <c r="I1290">
        <v>1271.7980957</v>
      </c>
      <c r="J1290">
        <v>1244.0196533000001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743.86726299999998</v>
      </c>
      <c r="B1291" s="1">
        <f>DATE(2012,5,13) + TIME(20,48,51)</f>
        <v>41042.867256944446</v>
      </c>
      <c r="C1291">
        <v>90</v>
      </c>
      <c r="D1291">
        <v>89.946655273000005</v>
      </c>
      <c r="E1291">
        <v>30</v>
      </c>
      <c r="F1291">
        <v>29.499593735000001</v>
      </c>
      <c r="G1291">
        <v>1386.4715576000001</v>
      </c>
      <c r="H1291">
        <v>1372.6363524999999</v>
      </c>
      <c r="I1291">
        <v>1271.7967529</v>
      </c>
      <c r="J1291">
        <v>1244.0166016000001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744.177235</v>
      </c>
      <c r="B1292" s="1">
        <f>DATE(2012,5,14) + TIME(4,15,13)</f>
        <v>41043.177233796298</v>
      </c>
      <c r="C1292">
        <v>90</v>
      </c>
      <c r="D1292">
        <v>89.946632385000001</v>
      </c>
      <c r="E1292">
        <v>30</v>
      </c>
      <c r="F1292">
        <v>29.489639281999999</v>
      </c>
      <c r="G1292">
        <v>1386.409668</v>
      </c>
      <c r="H1292">
        <v>1372.5875243999999</v>
      </c>
      <c r="I1292">
        <v>1271.7954102000001</v>
      </c>
      <c r="J1292">
        <v>1244.0134277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744.49158799999998</v>
      </c>
      <c r="B1293" s="1">
        <f>DATE(2012,5,14) + TIME(11,47,53)</f>
        <v>41043.491585648146</v>
      </c>
      <c r="C1293">
        <v>90</v>
      </c>
      <c r="D1293">
        <v>89.946609496999997</v>
      </c>
      <c r="E1293">
        <v>30</v>
      </c>
      <c r="F1293">
        <v>29.479581833000001</v>
      </c>
      <c r="G1293">
        <v>1386.3480225000001</v>
      </c>
      <c r="H1293">
        <v>1372.5389404</v>
      </c>
      <c r="I1293">
        <v>1271.7940673999999</v>
      </c>
      <c r="J1293">
        <v>1244.0102539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744.81054200000005</v>
      </c>
      <c r="B1294" s="1">
        <f>DATE(2012,5,14) + TIME(19,27,10)</f>
        <v>41043.810532407406</v>
      </c>
      <c r="C1294">
        <v>90</v>
      </c>
      <c r="D1294">
        <v>89.946586608999993</v>
      </c>
      <c r="E1294">
        <v>30</v>
      </c>
      <c r="F1294">
        <v>29.469417572000001</v>
      </c>
      <c r="G1294">
        <v>1386.2866211</v>
      </c>
      <c r="H1294">
        <v>1372.4906006000001</v>
      </c>
      <c r="I1294">
        <v>1271.7927245999999</v>
      </c>
      <c r="J1294">
        <v>1244.0069579999999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745.13438599999995</v>
      </c>
      <c r="B1295" s="1">
        <f>DATE(2012,5,15) + TIME(3,13,30)</f>
        <v>41044.134375000001</v>
      </c>
      <c r="C1295">
        <v>90</v>
      </c>
      <c r="D1295">
        <v>89.946556091000005</v>
      </c>
      <c r="E1295">
        <v>30</v>
      </c>
      <c r="F1295">
        <v>29.459140777999998</v>
      </c>
      <c r="G1295">
        <v>1386.2254639</v>
      </c>
      <c r="H1295">
        <v>1372.4423827999999</v>
      </c>
      <c r="I1295">
        <v>1271.7912598</v>
      </c>
      <c r="J1295">
        <v>1244.0036620999999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745.46365800000001</v>
      </c>
      <c r="B1296" s="1">
        <f>DATE(2012,5,15) + TIME(11,7,40)</f>
        <v>41044.46365740741</v>
      </c>
      <c r="C1296">
        <v>90</v>
      </c>
      <c r="D1296">
        <v>89.946533203000001</v>
      </c>
      <c r="E1296">
        <v>30</v>
      </c>
      <c r="F1296">
        <v>29.448736190999998</v>
      </c>
      <c r="G1296">
        <v>1386.1644286999999</v>
      </c>
      <c r="H1296">
        <v>1372.3942870999999</v>
      </c>
      <c r="I1296">
        <v>1271.7899170000001</v>
      </c>
      <c r="J1296">
        <v>1244.0002440999999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745.79895099999999</v>
      </c>
      <c r="B1297" s="1">
        <f>DATE(2012,5,15) + TIME(19,10,29)</f>
        <v>41044.798946759256</v>
      </c>
      <c r="C1297">
        <v>90</v>
      </c>
      <c r="D1297">
        <v>89.946502686000002</v>
      </c>
      <c r="E1297">
        <v>30</v>
      </c>
      <c r="F1297">
        <v>29.438190460000001</v>
      </c>
      <c r="G1297">
        <v>1386.1035156</v>
      </c>
      <c r="H1297">
        <v>1372.3461914</v>
      </c>
      <c r="I1297">
        <v>1271.7884521000001</v>
      </c>
      <c r="J1297">
        <v>1243.9968262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746.13971400000003</v>
      </c>
      <c r="B1298" s="1">
        <f>DATE(2012,5,16) + TIME(3,21,11)</f>
        <v>41045.139710648145</v>
      </c>
      <c r="C1298">
        <v>90</v>
      </c>
      <c r="D1298">
        <v>89.946472168</v>
      </c>
      <c r="E1298">
        <v>30</v>
      </c>
      <c r="F1298">
        <v>29.427515029999999</v>
      </c>
      <c r="G1298">
        <v>1386.0424805</v>
      </c>
      <c r="H1298">
        <v>1372.2980957</v>
      </c>
      <c r="I1298">
        <v>1271.7869873</v>
      </c>
      <c r="J1298">
        <v>1243.9934082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746.48598800000002</v>
      </c>
      <c r="B1299" s="1">
        <f>DATE(2012,5,16) + TIME(11,39,49)</f>
        <v>41045.485983796294</v>
      </c>
      <c r="C1299">
        <v>90</v>
      </c>
      <c r="D1299">
        <v>89.946441649999997</v>
      </c>
      <c r="E1299">
        <v>30</v>
      </c>
      <c r="F1299">
        <v>29.416707992999999</v>
      </c>
      <c r="G1299">
        <v>1385.9814452999999</v>
      </c>
      <c r="H1299">
        <v>1372.25</v>
      </c>
      <c r="I1299">
        <v>1271.7855225000001</v>
      </c>
      <c r="J1299">
        <v>1243.9898682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746.83823099999995</v>
      </c>
      <c r="B1300" s="1">
        <f>DATE(2012,5,16) + TIME(20,7,3)</f>
        <v>41045.838229166664</v>
      </c>
      <c r="C1300">
        <v>90</v>
      </c>
      <c r="D1300">
        <v>89.946411132999998</v>
      </c>
      <c r="E1300">
        <v>30</v>
      </c>
      <c r="F1300">
        <v>29.405759810999999</v>
      </c>
      <c r="G1300">
        <v>1385.9205322</v>
      </c>
      <c r="H1300">
        <v>1372.2020264</v>
      </c>
      <c r="I1300">
        <v>1271.7840576000001</v>
      </c>
      <c r="J1300">
        <v>1243.9862060999999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747.19714999999997</v>
      </c>
      <c r="B1301" s="1">
        <f>DATE(2012,5,17) + TIME(4,43,53)</f>
        <v>41046.197141203702</v>
      </c>
      <c r="C1301">
        <v>90</v>
      </c>
      <c r="D1301">
        <v>89.946380614999995</v>
      </c>
      <c r="E1301">
        <v>30</v>
      </c>
      <c r="F1301">
        <v>29.39465332</v>
      </c>
      <c r="G1301">
        <v>1385.8594971</v>
      </c>
      <c r="H1301">
        <v>1372.1540527</v>
      </c>
      <c r="I1301">
        <v>1271.7824707</v>
      </c>
      <c r="J1301">
        <v>1243.9825439000001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747.56314599999996</v>
      </c>
      <c r="B1302" s="1">
        <f>DATE(2012,5,17) + TIME(13,30,55)</f>
        <v>41046.563136574077</v>
      </c>
      <c r="C1302">
        <v>90</v>
      </c>
      <c r="D1302">
        <v>89.946350097999996</v>
      </c>
      <c r="E1302">
        <v>30</v>
      </c>
      <c r="F1302">
        <v>29.383380890000002</v>
      </c>
      <c r="G1302">
        <v>1385.7984618999999</v>
      </c>
      <c r="H1302">
        <v>1372.1058350000001</v>
      </c>
      <c r="I1302">
        <v>1271.7808838000001</v>
      </c>
      <c r="J1302">
        <v>1243.9788818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747.93638899999996</v>
      </c>
      <c r="B1303" s="1">
        <f>DATE(2012,5,17) + TIME(22,28,23)</f>
        <v>41046.936377314814</v>
      </c>
      <c r="C1303">
        <v>90</v>
      </c>
      <c r="D1303">
        <v>89.946319579999994</v>
      </c>
      <c r="E1303">
        <v>30</v>
      </c>
      <c r="F1303">
        <v>29.371934890999999</v>
      </c>
      <c r="G1303">
        <v>1385.7371826000001</v>
      </c>
      <c r="H1303">
        <v>1372.0576172000001</v>
      </c>
      <c r="I1303">
        <v>1271.7792969</v>
      </c>
      <c r="J1303">
        <v>1243.9749756000001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748.31765600000006</v>
      </c>
      <c r="B1304" s="1">
        <f>DATE(2012,5,18) + TIME(7,37,25)</f>
        <v>41047.317650462966</v>
      </c>
      <c r="C1304">
        <v>90</v>
      </c>
      <c r="D1304">
        <v>89.946281432999996</v>
      </c>
      <c r="E1304">
        <v>30</v>
      </c>
      <c r="F1304">
        <v>29.360298156999999</v>
      </c>
      <c r="G1304">
        <v>1385.6757812000001</v>
      </c>
      <c r="H1304">
        <v>1372.0091553</v>
      </c>
      <c r="I1304">
        <v>1271.7777100000001</v>
      </c>
      <c r="J1304">
        <v>1243.9710693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748.70779000000005</v>
      </c>
      <c r="B1305" s="1">
        <f>DATE(2012,5,18) + TIME(16,59,13)</f>
        <v>41047.707789351851</v>
      </c>
      <c r="C1305">
        <v>90</v>
      </c>
      <c r="D1305">
        <v>89.946250915999997</v>
      </c>
      <c r="E1305">
        <v>30</v>
      </c>
      <c r="F1305">
        <v>29.348451613999998</v>
      </c>
      <c r="G1305">
        <v>1385.6140137</v>
      </c>
      <c r="H1305">
        <v>1371.9605713000001</v>
      </c>
      <c r="I1305">
        <v>1271.776001</v>
      </c>
      <c r="J1305">
        <v>1243.9671631000001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749.10542799999996</v>
      </c>
      <c r="B1306" s="1">
        <f>DATE(2012,5,19) + TIME(2,31,48)</f>
        <v>41048.105416666665</v>
      </c>
      <c r="C1306">
        <v>90</v>
      </c>
      <c r="D1306">
        <v>89.946220397999994</v>
      </c>
      <c r="E1306">
        <v>30</v>
      </c>
      <c r="F1306">
        <v>29.336418152</v>
      </c>
      <c r="G1306">
        <v>1385.5518798999999</v>
      </c>
      <c r="H1306">
        <v>1371.911499</v>
      </c>
      <c r="I1306">
        <v>1271.7742920000001</v>
      </c>
      <c r="J1306">
        <v>1243.9630127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749.50849200000005</v>
      </c>
      <c r="B1307" s="1">
        <f>DATE(2012,5,19) + TIME(12,12,13)</f>
        <v>41048.508483796293</v>
      </c>
      <c r="C1307">
        <v>90</v>
      </c>
      <c r="D1307">
        <v>89.946189880000006</v>
      </c>
      <c r="E1307">
        <v>30</v>
      </c>
      <c r="F1307">
        <v>29.324245453</v>
      </c>
      <c r="G1307">
        <v>1385.489624</v>
      </c>
      <c r="H1307">
        <v>1371.8624268000001</v>
      </c>
      <c r="I1307">
        <v>1271.7725829999999</v>
      </c>
      <c r="J1307">
        <v>1243.9588623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749.91283799999997</v>
      </c>
      <c r="B1308" s="1">
        <f>DATE(2012,5,19) + TIME(21,54,29)</f>
        <v>41048.912835648145</v>
      </c>
      <c r="C1308">
        <v>90</v>
      </c>
      <c r="D1308">
        <v>89.946159363000007</v>
      </c>
      <c r="E1308">
        <v>30</v>
      </c>
      <c r="F1308">
        <v>29.312025070000001</v>
      </c>
      <c r="G1308">
        <v>1385.4273682</v>
      </c>
      <c r="H1308">
        <v>1371.8133545000001</v>
      </c>
      <c r="I1308">
        <v>1271.7707519999999</v>
      </c>
      <c r="J1308">
        <v>1243.9545897999999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750.319211</v>
      </c>
      <c r="B1309" s="1">
        <f>DATE(2012,5,20) + TIME(7,39,39)</f>
        <v>41049.319201388891</v>
      </c>
      <c r="C1309">
        <v>90</v>
      </c>
      <c r="D1309">
        <v>89.946121215999995</v>
      </c>
      <c r="E1309">
        <v>30</v>
      </c>
      <c r="F1309">
        <v>29.299758911000001</v>
      </c>
      <c r="G1309">
        <v>1385.3660889</v>
      </c>
      <c r="H1309">
        <v>1371.7650146000001</v>
      </c>
      <c r="I1309">
        <v>1271.7689209</v>
      </c>
      <c r="J1309">
        <v>1243.9503173999999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750.72833300000002</v>
      </c>
      <c r="B1310" s="1">
        <f>DATE(2012,5,20) + TIME(17,28,47)</f>
        <v>41049.728321759256</v>
      </c>
      <c r="C1310">
        <v>90</v>
      </c>
      <c r="D1310">
        <v>89.946090698000006</v>
      </c>
      <c r="E1310">
        <v>30</v>
      </c>
      <c r="F1310">
        <v>29.287441254000001</v>
      </c>
      <c r="G1310">
        <v>1385.3054199000001</v>
      </c>
      <c r="H1310">
        <v>1371.7171631000001</v>
      </c>
      <c r="I1310">
        <v>1271.7670897999999</v>
      </c>
      <c r="J1310">
        <v>1243.9460449000001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751.14093300000002</v>
      </c>
      <c r="B1311" s="1">
        <f>DATE(2012,5,21) + TIME(3,22,56)</f>
        <v>41050.140925925924</v>
      </c>
      <c r="C1311">
        <v>90</v>
      </c>
      <c r="D1311">
        <v>89.946060181000007</v>
      </c>
      <c r="E1311">
        <v>30</v>
      </c>
      <c r="F1311">
        <v>29.275064468</v>
      </c>
      <c r="G1311">
        <v>1385.2452393000001</v>
      </c>
      <c r="H1311">
        <v>1371.6696777</v>
      </c>
      <c r="I1311">
        <v>1271.7653809000001</v>
      </c>
      <c r="J1311">
        <v>1243.9416504000001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751.55774499999995</v>
      </c>
      <c r="B1312" s="1">
        <f>DATE(2012,5,21) + TIME(13,23,9)</f>
        <v>41050.557743055557</v>
      </c>
      <c r="C1312">
        <v>90</v>
      </c>
      <c r="D1312">
        <v>89.946029663000004</v>
      </c>
      <c r="E1312">
        <v>30</v>
      </c>
      <c r="F1312">
        <v>29.262613297000001</v>
      </c>
      <c r="G1312">
        <v>1385.1854248</v>
      </c>
      <c r="H1312">
        <v>1371.6225586</v>
      </c>
      <c r="I1312">
        <v>1271.7635498</v>
      </c>
      <c r="J1312">
        <v>1243.9372559000001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751.97965399999998</v>
      </c>
      <c r="B1313" s="1">
        <f>DATE(2012,5,21) + TIME(23,30,42)</f>
        <v>41050.97965277778</v>
      </c>
      <c r="C1313">
        <v>90</v>
      </c>
      <c r="D1313">
        <v>89.945999146000005</v>
      </c>
      <c r="E1313">
        <v>30</v>
      </c>
      <c r="F1313">
        <v>29.250070571999998</v>
      </c>
      <c r="G1313">
        <v>1385.1259766000001</v>
      </c>
      <c r="H1313">
        <v>1371.5755615</v>
      </c>
      <c r="I1313">
        <v>1271.7617187999999</v>
      </c>
      <c r="J1313">
        <v>1243.9328613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752.40749000000005</v>
      </c>
      <c r="B1314" s="1">
        <f>DATE(2012,5,22) + TIME(9,46,47)</f>
        <v>41051.407488425924</v>
      </c>
      <c r="C1314">
        <v>90</v>
      </c>
      <c r="D1314">
        <v>89.945968628000003</v>
      </c>
      <c r="E1314">
        <v>30</v>
      </c>
      <c r="F1314">
        <v>29.237415314</v>
      </c>
      <c r="G1314">
        <v>1385.0667725000001</v>
      </c>
      <c r="H1314">
        <v>1371.5288086</v>
      </c>
      <c r="I1314">
        <v>1271.7597656</v>
      </c>
      <c r="J1314">
        <v>1243.9283447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752.84192900000005</v>
      </c>
      <c r="B1315" s="1">
        <f>DATE(2012,5,22) + TIME(20,12,22)</f>
        <v>41051.841921296298</v>
      </c>
      <c r="C1315">
        <v>90</v>
      </c>
      <c r="D1315">
        <v>89.94593811</v>
      </c>
      <c r="E1315">
        <v>30</v>
      </c>
      <c r="F1315">
        <v>29.224630355999999</v>
      </c>
      <c r="G1315">
        <v>1385.0075684000001</v>
      </c>
      <c r="H1315">
        <v>1371.4819336</v>
      </c>
      <c r="I1315">
        <v>1271.7579346</v>
      </c>
      <c r="J1315">
        <v>1243.9237060999999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753.28384700000004</v>
      </c>
      <c r="B1316" s="1">
        <f>DATE(2012,5,23) + TIME(6,48,44)</f>
        <v>41052.283842592595</v>
      </c>
      <c r="C1316">
        <v>90</v>
      </c>
      <c r="D1316">
        <v>89.945915221999996</v>
      </c>
      <c r="E1316">
        <v>30</v>
      </c>
      <c r="F1316">
        <v>29.211694717</v>
      </c>
      <c r="G1316">
        <v>1384.9482422000001</v>
      </c>
      <c r="H1316">
        <v>1371.4351807</v>
      </c>
      <c r="I1316">
        <v>1271.7559814000001</v>
      </c>
      <c r="J1316">
        <v>1243.9190673999999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753.73417600000005</v>
      </c>
      <c r="B1317" s="1">
        <f>DATE(2012,5,23) + TIME(17,37,12)</f>
        <v>41052.734166666669</v>
      </c>
      <c r="C1317">
        <v>90</v>
      </c>
      <c r="D1317">
        <v>89.945884704999997</v>
      </c>
      <c r="E1317">
        <v>30</v>
      </c>
      <c r="F1317">
        <v>29.198583602999999</v>
      </c>
      <c r="G1317">
        <v>1384.8887939000001</v>
      </c>
      <c r="H1317">
        <v>1371.3881836</v>
      </c>
      <c r="I1317">
        <v>1271.7540283000001</v>
      </c>
      <c r="J1317">
        <v>1243.9141846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754.19388100000003</v>
      </c>
      <c r="B1318" s="1">
        <f>DATE(2012,5,24) + TIME(4,39,11)</f>
        <v>41053.193877314814</v>
      </c>
      <c r="C1318">
        <v>90</v>
      </c>
      <c r="D1318">
        <v>89.945854186999995</v>
      </c>
      <c r="E1318">
        <v>30</v>
      </c>
      <c r="F1318">
        <v>29.185276031000001</v>
      </c>
      <c r="G1318">
        <v>1384.8292236</v>
      </c>
      <c r="H1318">
        <v>1371.3409423999999</v>
      </c>
      <c r="I1318">
        <v>1271.7520752</v>
      </c>
      <c r="J1318">
        <v>1243.9093018000001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754.66357300000004</v>
      </c>
      <c r="B1319" s="1">
        <f>DATE(2012,5,24) + TIME(15,55,32)</f>
        <v>41053.663564814815</v>
      </c>
      <c r="C1319">
        <v>90</v>
      </c>
      <c r="D1319">
        <v>89.945823669000006</v>
      </c>
      <c r="E1319">
        <v>30</v>
      </c>
      <c r="F1319">
        <v>29.171749115000001</v>
      </c>
      <c r="G1319">
        <v>1384.7691649999999</v>
      </c>
      <c r="H1319">
        <v>1371.293457</v>
      </c>
      <c r="I1319">
        <v>1271.75</v>
      </c>
      <c r="J1319">
        <v>1243.9044189000001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755.139546</v>
      </c>
      <c r="B1320" s="1">
        <f>DATE(2012,5,25) + TIME(3,20,56)</f>
        <v>41054.139537037037</v>
      </c>
      <c r="C1320">
        <v>90</v>
      </c>
      <c r="D1320">
        <v>89.945793151999993</v>
      </c>
      <c r="E1320">
        <v>30</v>
      </c>
      <c r="F1320">
        <v>29.158071518</v>
      </c>
      <c r="G1320">
        <v>1384.7087402</v>
      </c>
      <c r="H1320">
        <v>1371.2456055</v>
      </c>
      <c r="I1320">
        <v>1271.7479248</v>
      </c>
      <c r="J1320">
        <v>1243.8992920000001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755.62298199999998</v>
      </c>
      <c r="B1321" s="1">
        <f>DATE(2012,5,25) + TIME(14,57,5)</f>
        <v>41054.622974537036</v>
      </c>
      <c r="C1321">
        <v>90</v>
      </c>
      <c r="D1321">
        <v>89.945770264000004</v>
      </c>
      <c r="E1321">
        <v>30</v>
      </c>
      <c r="F1321">
        <v>29.144226073999999</v>
      </c>
      <c r="G1321">
        <v>1384.6484375</v>
      </c>
      <c r="H1321">
        <v>1371.197876</v>
      </c>
      <c r="I1321">
        <v>1271.7458495999999</v>
      </c>
      <c r="J1321">
        <v>1243.894043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756.11452899999995</v>
      </c>
      <c r="B1322" s="1">
        <f>DATE(2012,5,26) + TIME(2,44,55)</f>
        <v>41055.114525462966</v>
      </c>
      <c r="C1322">
        <v>90</v>
      </c>
      <c r="D1322">
        <v>89.945739746000001</v>
      </c>
      <c r="E1322">
        <v>30</v>
      </c>
      <c r="F1322">
        <v>29.130205153999999</v>
      </c>
      <c r="G1322">
        <v>1384.5880127</v>
      </c>
      <c r="H1322">
        <v>1371.1499022999999</v>
      </c>
      <c r="I1322">
        <v>1271.7436522999999</v>
      </c>
      <c r="J1322">
        <v>1243.8886719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756.61517900000001</v>
      </c>
      <c r="B1323" s="1">
        <f>DATE(2012,5,26) + TIME(14,45,51)</f>
        <v>41055.615173611113</v>
      </c>
      <c r="C1323">
        <v>90</v>
      </c>
      <c r="D1323">
        <v>89.945709229000002</v>
      </c>
      <c r="E1323">
        <v>30</v>
      </c>
      <c r="F1323">
        <v>29.115989684999999</v>
      </c>
      <c r="G1323">
        <v>1384.5274658000001</v>
      </c>
      <c r="H1323">
        <v>1371.1019286999999</v>
      </c>
      <c r="I1323">
        <v>1271.7414550999999</v>
      </c>
      <c r="J1323">
        <v>1243.8833007999999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757.12599499999999</v>
      </c>
      <c r="B1324" s="1">
        <f>DATE(2012,5,27) + TIME(3,1,25)</f>
        <v>41056.125983796293</v>
      </c>
      <c r="C1324">
        <v>90</v>
      </c>
      <c r="D1324">
        <v>89.945686339999995</v>
      </c>
      <c r="E1324">
        <v>30</v>
      </c>
      <c r="F1324">
        <v>29.101560592999999</v>
      </c>
      <c r="G1324">
        <v>1384.4666748</v>
      </c>
      <c r="H1324">
        <v>1371.0537108999999</v>
      </c>
      <c r="I1324">
        <v>1271.7392577999999</v>
      </c>
      <c r="J1324">
        <v>1243.8776855000001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757.64350000000002</v>
      </c>
      <c r="B1325" s="1">
        <f>DATE(2012,5,27) + TIME(15,26,38)</f>
        <v>41056.643495370372</v>
      </c>
      <c r="C1325">
        <v>90</v>
      </c>
      <c r="D1325">
        <v>89.945655822999996</v>
      </c>
      <c r="E1325">
        <v>30</v>
      </c>
      <c r="F1325">
        <v>29.086973189999998</v>
      </c>
      <c r="G1325">
        <v>1384.4055175999999</v>
      </c>
      <c r="H1325">
        <v>1371.0051269999999</v>
      </c>
      <c r="I1325">
        <v>1271.7369385</v>
      </c>
      <c r="J1325">
        <v>1243.8720702999999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758.16263200000003</v>
      </c>
      <c r="B1326" s="1">
        <f>DATE(2012,5,28) + TIME(3,54,11)</f>
        <v>41057.162627314814</v>
      </c>
      <c r="C1326">
        <v>90</v>
      </c>
      <c r="D1326">
        <v>89.945632935000006</v>
      </c>
      <c r="E1326">
        <v>30</v>
      </c>
      <c r="F1326">
        <v>29.072324753</v>
      </c>
      <c r="G1326">
        <v>1384.3443603999999</v>
      </c>
      <c r="H1326">
        <v>1370.9566649999999</v>
      </c>
      <c r="I1326">
        <v>1271.7346190999999</v>
      </c>
      <c r="J1326">
        <v>1243.8662108999999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758.68435799999997</v>
      </c>
      <c r="B1327" s="1">
        <f>DATE(2012,5,28) + TIME(16,25,28)</f>
        <v>41057.684351851851</v>
      </c>
      <c r="C1327">
        <v>90</v>
      </c>
      <c r="D1327">
        <v>89.945602417000003</v>
      </c>
      <c r="E1327">
        <v>30</v>
      </c>
      <c r="F1327">
        <v>29.057626723999999</v>
      </c>
      <c r="G1327">
        <v>1384.2839355000001</v>
      </c>
      <c r="H1327">
        <v>1370.9085693</v>
      </c>
      <c r="I1327">
        <v>1271.7321777</v>
      </c>
      <c r="J1327">
        <v>1243.8603516000001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759.20962799999995</v>
      </c>
      <c r="B1328" s="1">
        <f>DATE(2012,5,29) + TIME(5,1,51)</f>
        <v>41058.209618055553</v>
      </c>
      <c r="C1328">
        <v>90</v>
      </c>
      <c r="D1328">
        <v>89.945579529</v>
      </c>
      <c r="E1328">
        <v>30</v>
      </c>
      <c r="F1328">
        <v>29.042875290000001</v>
      </c>
      <c r="G1328">
        <v>1384.223999</v>
      </c>
      <c r="H1328">
        <v>1370.8609618999999</v>
      </c>
      <c r="I1328">
        <v>1271.7298584</v>
      </c>
      <c r="J1328">
        <v>1243.8544922000001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759.73940100000004</v>
      </c>
      <c r="B1329" s="1">
        <f>DATE(2012,5,29) + TIME(17,44,44)</f>
        <v>41058.739398148151</v>
      </c>
      <c r="C1329">
        <v>90</v>
      </c>
      <c r="D1329">
        <v>89.945556640999996</v>
      </c>
      <c r="E1329">
        <v>30</v>
      </c>
      <c r="F1329">
        <v>29.028057098000001</v>
      </c>
      <c r="G1329">
        <v>1384.1645507999999</v>
      </c>
      <c r="H1329">
        <v>1370.8135986</v>
      </c>
      <c r="I1329">
        <v>1271.7274170000001</v>
      </c>
      <c r="J1329">
        <v>1243.8483887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760.27466500000003</v>
      </c>
      <c r="B1330" s="1">
        <f>DATE(2012,5,30) + TIME(6,35,31)</f>
        <v>41059.274664351855</v>
      </c>
      <c r="C1330">
        <v>90</v>
      </c>
      <c r="D1330">
        <v>89.945533752000003</v>
      </c>
      <c r="E1330">
        <v>30</v>
      </c>
      <c r="F1330">
        <v>29.013154984</v>
      </c>
      <c r="G1330">
        <v>1384.1053466999999</v>
      </c>
      <c r="H1330">
        <v>1370.7664795000001</v>
      </c>
      <c r="I1330">
        <v>1271.7250977000001</v>
      </c>
      <c r="J1330">
        <v>1243.8422852000001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760.81674299999997</v>
      </c>
      <c r="B1331" s="1">
        <f>DATE(2012,5,30) + TIME(19,36,6)</f>
        <v>41059.816736111112</v>
      </c>
      <c r="C1331">
        <v>90</v>
      </c>
      <c r="D1331">
        <v>89.945503235000004</v>
      </c>
      <c r="E1331">
        <v>30</v>
      </c>
      <c r="F1331">
        <v>28.998142242</v>
      </c>
      <c r="G1331">
        <v>1384.0463867000001</v>
      </c>
      <c r="H1331">
        <v>1370.7194824000001</v>
      </c>
      <c r="I1331">
        <v>1271.7226562000001</v>
      </c>
      <c r="J1331">
        <v>1243.8360596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761.36636399999998</v>
      </c>
      <c r="B1332" s="1">
        <f>DATE(2012,5,31) + TIME(8,47,33)</f>
        <v>41060.366354166668</v>
      </c>
      <c r="C1332">
        <v>90</v>
      </c>
      <c r="D1332">
        <v>89.945480347</v>
      </c>
      <c r="E1332">
        <v>30</v>
      </c>
      <c r="F1332">
        <v>28.982997894</v>
      </c>
      <c r="G1332">
        <v>1383.9874268000001</v>
      </c>
      <c r="H1332">
        <v>1370.6724853999999</v>
      </c>
      <c r="I1332">
        <v>1271.7200928</v>
      </c>
      <c r="J1332">
        <v>1243.8298339999999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761.92463499999997</v>
      </c>
      <c r="B1333" s="1">
        <f>DATE(2012,5,31) + TIME(22,11,28)</f>
        <v>41060.924629629626</v>
      </c>
      <c r="C1333">
        <v>90</v>
      </c>
      <c r="D1333">
        <v>89.945457458000007</v>
      </c>
      <c r="E1333">
        <v>30</v>
      </c>
      <c r="F1333">
        <v>28.967697143999999</v>
      </c>
      <c r="G1333">
        <v>1383.9283447</v>
      </c>
      <c r="H1333">
        <v>1370.6253661999999</v>
      </c>
      <c r="I1333">
        <v>1271.7175293</v>
      </c>
      <c r="J1333">
        <v>1243.8233643000001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762</v>
      </c>
      <c r="B1334" s="1">
        <f>DATE(2012,6,1) + TIME(0,0,0)</f>
        <v>41061</v>
      </c>
      <c r="C1334">
        <v>90</v>
      </c>
      <c r="D1334">
        <v>89.945449828999998</v>
      </c>
      <c r="E1334">
        <v>30</v>
      </c>
      <c r="F1334">
        <v>28.964574813999999</v>
      </c>
      <c r="G1334">
        <v>1383.871582</v>
      </c>
      <c r="H1334">
        <v>1370.5803223</v>
      </c>
      <c r="I1334">
        <v>1271.7122803</v>
      </c>
      <c r="J1334">
        <v>1243.8186035000001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762.56809299999998</v>
      </c>
      <c r="B1335" s="1">
        <f>DATE(2012,6,1) + TIME(13,38,3)</f>
        <v>41061.568090277775</v>
      </c>
      <c r="C1335">
        <v>90</v>
      </c>
      <c r="D1335">
        <v>89.945434570000003</v>
      </c>
      <c r="E1335">
        <v>30</v>
      </c>
      <c r="F1335">
        <v>28.949508667</v>
      </c>
      <c r="G1335">
        <v>1383.8608397999999</v>
      </c>
      <c r="H1335">
        <v>1370.5714111</v>
      </c>
      <c r="I1335">
        <v>1271.7147216999999</v>
      </c>
      <c r="J1335">
        <v>1243.8156738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763.14886300000001</v>
      </c>
      <c r="B1336" s="1">
        <f>DATE(2012,6,2) + TIME(3,34,21)</f>
        <v>41062.148854166669</v>
      </c>
      <c r="C1336">
        <v>90</v>
      </c>
      <c r="D1336">
        <v>89.945411682</v>
      </c>
      <c r="E1336">
        <v>30</v>
      </c>
      <c r="F1336">
        <v>28.934041977</v>
      </c>
      <c r="G1336">
        <v>1383.8020019999999</v>
      </c>
      <c r="H1336">
        <v>1370.5244141000001</v>
      </c>
      <c r="I1336">
        <v>1271.7120361</v>
      </c>
      <c r="J1336">
        <v>1243.8089600000001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763.741446</v>
      </c>
      <c r="B1337" s="1">
        <f>DATE(2012,6,2) + TIME(17,47,40)</f>
        <v>41062.741435185184</v>
      </c>
      <c r="C1337">
        <v>90</v>
      </c>
      <c r="D1337">
        <v>89.945388793999996</v>
      </c>
      <c r="E1337">
        <v>30</v>
      </c>
      <c r="F1337">
        <v>28.918235779</v>
      </c>
      <c r="G1337">
        <v>1383.7420654</v>
      </c>
      <c r="H1337">
        <v>1370.4765625</v>
      </c>
      <c r="I1337">
        <v>1271.7093506000001</v>
      </c>
      <c r="J1337">
        <v>1243.8018798999999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764.34521800000005</v>
      </c>
      <c r="B1338" s="1">
        <f>DATE(2012,6,3) + TIME(8,17,6)</f>
        <v>41063.345208333332</v>
      </c>
      <c r="C1338">
        <v>90</v>
      </c>
      <c r="D1338">
        <v>89.945365906000006</v>
      </c>
      <c r="E1338">
        <v>30</v>
      </c>
      <c r="F1338">
        <v>28.902132034000001</v>
      </c>
      <c r="G1338">
        <v>1383.6817627</v>
      </c>
      <c r="H1338">
        <v>1370.4282227000001</v>
      </c>
      <c r="I1338">
        <v>1271.706543</v>
      </c>
      <c r="J1338">
        <v>1243.7946777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764.96155999999996</v>
      </c>
      <c r="B1339" s="1">
        <f>DATE(2012,6,3) + TIME(23,4,38)</f>
        <v>41063.961550925924</v>
      </c>
      <c r="C1339">
        <v>90</v>
      </c>
      <c r="D1339">
        <v>89.945350646999998</v>
      </c>
      <c r="E1339">
        <v>30</v>
      </c>
      <c r="F1339">
        <v>28.885728835999998</v>
      </c>
      <c r="G1339">
        <v>1383.6212158000001</v>
      </c>
      <c r="H1339">
        <v>1370.3797606999999</v>
      </c>
      <c r="I1339">
        <v>1271.7036132999999</v>
      </c>
      <c r="J1339">
        <v>1243.7873535000001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765.58872099999996</v>
      </c>
      <c r="B1340" s="1">
        <f>DATE(2012,6,4) + TIME(14,7,45)</f>
        <v>41064.58871527778</v>
      </c>
      <c r="C1340">
        <v>90</v>
      </c>
      <c r="D1340">
        <v>89.945327758999994</v>
      </c>
      <c r="E1340">
        <v>30</v>
      </c>
      <c r="F1340">
        <v>28.869068146</v>
      </c>
      <c r="G1340">
        <v>1383.5600586</v>
      </c>
      <c r="H1340">
        <v>1370.3306885</v>
      </c>
      <c r="I1340">
        <v>1271.7006836</v>
      </c>
      <c r="J1340">
        <v>1243.7796631000001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766.22553300000004</v>
      </c>
      <c r="B1341" s="1">
        <f>DATE(2012,6,5) + TIME(5,24,46)</f>
        <v>41065.225532407407</v>
      </c>
      <c r="C1341">
        <v>90</v>
      </c>
      <c r="D1341">
        <v>89.945304871000005</v>
      </c>
      <c r="E1341">
        <v>30</v>
      </c>
      <c r="F1341">
        <v>28.852178574</v>
      </c>
      <c r="G1341">
        <v>1383.4986572</v>
      </c>
      <c r="H1341">
        <v>1370.2814940999999</v>
      </c>
      <c r="I1341">
        <v>1271.6976318</v>
      </c>
      <c r="J1341">
        <v>1243.7718506000001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766.870993</v>
      </c>
      <c r="B1342" s="1">
        <f>DATE(2012,6,5) + TIME(20,54,13)</f>
        <v>41065.870983796296</v>
      </c>
      <c r="C1342">
        <v>90</v>
      </c>
      <c r="D1342">
        <v>89.945289611999996</v>
      </c>
      <c r="E1342">
        <v>30</v>
      </c>
      <c r="F1342">
        <v>28.835092544999998</v>
      </c>
      <c r="G1342">
        <v>1383.4371338000001</v>
      </c>
      <c r="H1342">
        <v>1370.2321777</v>
      </c>
      <c r="I1342">
        <v>1271.6944579999999</v>
      </c>
      <c r="J1342">
        <v>1243.7637939000001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767.517921</v>
      </c>
      <c r="B1343" s="1">
        <f>DATE(2012,6,6) + TIME(12,25,48)</f>
        <v>41066.517916666664</v>
      </c>
      <c r="C1343">
        <v>90</v>
      </c>
      <c r="D1343">
        <v>89.945266724000007</v>
      </c>
      <c r="E1343">
        <v>30</v>
      </c>
      <c r="F1343">
        <v>28.817934036</v>
      </c>
      <c r="G1343">
        <v>1383.3756103999999</v>
      </c>
      <c r="H1343">
        <v>1370.1826172000001</v>
      </c>
      <c r="I1343">
        <v>1271.6912841999999</v>
      </c>
      <c r="J1343">
        <v>1243.7554932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768.16753900000003</v>
      </c>
      <c r="B1344" s="1">
        <f>DATE(2012,6,7) + TIME(4,1,15)</f>
        <v>41067.167534722219</v>
      </c>
      <c r="C1344">
        <v>90</v>
      </c>
      <c r="D1344">
        <v>89.945251464999998</v>
      </c>
      <c r="E1344">
        <v>30</v>
      </c>
      <c r="F1344">
        <v>28.800725936999999</v>
      </c>
      <c r="G1344">
        <v>1383.3146973</v>
      </c>
      <c r="H1344">
        <v>1370.1336670000001</v>
      </c>
      <c r="I1344">
        <v>1271.6881103999999</v>
      </c>
      <c r="J1344">
        <v>1243.7471923999999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768.82106399999998</v>
      </c>
      <c r="B1345" s="1">
        <f>DATE(2012,6,7) + TIME(19,42,19)</f>
        <v>41067.821053240739</v>
      </c>
      <c r="C1345">
        <v>90</v>
      </c>
      <c r="D1345">
        <v>89.945228576999995</v>
      </c>
      <c r="E1345">
        <v>30</v>
      </c>
      <c r="F1345">
        <v>28.783468246000002</v>
      </c>
      <c r="G1345">
        <v>1383.2542725000001</v>
      </c>
      <c r="H1345">
        <v>1370.0850829999999</v>
      </c>
      <c r="I1345">
        <v>1271.6848144999999</v>
      </c>
      <c r="J1345">
        <v>1243.7386475000001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769.47808199999997</v>
      </c>
      <c r="B1346" s="1">
        <f>DATE(2012,6,8) + TIME(11,28,26)</f>
        <v>41068.478078703702</v>
      </c>
      <c r="C1346">
        <v>90</v>
      </c>
      <c r="D1346">
        <v>89.945213318</v>
      </c>
      <c r="E1346">
        <v>30</v>
      </c>
      <c r="F1346">
        <v>28.766172408999999</v>
      </c>
      <c r="G1346">
        <v>1383.1943358999999</v>
      </c>
      <c r="H1346">
        <v>1370.0366211</v>
      </c>
      <c r="I1346">
        <v>1271.6815185999999</v>
      </c>
      <c r="J1346">
        <v>1243.7299805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770.13970600000005</v>
      </c>
      <c r="B1347" s="1">
        <f>DATE(2012,6,9) + TIME(3,21,10)</f>
        <v>41069.139699074076</v>
      </c>
      <c r="C1347">
        <v>90</v>
      </c>
      <c r="D1347">
        <v>89.945198059000006</v>
      </c>
      <c r="E1347">
        <v>30</v>
      </c>
      <c r="F1347">
        <v>28.748828887999998</v>
      </c>
      <c r="G1347">
        <v>1383.1346435999999</v>
      </c>
      <c r="H1347">
        <v>1369.9886475000001</v>
      </c>
      <c r="I1347">
        <v>1271.6782227000001</v>
      </c>
      <c r="J1347">
        <v>1243.7210693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770.80710699999997</v>
      </c>
      <c r="B1348" s="1">
        <f>DATE(2012,6,9) + TIME(19,22,14)</f>
        <v>41069.807106481479</v>
      </c>
      <c r="C1348">
        <v>90</v>
      </c>
      <c r="D1348">
        <v>89.945175171000002</v>
      </c>
      <c r="E1348">
        <v>30</v>
      </c>
      <c r="F1348">
        <v>28.731416702000001</v>
      </c>
      <c r="G1348">
        <v>1383.0754394999999</v>
      </c>
      <c r="H1348">
        <v>1369.9407959</v>
      </c>
      <c r="I1348">
        <v>1271.6748047000001</v>
      </c>
      <c r="J1348">
        <v>1243.7120361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771.48148100000003</v>
      </c>
      <c r="B1349" s="1">
        <f>DATE(2012,6,10) + TIME(11,33,19)</f>
        <v>41070.481469907405</v>
      </c>
      <c r="C1349">
        <v>90</v>
      </c>
      <c r="D1349">
        <v>89.945159911999994</v>
      </c>
      <c r="E1349">
        <v>30</v>
      </c>
      <c r="F1349">
        <v>28.713911057000001</v>
      </c>
      <c r="G1349">
        <v>1383.0162353999999</v>
      </c>
      <c r="H1349">
        <v>1369.8929443</v>
      </c>
      <c r="I1349">
        <v>1271.6712646000001</v>
      </c>
      <c r="J1349">
        <v>1243.7028809000001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772.16433099999995</v>
      </c>
      <c r="B1350" s="1">
        <f>DATE(2012,6,11) + TIME(3,56,38)</f>
        <v>41071.1643287037</v>
      </c>
      <c r="C1350">
        <v>90</v>
      </c>
      <c r="D1350">
        <v>89.945144653</v>
      </c>
      <c r="E1350">
        <v>30</v>
      </c>
      <c r="F1350">
        <v>28.696283340000001</v>
      </c>
      <c r="G1350">
        <v>1382.9572754000001</v>
      </c>
      <c r="H1350">
        <v>1369.8453368999999</v>
      </c>
      <c r="I1350">
        <v>1271.6678466999999</v>
      </c>
      <c r="J1350">
        <v>1243.6934814000001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772.85693800000001</v>
      </c>
      <c r="B1351" s="1">
        <f>DATE(2012,6,11) + TIME(20,33,59)</f>
        <v>41071.856932870367</v>
      </c>
      <c r="C1351">
        <v>90</v>
      </c>
      <c r="D1351">
        <v>89.945129394999995</v>
      </c>
      <c r="E1351">
        <v>30</v>
      </c>
      <c r="F1351">
        <v>28.678503035999999</v>
      </c>
      <c r="G1351">
        <v>1382.8981934000001</v>
      </c>
      <c r="H1351">
        <v>1369.7974853999999</v>
      </c>
      <c r="I1351">
        <v>1271.6641846</v>
      </c>
      <c r="J1351">
        <v>1243.6838379000001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773.56047899999999</v>
      </c>
      <c r="B1352" s="1">
        <f>DATE(2012,6,12) + TIME(13,27,5)</f>
        <v>41072.560474537036</v>
      </c>
      <c r="C1352">
        <v>90</v>
      </c>
      <c r="D1352">
        <v>89.945121764999996</v>
      </c>
      <c r="E1352">
        <v>30</v>
      </c>
      <c r="F1352">
        <v>28.660539626999999</v>
      </c>
      <c r="G1352">
        <v>1382.8389893000001</v>
      </c>
      <c r="H1352">
        <v>1369.7495117000001</v>
      </c>
      <c r="I1352">
        <v>1271.6605225000001</v>
      </c>
      <c r="J1352">
        <v>1243.6738281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774.27641600000004</v>
      </c>
      <c r="B1353" s="1">
        <f>DATE(2012,6,13) + TIME(6,38,2)</f>
        <v>41073.276412037034</v>
      </c>
      <c r="C1353">
        <v>90</v>
      </c>
      <c r="D1353">
        <v>89.945106506000002</v>
      </c>
      <c r="E1353">
        <v>30</v>
      </c>
      <c r="F1353">
        <v>28.642364502</v>
      </c>
      <c r="G1353">
        <v>1382.7795410000001</v>
      </c>
      <c r="H1353">
        <v>1369.7012939000001</v>
      </c>
      <c r="I1353">
        <v>1271.6567382999999</v>
      </c>
      <c r="J1353">
        <v>1243.6635742000001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775.00632800000005</v>
      </c>
      <c r="B1354" s="1">
        <f>DATE(2012,6,14) + TIME(0,9,6)</f>
        <v>41074.006319444445</v>
      </c>
      <c r="C1354">
        <v>90</v>
      </c>
      <c r="D1354">
        <v>89.945091247999997</v>
      </c>
      <c r="E1354">
        <v>30</v>
      </c>
      <c r="F1354">
        <v>28.623943328999999</v>
      </c>
      <c r="G1354">
        <v>1382.7197266000001</v>
      </c>
      <c r="H1354">
        <v>1369.652832</v>
      </c>
      <c r="I1354">
        <v>1271.652832</v>
      </c>
      <c r="J1354">
        <v>1243.6530762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775.751846</v>
      </c>
      <c r="B1355" s="1">
        <f>DATE(2012,6,14) + TIME(18,2,39)</f>
        <v>41074.751840277779</v>
      </c>
      <c r="C1355">
        <v>90</v>
      </c>
      <c r="D1355">
        <v>89.945075989000003</v>
      </c>
      <c r="E1355">
        <v>30</v>
      </c>
      <c r="F1355">
        <v>28.605237961</v>
      </c>
      <c r="G1355">
        <v>1382.6595459</v>
      </c>
      <c r="H1355">
        <v>1369.6038818</v>
      </c>
      <c r="I1355">
        <v>1271.6488036999999</v>
      </c>
      <c r="J1355">
        <v>1243.6420897999999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776.514816</v>
      </c>
      <c r="B1356" s="1">
        <f>DATE(2012,6,15) + TIME(12,21,20)</f>
        <v>41075.514814814815</v>
      </c>
      <c r="C1356">
        <v>90</v>
      </c>
      <c r="D1356">
        <v>89.945068359000004</v>
      </c>
      <c r="E1356">
        <v>30</v>
      </c>
      <c r="F1356">
        <v>28.586212157999999</v>
      </c>
      <c r="G1356">
        <v>1382.5987548999999</v>
      </c>
      <c r="H1356">
        <v>1369.5544434000001</v>
      </c>
      <c r="I1356">
        <v>1271.6446533000001</v>
      </c>
      <c r="J1356">
        <v>1243.6308594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777.28628500000002</v>
      </c>
      <c r="B1357" s="1">
        <f>DATE(2012,6,16) + TIME(6,52,14)</f>
        <v>41076.286273148151</v>
      </c>
      <c r="C1357">
        <v>90</v>
      </c>
      <c r="D1357">
        <v>89.945053100999999</v>
      </c>
      <c r="E1357">
        <v>30</v>
      </c>
      <c r="F1357">
        <v>28.566968918000001</v>
      </c>
      <c r="G1357">
        <v>1382.5372314000001</v>
      </c>
      <c r="H1357">
        <v>1369.5042725000001</v>
      </c>
      <c r="I1357">
        <v>1271.6403809000001</v>
      </c>
      <c r="J1357">
        <v>1243.6191406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778.06205199999999</v>
      </c>
      <c r="B1358" s="1">
        <f>DATE(2012,6,17) + TIME(1,29,21)</f>
        <v>41077.062048611115</v>
      </c>
      <c r="C1358">
        <v>90</v>
      </c>
      <c r="D1358">
        <v>89.945045471</v>
      </c>
      <c r="E1358">
        <v>30</v>
      </c>
      <c r="F1358">
        <v>28.547607421999999</v>
      </c>
      <c r="G1358">
        <v>1382.4757079999999</v>
      </c>
      <c r="H1358">
        <v>1369.4542236</v>
      </c>
      <c r="I1358">
        <v>1271.6358643000001</v>
      </c>
      <c r="J1358">
        <v>1243.6070557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778.83892900000001</v>
      </c>
      <c r="B1359" s="1">
        <f>DATE(2012,6,17) + TIME(20,8,3)</f>
        <v>41077.838923611111</v>
      </c>
      <c r="C1359">
        <v>90</v>
      </c>
      <c r="D1359">
        <v>89.945030212000006</v>
      </c>
      <c r="E1359">
        <v>30</v>
      </c>
      <c r="F1359">
        <v>28.528215408000001</v>
      </c>
      <c r="G1359">
        <v>1382.4145507999999</v>
      </c>
      <c r="H1359">
        <v>1369.4042969</v>
      </c>
      <c r="I1359">
        <v>1271.6313477000001</v>
      </c>
      <c r="J1359">
        <v>1243.5947266000001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779.61831500000005</v>
      </c>
      <c r="B1360" s="1">
        <f>DATE(2012,6,18) + TIME(14,50,22)</f>
        <v>41078.618310185186</v>
      </c>
      <c r="C1360">
        <v>90</v>
      </c>
      <c r="D1360">
        <v>89.945022582999997</v>
      </c>
      <c r="E1360">
        <v>30</v>
      </c>
      <c r="F1360">
        <v>28.508817672999999</v>
      </c>
      <c r="G1360">
        <v>1382.3540039</v>
      </c>
      <c r="H1360">
        <v>1369.3548584</v>
      </c>
      <c r="I1360">
        <v>1271.6268310999999</v>
      </c>
      <c r="J1360">
        <v>1243.5821533000001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780.40161499999999</v>
      </c>
      <c r="B1361" s="1">
        <f>DATE(2012,6,19) + TIME(9,38,19)</f>
        <v>41079.401608796295</v>
      </c>
      <c r="C1361">
        <v>90</v>
      </c>
      <c r="D1361">
        <v>89.945007324000002</v>
      </c>
      <c r="E1361">
        <v>30</v>
      </c>
      <c r="F1361">
        <v>28.489412307999999</v>
      </c>
      <c r="G1361">
        <v>1382.2939452999999</v>
      </c>
      <c r="H1361">
        <v>1369.3057861</v>
      </c>
      <c r="I1361">
        <v>1271.6221923999999</v>
      </c>
      <c r="J1361">
        <v>1243.5694579999999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781.19021499999997</v>
      </c>
      <c r="B1362" s="1">
        <f>DATE(2012,6,20) + TIME(4,33,54)</f>
        <v>41080.190208333333</v>
      </c>
      <c r="C1362">
        <v>90</v>
      </c>
      <c r="D1362">
        <v>89.944999695000007</v>
      </c>
      <c r="E1362">
        <v>30</v>
      </c>
      <c r="F1362">
        <v>28.469987869000001</v>
      </c>
      <c r="G1362">
        <v>1382.2342529</v>
      </c>
      <c r="H1362">
        <v>1369.2569579999999</v>
      </c>
      <c r="I1362">
        <v>1271.6175536999999</v>
      </c>
      <c r="J1362">
        <v>1243.5563964999999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781.98553400000003</v>
      </c>
      <c r="B1363" s="1">
        <f>DATE(2012,6,20) + TIME(23,39,10)</f>
        <v>41080.985532407409</v>
      </c>
      <c r="C1363">
        <v>90</v>
      </c>
      <c r="D1363">
        <v>89.944992064999994</v>
      </c>
      <c r="E1363">
        <v>30</v>
      </c>
      <c r="F1363">
        <v>28.450519562</v>
      </c>
      <c r="G1363">
        <v>1382.1749268000001</v>
      </c>
      <c r="H1363">
        <v>1369.2082519999999</v>
      </c>
      <c r="I1363">
        <v>1271.612793</v>
      </c>
      <c r="J1363">
        <v>1243.5429687999999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782.78902500000004</v>
      </c>
      <c r="B1364" s="1">
        <f>DATE(2012,6,21) + TIME(18,56,11)</f>
        <v>41081.7890162037</v>
      </c>
      <c r="C1364">
        <v>90</v>
      </c>
      <c r="D1364">
        <v>89.944984435999999</v>
      </c>
      <c r="E1364">
        <v>30</v>
      </c>
      <c r="F1364">
        <v>28.430982589999999</v>
      </c>
      <c r="G1364">
        <v>1382.1156006000001</v>
      </c>
      <c r="H1364">
        <v>1369.159668</v>
      </c>
      <c r="I1364">
        <v>1271.6079102000001</v>
      </c>
      <c r="J1364">
        <v>1243.5292969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783.60243500000001</v>
      </c>
      <c r="B1365" s="1">
        <f>DATE(2012,6,22) + TIME(14,27,30)</f>
        <v>41082.602430555555</v>
      </c>
      <c r="C1365">
        <v>90</v>
      </c>
      <c r="D1365">
        <v>89.944976807000003</v>
      </c>
      <c r="E1365">
        <v>30</v>
      </c>
      <c r="F1365">
        <v>28.411344528000001</v>
      </c>
      <c r="G1365">
        <v>1382.0563964999999</v>
      </c>
      <c r="H1365">
        <v>1369.1110839999999</v>
      </c>
      <c r="I1365">
        <v>1271.6029053</v>
      </c>
      <c r="J1365">
        <v>1243.5153809000001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784.42743499999995</v>
      </c>
      <c r="B1366" s="1">
        <f>DATE(2012,6,23) + TIME(10,15,30)</f>
        <v>41083.427430555559</v>
      </c>
      <c r="C1366">
        <v>90</v>
      </c>
      <c r="D1366">
        <v>89.944969177000004</v>
      </c>
      <c r="E1366">
        <v>30</v>
      </c>
      <c r="F1366">
        <v>28.391574859999999</v>
      </c>
      <c r="G1366">
        <v>1381.9970702999999</v>
      </c>
      <c r="H1366">
        <v>1369.0622559000001</v>
      </c>
      <c r="I1366">
        <v>1271.5979004000001</v>
      </c>
      <c r="J1366">
        <v>1243.5008545000001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785.26540399999999</v>
      </c>
      <c r="B1367" s="1">
        <f>DATE(2012,6,24) + TIME(6,22,10)</f>
        <v>41084.265393518515</v>
      </c>
      <c r="C1367">
        <v>90</v>
      </c>
      <c r="D1367">
        <v>89.944961547999995</v>
      </c>
      <c r="E1367">
        <v>30</v>
      </c>
      <c r="F1367">
        <v>28.371643066000001</v>
      </c>
      <c r="G1367">
        <v>1381.9375</v>
      </c>
      <c r="H1367">
        <v>1369.0133057</v>
      </c>
      <c r="I1367">
        <v>1271.5926514</v>
      </c>
      <c r="J1367">
        <v>1243.4860839999999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786.118111</v>
      </c>
      <c r="B1368" s="1">
        <f>DATE(2012,6,25) + TIME(2,50,4)</f>
        <v>41085.118101851855</v>
      </c>
      <c r="C1368">
        <v>90</v>
      </c>
      <c r="D1368">
        <v>89.944961547999995</v>
      </c>
      <c r="E1368">
        <v>30</v>
      </c>
      <c r="F1368">
        <v>28.351522446000001</v>
      </c>
      <c r="G1368">
        <v>1381.8776855000001</v>
      </c>
      <c r="H1368">
        <v>1368.9639893000001</v>
      </c>
      <c r="I1368">
        <v>1271.5872803</v>
      </c>
      <c r="J1368">
        <v>1243.4707031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786.98747800000001</v>
      </c>
      <c r="B1369" s="1">
        <f>DATE(2012,6,25) + TIME(23,41,58)</f>
        <v>41085.987476851849</v>
      </c>
      <c r="C1369">
        <v>90</v>
      </c>
      <c r="D1369">
        <v>89.944953917999996</v>
      </c>
      <c r="E1369">
        <v>30</v>
      </c>
      <c r="F1369">
        <v>28.331180573000001</v>
      </c>
      <c r="G1369">
        <v>1381.8173827999999</v>
      </c>
      <c r="H1369">
        <v>1368.9143065999999</v>
      </c>
      <c r="I1369">
        <v>1271.5817870999999</v>
      </c>
      <c r="J1369">
        <v>1243.4548339999999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787.87551800000006</v>
      </c>
      <c r="B1370" s="1">
        <f>DATE(2012,6,26) + TIME(21,0,44)</f>
        <v>41086.875509259262</v>
      </c>
      <c r="C1370">
        <v>90</v>
      </c>
      <c r="D1370">
        <v>89.944946289000001</v>
      </c>
      <c r="E1370">
        <v>30</v>
      </c>
      <c r="F1370">
        <v>28.310581206999998</v>
      </c>
      <c r="G1370">
        <v>1381.7565918</v>
      </c>
      <c r="H1370">
        <v>1368.8641356999999</v>
      </c>
      <c r="I1370">
        <v>1271.5761719</v>
      </c>
      <c r="J1370">
        <v>1243.4384766000001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788.77630499999998</v>
      </c>
      <c r="B1371" s="1">
        <f>DATE(2012,6,27) + TIME(18,37,52)</f>
        <v>41087.776296296295</v>
      </c>
      <c r="C1371">
        <v>90</v>
      </c>
      <c r="D1371">
        <v>89.944946289000001</v>
      </c>
      <c r="E1371">
        <v>30</v>
      </c>
      <c r="F1371">
        <v>28.289785384999998</v>
      </c>
      <c r="G1371">
        <v>1381.6951904</v>
      </c>
      <c r="H1371">
        <v>1368.8133545000001</v>
      </c>
      <c r="I1371">
        <v>1271.5703125</v>
      </c>
      <c r="J1371">
        <v>1243.4215088000001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789.68697899999995</v>
      </c>
      <c r="B1372" s="1">
        <f>DATE(2012,6,28) + TIME(16,29,15)</f>
        <v>41088.686979166669</v>
      </c>
      <c r="C1372">
        <v>90</v>
      </c>
      <c r="D1372">
        <v>89.944938660000005</v>
      </c>
      <c r="E1372">
        <v>30</v>
      </c>
      <c r="F1372">
        <v>28.268863677999999</v>
      </c>
      <c r="G1372">
        <v>1381.6334228999999</v>
      </c>
      <c r="H1372">
        <v>1368.7623291</v>
      </c>
      <c r="I1372">
        <v>1271.5643310999999</v>
      </c>
      <c r="J1372">
        <v>1243.4040527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790.60437300000001</v>
      </c>
      <c r="B1373" s="1">
        <f>DATE(2012,6,29) + TIME(14,30,17)</f>
        <v>41089.604363425926</v>
      </c>
      <c r="C1373">
        <v>90</v>
      </c>
      <c r="D1373">
        <v>89.944938660000005</v>
      </c>
      <c r="E1373">
        <v>30</v>
      </c>
      <c r="F1373">
        <v>28.247890472000002</v>
      </c>
      <c r="G1373">
        <v>1381.5717772999999</v>
      </c>
      <c r="H1373">
        <v>1368.7111815999999</v>
      </c>
      <c r="I1373">
        <v>1271.5582274999999</v>
      </c>
      <c r="J1373">
        <v>1243.3859863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791.52396199999998</v>
      </c>
      <c r="B1374" s="1">
        <f>DATE(2012,6,30) + TIME(12,34,30)</f>
        <v>41090.523958333331</v>
      </c>
      <c r="C1374">
        <v>90</v>
      </c>
      <c r="D1374">
        <v>89.944938660000005</v>
      </c>
      <c r="E1374">
        <v>30</v>
      </c>
      <c r="F1374">
        <v>28.226966858000001</v>
      </c>
      <c r="G1374">
        <v>1381.5102539</v>
      </c>
      <c r="H1374">
        <v>1368.6602783000001</v>
      </c>
      <c r="I1374">
        <v>1271.5520019999999</v>
      </c>
      <c r="J1374">
        <v>1243.3676757999999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792</v>
      </c>
      <c r="B1375" s="1">
        <f>DATE(2012,7,1) + TIME(0,0,0)</f>
        <v>41091</v>
      </c>
      <c r="C1375">
        <v>90</v>
      </c>
      <c r="D1375">
        <v>89.944923400999997</v>
      </c>
      <c r="E1375">
        <v>30</v>
      </c>
      <c r="F1375">
        <v>28.212673187</v>
      </c>
      <c r="G1375">
        <v>1381.4493408000001</v>
      </c>
      <c r="H1375">
        <v>1368.6096190999999</v>
      </c>
      <c r="I1375">
        <v>1271.5450439000001</v>
      </c>
      <c r="J1375">
        <v>1243.3515625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792.92345599999999</v>
      </c>
      <c r="B1376" s="1">
        <f>DATE(2012,7,1) + TIME(22,9,46)</f>
        <v>41091.923449074071</v>
      </c>
      <c r="C1376">
        <v>90</v>
      </c>
      <c r="D1376">
        <v>89.944931030000006</v>
      </c>
      <c r="E1376">
        <v>30</v>
      </c>
      <c r="F1376">
        <v>28.193721771</v>
      </c>
      <c r="G1376">
        <v>1381.4177245999999</v>
      </c>
      <c r="H1376">
        <v>1368.5832519999999</v>
      </c>
      <c r="I1376">
        <v>1271.5424805</v>
      </c>
      <c r="J1376">
        <v>1243.3382568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793.85612600000002</v>
      </c>
      <c r="B1377" s="1">
        <f>DATE(2012,7,2) + TIME(20,32,49)</f>
        <v>41092.856122685182</v>
      </c>
      <c r="C1377">
        <v>90</v>
      </c>
      <c r="D1377">
        <v>89.944931030000006</v>
      </c>
      <c r="E1377">
        <v>30</v>
      </c>
      <c r="F1377">
        <v>28.173915863000001</v>
      </c>
      <c r="G1377">
        <v>1381.3576660000001</v>
      </c>
      <c r="H1377">
        <v>1368.5333252</v>
      </c>
      <c r="I1377">
        <v>1271.5361327999999</v>
      </c>
      <c r="J1377">
        <v>1243.3194579999999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794.79687999999999</v>
      </c>
      <c r="B1378" s="1">
        <f>DATE(2012,7,3) + TIME(19,7,30)</f>
        <v>41093.796875</v>
      </c>
      <c r="C1378">
        <v>90</v>
      </c>
      <c r="D1378">
        <v>89.944931030000006</v>
      </c>
      <c r="E1378">
        <v>30</v>
      </c>
      <c r="F1378">
        <v>28.153720856</v>
      </c>
      <c r="G1378">
        <v>1381.2973632999999</v>
      </c>
      <c r="H1378">
        <v>1368.4831543</v>
      </c>
      <c r="I1378">
        <v>1271.5296631000001</v>
      </c>
      <c r="J1378">
        <v>1243.3000488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795.74749399999996</v>
      </c>
      <c r="B1379" s="1">
        <f>DATE(2012,7,4) + TIME(17,56,23)</f>
        <v>41094.747488425928</v>
      </c>
      <c r="C1379">
        <v>90</v>
      </c>
      <c r="D1379">
        <v>89.944931030000006</v>
      </c>
      <c r="E1379">
        <v>30</v>
      </c>
      <c r="F1379">
        <v>28.133359908999999</v>
      </c>
      <c r="G1379">
        <v>1381.2370605000001</v>
      </c>
      <c r="H1379">
        <v>1368.4328613</v>
      </c>
      <c r="I1379">
        <v>1271.5231934000001</v>
      </c>
      <c r="J1379">
        <v>1243.2800293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796.70993699999997</v>
      </c>
      <c r="B1380" s="1">
        <f>DATE(2012,7,5) + TIME(17,2,18)</f>
        <v>41095.709930555553</v>
      </c>
      <c r="C1380">
        <v>90</v>
      </c>
      <c r="D1380">
        <v>89.944931030000006</v>
      </c>
      <c r="E1380">
        <v>30</v>
      </c>
      <c r="F1380">
        <v>28.112934113000001</v>
      </c>
      <c r="G1380">
        <v>1381.1767577999999</v>
      </c>
      <c r="H1380">
        <v>1368.3825684000001</v>
      </c>
      <c r="I1380">
        <v>1271.5166016000001</v>
      </c>
      <c r="J1380">
        <v>1243.2595214999999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797.68651699999998</v>
      </c>
      <c r="B1381" s="1">
        <f>DATE(2012,7,6) + TIME(16,28,35)</f>
        <v>41096.686516203707</v>
      </c>
      <c r="C1381">
        <v>90</v>
      </c>
      <c r="D1381">
        <v>89.944938660000005</v>
      </c>
      <c r="E1381">
        <v>30</v>
      </c>
      <c r="F1381">
        <v>28.092477798000001</v>
      </c>
      <c r="G1381">
        <v>1381.1163329999999</v>
      </c>
      <c r="H1381">
        <v>1368.3321533000001</v>
      </c>
      <c r="I1381">
        <v>1271.5098877</v>
      </c>
      <c r="J1381">
        <v>1243.2385254000001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798.67878599999995</v>
      </c>
      <c r="B1382" s="1">
        <f>DATE(2012,7,7) + TIME(16,17,27)</f>
        <v>41097.678784722222</v>
      </c>
      <c r="C1382">
        <v>90</v>
      </c>
      <c r="D1382">
        <v>89.944938660000005</v>
      </c>
      <c r="E1382">
        <v>30</v>
      </c>
      <c r="F1382">
        <v>28.072004318000001</v>
      </c>
      <c r="G1382">
        <v>1381.0556641000001</v>
      </c>
      <c r="H1382">
        <v>1368.28125</v>
      </c>
      <c r="I1382">
        <v>1271.5030518000001</v>
      </c>
      <c r="J1382">
        <v>1243.2167969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799.68591500000002</v>
      </c>
      <c r="B1383" s="1">
        <f>DATE(2012,7,8) + TIME(16,27,43)</f>
        <v>41098.685914351852</v>
      </c>
      <c r="C1383">
        <v>90</v>
      </c>
      <c r="D1383">
        <v>89.944938660000005</v>
      </c>
      <c r="E1383">
        <v>30</v>
      </c>
      <c r="F1383">
        <v>28.051548004000001</v>
      </c>
      <c r="G1383">
        <v>1380.9945068</v>
      </c>
      <c r="H1383">
        <v>1368.2301024999999</v>
      </c>
      <c r="I1383">
        <v>1271.4960937999999</v>
      </c>
      <c r="J1383">
        <v>1243.1945800999999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800.70844899999997</v>
      </c>
      <c r="B1384" s="1">
        <f>DATE(2012,7,9) + TIME(17,0,9)</f>
        <v>41099.708437499998</v>
      </c>
      <c r="C1384">
        <v>90</v>
      </c>
      <c r="D1384">
        <v>89.944946289000001</v>
      </c>
      <c r="E1384">
        <v>30</v>
      </c>
      <c r="F1384">
        <v>28.031137466000001</v>
      </c>
      <c r="G1384">
        <v>1380.9331055</v>
      </c>
      <c r="H1384">
        <v>1368.1785889</v>
      </c>
      <c r="I1384">
        <v>1271.4891356999999</v>
      </c>
      <c r="J1384">
        <v>1243.1717529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801.74774500000001</v>
      </c>
      <c r="B1385" s="1">
        <f>DATE(2012,7,10) + TIME(17,56,45)</f>
        <v>41100.747743055559</v>
      </c>
      <c r="C1385">
        <v>90</v>
      </c>
      <c r="D1385">
        <v>89.944946289000001</v>
      </c>
      <c r="E1385">
        <v>30</v>
      </c>
      <c r="F1385">
        <v>28.010791779000002</v>
      </c>
      <c r="G1385">
        <v>1380.8713379000001</v>
      </c>
      <c r="H1385">
        <v>1368.1267089999999</v>
      </c>
      <c r="I1385">
        <v>1271.4820557</v>
      </c>
      <c r="J1385">
        <v>1243.1484375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802.79508699999997</v>
      </c>
      <c r="B1386" s="1">
        <f>DATE(2012,7,11) + TIME(19,4,55)</f>
        <v>41101.795081018521</v>
      </c>
      <c r="C1386">
        <v>90</v>
      </c>
      <c r="D1386">
        <v>89.944953917999996</v>
      </c>
      <c r="E1386">
        <v>30</v>
      </c>
      <c r="F1386">
        <v>27.990621567000002</v>
      </c>
      <c r="G1386">
        <v>1380.8092041</v>
      </c>
      <c r="H1386">
        <v>1368.0744629000001</v>
      </c>
      <c r="I1386">
        <v>1271.4748535000001</v>
      </c>
      <c r="J1386">
        <v>1243.1243896000001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803.85268799999994</v>
      </c>
      <c r="B1387" s="1">
        <f>DATE(2012,7,12) + TIME(20,27,52)</f>
        <v>41102.852685185186</v>
      </c>
      <c r="C1387">
        <v>90</v>
      </c>
      <c r="D1387">
        <v>89.944961547999995</v>
      </c>
      <c r="E1387">
        <v>30</v>
      </c>
      <c r="F1387">
        <v>27.970689774</v>
      </c>
      <c r="G1387">
        <v>1380.7471923999999</v>
      </c>
      <c r="H1387">
        <v>1368.0223389</v>
      </c>
      <c r="I1387">
        <v>1271.4676514</v>
      </c>
      <c r="J1387">
        <v>1243.0999756000001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804.92306900000005</v>
      </c>
      <c r="B1388" s="1">
        <f>DATE(2012,7,13) + TIME(22,9,13)</f>
        <v>41103.923067129632</v>
      </c>
      <c r="C1388">
        <v>90</v>
      </c>
      <c r="D1388">
        <v>89.944961547999995</v>
      </c>
      <c r="E1388">
        <v>30</v>
      </c>
      <c r="F1388">
        <v>27.951025008999999</v>
      </c>
      <c r="G1388">
        <v>1380.6851807</v>
      </c>
      <c r="H1388">
        <v>1367.9699707</v>
      </c>
      <c r="I1388">
        <v>1271.4604492000001</v>
      </c>
      <c r="J1388">
        <v>1243.0751952999999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806.00276099999996</v>
      </c>
      <c r="B1389" s="1">
        <f>DATE(2012,7,15) + TIME(0,3,58)</f>
        <v>41105.002754629626</v>
      </c>
      <c r="C1389">
        <v>90</v>
      </c>
      <c r="D1389">
        <v>89.944969177000004</v>
      </c>
      <c r="E1389">
        <v>30</v>
      </c>
      <c r="F1389">
        <v>27.931690216</v>
      </c>
      <c r="G1389">
        <v>1380.6229248</v>
      </c>
      <c r="H1389">
        <v>1367.9174805</v>
      </c>
      <c r="I1389">
        <v>1271.4532471</v>
      </c>
      <c r="J1389">
        <v>1243.0498047000001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807.08844799999997</v>
      </c>
      <c r="B1390" s="1">
        <f>DATE(2012,7,16) + TIME(2,7,21)</f>
        <v>41106.088437500002</v>
      </c>
      <c r="C1390">
        <v>90</v>
      </c>
      <c r="D1390">
        <v>89.944976807000003</v>
      </c>
      <c r="E1390">
        <v>30</v>
      </c>
      <c r="F1390">
        <v>27.912773132000002</v>
      </c>
      <c r="G1390">
        <v>1380.5607910000001</v>
      </c>
      <c r="H1390">
        <v>1367.8649902</v>
      </c>
      <c r="I1390">
        <v>1271.4460449000001</v>
      </c>
      <c r="J1390">
        <v>1243.0240478999999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808.18214499999999</v>
      </c>
      <c r="B1391" s="1">
        <f>DATE(2012,7,17) + TIME(4,22,17)</f>
        <v>41107.182141203702</v>
      </c>
      <c r="C1391">
        <v>90</v>
      </c>
      <c r="D1391">
        <v>89.944984435999999</v>
      </c>
      <c r="E1391">
        <v>30</v>
      </c>
      <c r="F1391">
        <v>27.894327164</v>
      </c>
      <c r="G1391">
        <v>1380.4987793</v>
      </c>
      <c r="H1391">
        <v>1367.8125</v>
      </c>
      <c r="I1391">
        <v>1271.4389647999999</v>
      </c>
      <c r="J1391">
        <v>1242.9980469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809.28587300000004</v>
      </c>
      <c r="B1392" s="1">
        <f>DATE(2012,7,18) + TIME(6,51,39)</f>
        <v>41108.285868055558</v>
      </c>
      <c r="C1392">
        <v>90</v>
      </c>
      <c r="D1392">
        <v>89.944992064999994</v>
      </c>
      <c r="E1392">
        <v>30</v>
      </c>
      <c r="F1392">
        <v>27.876386642</v>
      </c>
      <c r="G1392">
        <v>1380.4368896000001</v>
      </c>
      <c r="H1392">
        <v>1367.7601318</v>
      </c>
      <c r="I1392">
        <v>1271.4318848</v>
      </c>
      <c r="J1392">
        <v>1242.9718018000001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810.40180899999996</v>
      </c>
      <c r="B1393" s="1">
        <f>DATE(2012,7,19) + TIME(9,38,36)</f>
        <v>41109.401805555557</v>
      </c>
      <c r="C1393">
        <v>90</v>
      </c>
      <c r="D1393">
        <v>89.944999695000007</v>
      </c>
      <c r="E1393">
        <v>30</v>
      </c>
      <c r="F1393">
        <v>27.858980179</v>
      </c>
      <c r="G1393">
        <v>1380.3751221</v>
      </c>
      <c r="H1393">
        <v>1367.7076416</v>
      </c>
      <c r="I1393">
        <v>1271.4249268000001</v>
      </c>
      <c r="J1393">
        <v>1242.9450684000001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811.52941999999996</v>
      </c>
      <c r="B1394" s="1">
        <f>DATE(2012,7,20) + TIME(12,42,21)</f>
        <v>41110.529409722221</v>
      </c>
      <c r="C1394">
        <v>90</v>
      </c>
      <c r="D1394">
        <v>89.945014954000001</v>
      </c>
      <c r="E1394">
        <v>30</v>
      </c>
      <c r="F1394">
        <v>27.842157363999998</v>
      </c>
      <c r="G1394">
        <v>1380.3131103999999</v>
      </c>
      <c r="H1394">
        <v>1367.6550293</v>
      </c>
      <c r="I1394">
        <v>1271.4182129000001</v>
      </c>
      <c r="J1394">
        <v>1242.9182129000001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812.66870900000004</v>
      </c>
      <c r="B1395" s="1">
        <f>DATE(2012,7,21) + TIME(16,2,56)</f>
        <v>41111.668703703705</v>
      </c>
      <c r="C1395">
        <v>90</v>
      </c>
      <c r="D1395">
        <v>89.945022582999997</v>
      </c>
      <c r="E1395">
        <v>30</v>
      </c>
      <c r="F1395">
        <v>27.82598114</v>
      </c>
      <c r="G1395">
        <v>1380.2510986</v>
      </c>
      <c r="H1395">
        <v>1367.6022949000001</v>
      </c>
      <c r="I1395">
        <v>1271.411499</v>
      </c>
      <c r="J1395">
        <v>1242.8908690999999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813.82181800000001</v>
      </c>
      <c r="B1396" s="1">
        <f>DATE(2012,7,22) + TIME(19,43,25)</f>
        <v>41112.821817129632</v>
      </c>
      <c r="C1396">
        <v>90</v>
      </c>
      <c r="D1396">
        <v>89.945037842000005</v>
      </c>
      <c r="E1396">
        <v>30</v>
      </c>
      <c r="F1396">
        <v>27.810510635</v>
      </c>
      <c r="G1396">
        <v>1380.1889647999999</v>
      </c>
      <c r="H1396">
        <v>1367.5494385</v>
      </c>
      <c r="I1396">
        <v>1271.4049072</v>
      </c>
      <c r="J1396">
        <v>1242.8634033000001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814.99115300000005</v>
      </c>
      <c r="B1397" s="1">
        <f>DATE(2012,7,23) + TIME(23,47,15)</f>
        <v>41113.99114583333</v>
      </c>
      <c r="C1397">
        <v>90</v>
      </c>
      <c r="D1397">
        <v>89.945045471</v>
      </c>
      <c r="E1397">
        <v>30</v>
      </c>
      <c r="F1397">
        <v>27.795803070000002</v>
      </c>
      <c r="G1397">
        <v>1380.1265868999999</v>
      </c>
      <c r="H1397">
        <v>1367.4962158000001</v>
      </c>
      <c r="I1397">
        <v>1271.3985596</v>
      </c>
      <c r="J1397">
        <v>1242.8355713000001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816.16955600000006</v>
      </c>
      <c r="B1398" s="1">
        <f>DATE(2012,7,25) + TIME(4,4,9)</f>
        <v>41115.169548611113</v>
      </c>
      <c r="C1398">
        <v>90</v>
      </c>
      <c r="D1398">
        <v>89.945060729999994</v>
      </c>
      <c r="E1398">
        <v>30</v>
      </c>
      <c r="F1398">
        <v>27.781970978</v>
      </c>
      <c r="G1398">
        <v>1380.0639647999999</v>
      </c>
      <c r="H1398">
        <v>1367.442749</v>
      </c>
      <c r="I1398">
        <v>1271.3924560999999</v>
      </c>
      <c r="J1398">
        <v>1242.8074951000001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817.358611</v>
      </c>
      <c r="B1399" s="1">
        <f>DATE(2012,7,26) + TIME(8,36,23)</f>
        <v>41116.358599537038</v>
      </c>
      <c r="C1399">
        <v>90</v>
      </c>
      <c r="D1399">
        <v>89.945068359000004</v>
      </c>
      <c r="E1399">
        <v>30</v>
      </c>
      <c r="F1399">
        <v>27.769117354999999</v>
      </c>
      <c r="G1399">
        <v>1380.0013428</v>
      </c>
      <c r="H1399">
        <v>1367.3891602000001</v>
      </c>
      <c r="I1399">
        <v>1271.3865966999999</v>
      </c>
      <c r="J1399">
        <v>1242.7794189000001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818.561058</v>
      </c>
      <c r="B1400" s="1">
        <f>DATE(2012,7,27) + TIME(13,27,55)</f>
        <v>41117.561053240737</v>
      </c>
      <c r="C1400">
        <v>90</v>
      </c>
      <c r="D1400">
        <v>89.945083617999998</v>
      </c>
      <c r="E1400">
        <v>30</v>
      </c>
      <c r="F1400">
        <v>27.757329940999998</v>
      </c>
      <c r="G1400">
        <v>1379.9385986</v>
      </c>
      <c r="H1400">
        <v>1367.3355713000001</v>
      </c>
      <c r="I1400">
        <v>1271.3811035000001</v>
      </c>
      <c r="J1400">
        <v>1242.7513428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819.77934500000003</v>
      </c>
      <c r="B1401" s="1">
        <f>DATE(2012,7,28) + TIME(18,42,15)</f>
        <v>41118.779340277775</v>
      </c>
      <c r="C1401">
        <v>90</v>
      </c>
      <c r="D1401">
        <v>89.945098877000007</v>
      </c>
      <c r="E1401">
        <v>30</v>
      </c>
      <c r="F1401">
        <v>27.746698380000002</v>
      </c>
      <c r="G1401">
        <v>1379.8758545000001</v>
      </c>
      <c r="H1401">
        <v>1367.2817382999999</v>
      </c>
      <c r="I1401">
        <v>1271.3759766000001</v>
      </c>
      <c r="J1401">
        <v>1242.7231445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821.01567299999999</v>
      </c>
      <c r="B1402" s="1">
        <f>DATE(2012,7,30) + TIME(0,22,34)</f>
        <v>41120.0156712963</v>
      </c>
      <c r="C1402">
        <v>90</v>
      </c>
      <c r="D1402">
        <v>89.945114136000001</v>
      </c>
      <c r="E1402">
        <v>30</v>
      </c>
      <c r="F1402">
        <v>27.737323760999999</v>
      </c>
      <c r="G1402">
        <v>1379.8127440999999</v>
      </c>
      <c r="H1402">
        <v>1367.2275391000001</v>
      </c>
      <c r="I1402">
        <v>1271.3712158000001</v>
      </c>
      <c r="J1402">
        <v>1242.6949463000001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822.27276500000005</v>
      </c>
      <c r="B1403" s="1">
        <f>DATE(2012,7,31) + TIME(6,32,46)</f>
        <v>41121.27275462963</v>
      </c>
      <c r="C1403">
        <v>90</v>
      </c>
      <c r="D1403">
        <v>89.945129394999995</v>
      </c>
      <c r="E1403">
        <v>30</v>
      </c>
      <c r="F1403">
        <v>27.729328156000001</v>
      </c>
      <c r="G1403">
        <v>1379.7491454999999</v>
      </c>
      <c r="H1403">
        <v>1367.1729736</v>
      </c>
      <c r="I1403">
        <v>1271.3668213000001</v>
      </c>
      <c r="J1403">
        <v>1242.6668701000001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823</v>
      </c>
      <c r="B1404" s="1">
        <f>DATE(2012,8,1) + TIME(0,0,0)</f>
        <v>41122</v>
      </c>
      <c r="C1404">
        <v>90</v>
      </c>
      <c r="D1404">
        <v>89.945129394999995</v>
      </c>
      <c r="E1404">
        <v>30</v>
      </c>
      <c r="F1404">
        <v>27.724380493000002</v>
      </c>
      <c r="G1404">
        <v>1379.6850586</v>
      </c>
      <c r="H1404">
        <v>1367.1177978999999</v>
      </c>
      <c r="I1404">
        <v>1271.364624</v>
      </c>
      <c r="J1404">
        <v>1242.6427002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824.26755900000001</v>
      </c>
      <c r="B1405" s="1">
        <f>DATE(2012,8,2) + TIME(6,25,17)</f>
        <v>41123.267557870371</v>
      </c>
      <c r="C1405">
        <v>90</v>
      </c>
      <c r="D1405">
        <v>89.945152282999999</v>
      </c>
      <c r="E1405">
        <v>30</v>
      </c>
      <c r="F1405">
        <v>27.719652176</v>
      </c>
      <c r="G1405">
        <v>1379.6480713000001</v>
      </c>
      <c r="H1405">
        <v>1367.0858154</v>
      </c>
      <c r="I1405">
        <v>1271.3603516000001</v>
      </c>
      <c r="J1405">
        <v>1242.6213379000001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825.55197199999998</v>
      </c>
      <c r="B1406" s="1">
        <f>DATE(2012,8,3) + TIME(13,14,50)</f>
        <v>41124.55196759259</v>
      </c>
      <c r="C1406">
        <v>90</v>
      </c>
      <c r="D1406">
        <v>89.945175171000002</v>
      </c>
      <c r="E1406">
        <v>30</v>
      </c>
      <c r="F1406">
        <v>27.716278075999998</v>
      </c>
      <c r="G1406">
        <v>1379.5844727000001</v>
      </c>
      <c r="H1406">
        <v>1367.0311279</v>
      </c>
      <c r="I1406">
        <v>1271.3579102000001</v>
      </c>
      <c r="J1406">
        <v>1242.5949707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826.84359500000005</v>
      </c>
      <c r="B1407" s="1">
        <f>DATE(2012,8,4) + TIME(20,14,46)</f>
        <v>41125.843587962961</v>
      </c>
      <c r="C1407">
        <v>90</v>
      </c>
      <c r="D1407">
        <v>89.945190429999997</v>
      </c>
      <c r="E1407">
        <v>30</v>
      </c>
      <c r="F1407">
        <v>27.714679717999999</v>
      </c>
      <c r="G1407">
        <v>1379.5203856999999</v>
      </c>
      <c r="H1407">
        <v>1366.9757079999999</v>
      </c>
      <c r="I1407">
        <v>1271.3558350000001</v>
      </c>
      <c r="J1407">
        <v>1242.5686035000001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828.14724799999999</v>
      </c>
      <c r="B1408" s="1">
        <f>DATE(2012,8,6) + TIME(3,32,2)</f>
        <v>41127.147245370368</v>
      </c>
      <c r="C1408">
        <v>90</v>
      </c>
      <c r="D1408">
        <v>89.945205688000001</v>
      </c>
      <c r="E1408">
        <v>30</v>
      </c>
      <c r="F1408">
        <v>27.715126038000001</v>
      </c>
      <c r="G1408">
        <v>1379.4564209</v>
      </c>
      <c r="H1408">
        <v>1366.9204102000001</v>
      </c>
      <c r="I1408">
        <v>1271.3544922000001</v>
      </c>
      <c r="J1408">
        <v>1242.5426024999999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829.458393</v>
      </c>
      <c r="B1409" s="1">
        <f>DATE(2012,8,7) + TIME(11,0,5)</f>
        <v>41128.458391203705</v>
      </c>
      <c r="C1409">
        <v>90</v>
      </c>
      <c r="D1409">
        <v>89.945228576999995</v>
      </c>
      <c r="E1409">
        <v>30</v>
      </c>
      <c r="F1409">
        <v>27.717836380000001</v>
      </c>
      <c r="G1409">
        <v>1379.3924560999999</v>
      </c>
      <c r="H1409">
        <v>1366.8649902</v>
      </c>
      <c r="I1409">
        <v>1271.3538818</v>
      </c>
      <c r="J1409">
        <v>1242.5173339999999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830.778323</v>
      </c>
      <c r="B1410" s="1">
        <f>DATE(2012,8,8) + TIME(18,40,47)</f>
        <v>41129.778321759259</v>
      </c>
      <c r="C1410">
        <v>90</v>
      </c>
      <c r="D1410">
        <v>89.945251464999998</v>
      </c>
      <c r="E1410">
        <v>30</v>
      </c>
      <c r="F1410">
        <v>27.723003386999999</v>
      </c>
      <c r="G1410">
        <v>1379.3284911999999</v>
      </c>
      <c r="H1410">
        <v>1366.8095702999999</v>
      </c>
      <c r="I1410">
        <v>1271.354126</v>
      </c>
      <c r="J1410">
        <v>1242.4929199000001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832.10958800000003</v>
      </c>
      <c r="B1411" s="1">
        <f>DATE(2012,8,10) + TIME(2,37,48)</f>
        <v>41131.109583333331</v>
      </c>
      <c r="C1411">
        <v>90</v>
      </c>
      <c r="D1411">
        <v>89.945266724000007</v>
      </c>
      <c r="E1411">
        <v>30</v>
      </c>
      <c r="F1411">
        <v>27.730827332</v>
      </c>
      <c r="G1411">
        <v>1379.2646483999999</v>
      </c>
      <c r="H1411">
        <v>1366.7541504000001</v>
      </c>
      <c r="I1411">
        <v>1271.3552245999999</v>
      </c>
      <c r="J1411">
        <v>1242.4696045000001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833.45479899999998</v>
      </c>
      <c r="B1412" s="1">
        <f>DATE(2012,8,11) + TIME(10,54,54)</f>
        <v>41132.454791666663</v>
      </c>
      <c r="C1412">
        <v>90</v>
      </c>
      <c r="D1412">
        <v>89.945289611999996</v>
      </c>
      <c r="E1412">
        <v>30</v>
      </c>
      <c r="F1412">
        <v>27.741539001</v>
      </c>
      <c r="G1412">
        <v>1379.2006836</v>
      </c>
      <c r="H1412">
        <v>1366.6986084</v>
      </c>
      <c r="I1412">
        <v>1271.3574219</v>
      </c>
      <c r="J1412">
        <v>1242.4473877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834.81734600000004</v>
      </c>
      <c r="B1413" s="1">
        <f>DATE(2012,8,12) + TIME(19,36,58)</f>
        <v>41133.817337962966</v>
      </c>
      <c r="C1413">
        <v>90</v>
      </c>
      <c r="D1413">
        <v>89.9453125</v>
      </c>
      <c r="E1413">
        <v>30</v>
      </c>
      <c r="F1413">
        <v>27.755401611</v>
      </c>
      <c r="G1413">
        <v>1379.1365966999999</v>
      </c>
      <c r="H1413">
        <v>1366.6427002</v>
      </c>
      <c r="I1413">
        <v>1271.3607178</v>
      </c>
      <c r="J1413">
        <v>1242.4265137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836.19968300000005</v>
      </c>
      <c r="B1414" s="1">
        <f>DATE(2012,8,14) + TIME(4,47,32)</f>
        <v>41135.199675925927</v>
      </c>
      <c r="C1414">
        <v>90</v>
      </c>
      <c r="D1414">
        <v>89.945335388000004</v>
      </c>
      <c r="E1414">
        <v>30</v>
      </c>
      <c r="F1414">
        <v>27.772722244000001</v>
      </c>
      <c r="G1414">
        <v>1379.0721435999999</v>
      </c>
      <c r="H1414">
        <v>1366.5865478999999</v>
      </c>
      <c r="I1414">
        <v>1271.3653564000001</v>
      </c>
      <c r="J1414">
        <v>1242.4071045000001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837.601722</v>
      </c>
      <c r="B1415" s="1">
        <f>DATE(2012,8,15) + TIME(14,26,28)</f>
        <v>41136.601712962962</v>
      </c>
      <c r="C1415">
        <v>90</v>
      </c>
      <c r="D1415">
        <v>89.945358275999993</v>
      </c>
      <c r="E1415">
        <v>30</v>
      </c>
      <c r="F1415">
        <v>27.793838501</v>
      </c>
      <c r="G1415">
        <v>1379.0072021000001</v>
      </c>
      <c r="H1415">
        <v>1366.5299072</v>
      </c>
      <c r="I1415">
        <v>1271.3712158000001</v>
      </c>
      <c r="J1415">
        <v>1242.3894043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839.02108799999996</v>
      </c>
      <c r="B1416" s="1">
        <f>DATE(2012,8,17) + TIME(0,30,21)</f>
        <v>41138.02107638889</v>
      </c>
      <c r="C1416">
        <v>90</v>
      </c>
      <c r="D1416">
        <v>89.945381165000001</v>
      </c>
      <c r="E1416">
        <v>30</v>
      </c>
      <c r="F1416">
        <v>27.819101333999999</v>
      </c>
      <c r="G1416">
        <v>1378.9417725000001</v>
      </c>
      <c r="H1416">
        <v>1366.4726562000001</v>
      </c>
      <c r="I1416">
        <v>1271.3786620999999</v>
      </c>
      <c r="J1416">
        <v>1242.3734131000001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840.46157700000003</v>
      </c>
      <c r="B1417" s="1">
        <f>DATE(2012,8,18) + TIME(11,4,40)</f>
        <v>41139.461574074077</v>
      </c>
      <c r="C1417">
        <v>90</v>
      </c>
      <c r="D1417">
        <v>89.945404053000004</v>
      </c>
      <c r="E1417">
        <v>30</v>
      </c>
      <c r="F1417">
        <v>27.848907471</v>
      </c>
      <c r="G1417">
        <v>1378.8759766000001</v>
      </c>
      <c r="H1417">
        <v>1366.4151611</v>
      </c>
      <c r="I1417">
        <v>1271.3876952999999</v>
      </c>
      <c r="J1417">
        <v>1242.3596190999999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841.19011499999999</v>
      </c>
      <c r="B1418" s="1">
        <f>DATE(2012,8,19) + TIME(4,33,45)</f>
        <v>41140.190104166664</v>
      </c>
      <c r="C1418">
        <v>90</v>
      </c>
      <c r="D1418">
        <v>89.945404053000004</v>
      </c>
      <c r="E1418">
        <v>30</v>
      </c>
      <c r="F1418">
        <v>27.874259948999999</v>
      </c>
      <c r="G1418">
        <v>1378.8098144999999</v>
      </c>
      <c r="H1418">
        <v>1366.3571777</v>
      </c>
      <c r="I1418">
        <v>1271.4041748</v>
      </c>
      <c r="J1418">
        <v>1242.3524170000001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841.91865299999995</v>
      </c>
      <c r="B1419" s="1">
        <f>DATE(2012,8,19) + TIME(22,2,51)</f>
        <v>41140.918645833335</v>
      </c>
      <c r="C1419">
        <v>90</v>
      </c>
      <c r="D1419">
        <v>89.945419311999999</v>
      </c>
      <c r="E1419">
        <v>30</v>
      </c>
      <c r="F1419">
        <v>27.897832869999998</v>
      </c>
      <c r="G1419">
        <v>1378.776001</v>
      </c>
      <c r="H1419">
        <v>1366.3272704999999</v>
      </c>
      <c r="I1419">
        <v>1271.4079589999999</v>
      </c>
      <c r="J1419">
        <v>1242.3458252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842.64719100000002</v>
      </c>
      <c r="B1420" s="1">
        <f>DATE(2012,8,20) + TIME(15,31,57)</f>
        <v>41141.647187499999</v>
      </c>
      <c r="C1420">
        <v>90</v>
      </c>
      <c r="D1420">
        <v>89.945426940999994</v>
      </c>
      <c r="E1420">
        <v>30</v>
      </c>
      <c r="F1420">
        <v>27.921064377</v>
      </c>
      <c r="G1420">
        <v>1378.7426757999999</v>
      </c>
      <c r="H1420">
        <v>1366.2980957</v>
      </c>
      <c r="I1420">
        <v>1271.4133300999999</v>
      </c>
      <c r="J1420">
        <v>1242.3410644999999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844.10426700000005</v>
      </c>
      <c r="B1421" s="1">
        <f>DATE(2012,8,22) + TIME(2,30,8)</f>
        <v>41143.104259259257</v>
      </c>
      <c r="C1421">
        <v>90</v>
      </c>
      <c r="D1421">
        <v>89.945465088000006</v>
      </c>
      <c r="E1421">
        <v>30</v>
      </c>
      <c r="F1421">
        <v>27.953533173</v>
      </c>
      <c r="G1421">
        <v>1378.7098389</v>
      </c>
      <c r="H1421">
        <v>1366.2691649999999</v>
      </c>
      <c r="I1421">
        <v>1271.4151611</v>
      </c>
      <c r="J1421">
        <v>1242.3349608999999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845.56298600000002</v>
      </c>
      <c r="B1422" s="1">
        <f>DATE(2012,8,23) + TIME(13,30,42)</f>
        <v>41144.562986111108</v>
      </c>
      <c r="C1422">
        <v>90</v>
      </c>
      <c r="D1422">
        <v>89.945495605000005</v>
      </c>
      <c r="E1422">
        <v>30</v>
      </c>
      <c r="F1422">
        <v>27.997928619</v>
      </c>
      <c r="G1422">
        <v>1378.6441649999999</v>
      </c>
      <c r="H1422">
        <v>1366.2114257999999</v>
      </c>
      <c r="I1422">
        <v>1271.4329834</v>
      </c>
      <c r="J1422">
        <v>1242.3326416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847.03245800000002</v>
      </c>
      <c r="B1423" s="1">
        <f>DATE(2012,8,25) + TIME(0,46,44)</f>
        <v>41146.032453703701</v>
      </c>
      <c r="C1423">
        <v>90</v>
      </c>
      <c r="D1423">
        <v>89.945526122999993</v>
      </c>
      <c r="E1423">
        <v>30</v>
      </c>
      <c r="F1423">
        <v>28.050666808999999</v>
      </c>
      <c r="G1423">
        <v>1378.5787353999999</v>
      </c>
      <c r="H1423">
        <v>1366.1536865</v>
      </c>
      <c r="I1423">
        <v>1271.4511719</v>
      </c>
      <c r="J1423">
        <v>1242.3327637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848.51543600000002</v>
      </c>
      <c r="B1424" s="1">
        <f>DATE(2012,8,26) + TIME(12,22,13)</f>
        <v>41147.515428240738</v>
      </c>
      <c r="C1424">
        <v>90</v>
      </c>
      <c r="D1424">
        <v>89.945549010999997</v>
      </c>
      <c r="E1424">
        <v>30</v>
      </c>
      <c r="F1424">
        <v>28.110843658</v>
      </c>
      <c r="G1424">
        <v>1378.5130615</v>
      </c>
      <c r="H1424">
        <v>1366.0958252</v>
      </c>
      <c r="I1424">
        <v>1271.4710693</v>
      </c>
      <c r="J1424">
        <v>1242.3360596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850.01478699999996</v>
      </c>
      <c r="B1425" s="1">
        <f>DATE(2012,8,28) + TIME(0,21,17)</f>
        <v>41149.014780092592</v>
      </c>
      <c r="C1425">
        <v>90</v>
      </c>
      <c r="D1425">
        <v>89.945579529</v>
      </c>
      <c r="E1425">
        <v>30</v>
      </c>
      <c r="F1425">
        <v>28.178544998</v>
      </c>
      <c r="G1425">
        <v>1378.4473877</v>
      </c>
      <c r="H1425">
        <v>1366.0377197</v>
      </c>
      <c r="I1425">
        <v>1271.4930420000001</v>
      </c>
      <c r="J1425">
        <v>1242.3432617000001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851.53379500000005</v>
      </c>
      <c r="B1426" s="1">
        <f>DATE(2012,8,29) + TIME(12,48,39)</f>
        <v>41150.533784722225</v>
      </c>
      <c r="C1426">
        <v>90</v>
      </c>
      <c r="D1426">
        <v>89.945610045999999</v>
      </c>
      <c r="E1426">
        <v>30</v>
      </c>
      <c r="F1426">
        <v>28.254293442000002</v>
      </c>
      <c r="G1426">
        <v>1378.3812256000001</v>
      </c>
      <c r="H1426">
        <v>1365.9792480000001</v>
      </c>
      <c r="I1426">
        <v>1271.5175781</v>
      </c>
      <c r="J1426">
        <v>1242.3548584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852.29736500000001</v>
      </c>
      <c r="B1427" s="1">
        <f>DATE(2012,8,30) + TIME(7,8,12)</f>
        <v>41151.297361111108</v>
      </c>
      <c r="C1427">
        <v>90</v>
      </c>
      <c r="D1427">
        <v>89.945610045999999</v>
      </c>
      <c r="E1427">
        <v>30</v>
      </c>
      <c r="F1427">
        <v>28.31640625</v>
      </c>
      <c r="G1427">
        <v>1378.3148193</v>
      </c>
      <c r="H1427">
        <v>1365.9204102000001</v>
      </c>
      <c r="I1427">
        <v>1271.5540771000001</v>
      </c>
      <c r="J1427">
        <v>1242.3730469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853.73688300000003</v>
      </c>
      <c r="B1428" s="1">
        <f>DATE(2012,8,31) + TIME(17,41,6)</f>
        <v>41152.736875000002</v>
      </c>
      <c r="C1428">
        <v>90</v>
      </c>
      <c r="D1428">
        <v>89.945648192999997</v>
      </c>
      <c r="E1428">
        <v>30</v>
      </c>
      <c r="F1428">
        <v>28.390520095999999</v>
      </c>
      <c r="G1428">
        <v>1378.2811279</v>
      </c>
      <c r="H1428">
        <v>1365.8905029</v>
      </c>
      <c r="I1428">
        <v>1271.5576172000001</v>
      </c>
      <c r="J1428">
        <v>1242.3817139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854</v>
      </c>
      <c r="B1429" s="1">
        <f>DATE(2012,9,1) + TIME(0,0,0)</f>
        <v>41153</v>
      </c>
      <c r="C1429">
        <v>90</v>
      </c>
      <c r="D1429">
        <v>89.945640564000001</v>
      </c>
      <c r="E1429">
        <v>30</v>
      </c>
      <c r="F1429">
        <v>28.423776626999999</v>
      </c>
      <c r="G1429">
        <v>1378.2205810999999</v>
      </c>
      <c r="H1429">
        <v>1365.8369141000001</v>
      </c>
      <c r="I1429">
        <v>1271.6096190999999</v>
      </c>
      <c r="J1429">
        <v>1242.4064940999999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855.50616300000002</v>
      </c>
      <c r="B1430" s="1">
        <f>DATE(2012,9,2) + TIME(12,8,52)</f>
        <v>41154.506157407406</v>
      </c>
      <c r="C1430">
        <v>90</v>
      </c>
      <c r="D1430">
        <v>89.945686339999995</v>
      </c>
      <c r="E1430">
        <v>30</v>
      </c>
      <c r="F1430">
        <v>28.504331589</v>
      </c>
      <c r="G1430">
        <v>1378.2070312000001</v>
      </c>
      <c r="H1430">
        <v>1365.824707</v>
      </c>
      <c r="I1430">
        <v>1271.5915527</v>
      </c>
      <c r="J1430">
        <v>1242.4095459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857.01566600000001</v>
      </c>
      <c r="B1431" s="1">
        <f>DATE(2012,9,4) + TIME(0,22,33)</f>
        <v>41156.015659722223</v>
      </c>
      <c r="C1431">
        <v>90</v>
      </c>
      <c r="D1431">
        <v>89.945716857999997</v>
      </c>
      <c r="E1431">
        <v>30</v>
      </c>
      <c r="F1431">
        <v>28.604608536000001</v>
      </c>
      <c r="G1431">
        <v>1378.1425781</v>
      </c>
      <c r="H1431">
        <v>1365.7673339999999</v>
      </c>
      <c r="I1431">
        <v>1271.6274414</v>
      </c>
      <c r="J1431">
        <v>1242.4394531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857.77425700000003</v>
      </c>
      <c r="B1432" s="1">
        <f>DATE(2012,9,4) + TIME(18,34,55)</f>
        <v>41156.774247685185</v>
      </c>
      <c r="C1432">
        <v>90</v>
      </c>
      <c r="D1432">
        <v>89.945724487000007</v>
      </c>
      <c r="E1432">
        <v>30</v>
      </c>
      <c r="F1432">
        <v>28.688562393000002</v>
      </c>
      <c r="G1432">
        <v>1378.0778809000001</v>
      </c>
      <c r="H1432">
        <v>1365.7098389</v>
      </c>
      <c r="I1432">
        <v>1271.6756591999999</v>
      </c>
      <c r="J1432">
        <v>1242.4750977000001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859.21410600000002</v>
      </c>
      <c r="B1433" s="1">
        <f>DATE(2012,9,6) + TIME(5,8,18)</f>
        <v>41158.214097222219</v>
      </c>
      <c r="C1433">
        <v>90</v>
      </c>
      <c r="D1433">
        <v>89.945755004999995</v>
      </c>
      <c r="E1433">
        <v>30</v>
      </c>
      <c r="F1433">
        <v>28.788827896000001</v>
      </c>
      <c r="G1433">
        <v>1378.0450439000001</v>
      </c>
      <c r="H1433">
        <v>1365.6804199000001</v>
      </c>
      <c r="I1433">
        <v>1271.6820068</v>
      </c>
      <c r="J1433">
        <v>1242.4964600000001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859.961904</v>
      </c>
      <c r="B1434" s="1">
        <f>DATE(2012,9,6) + TIME(23,5,8)</f>
        <v>41158.961898148147</v>
      </c>
      <c r="C1434">
        <v>90</v>
      </c>
      <c r="D1434">
        <v>89.945762634000005</v>
      </c>
      <c r="E1434">
        <v>30</v>
      </c>
      <c r="F1434">
        <v>28.877786636</v>
      </c>
      <c r="G1434">
        <v>1377.9842529</v>
      </c>
      <c r="H1434">
        <v>1365.6262207</v>
      </c>
      <c r="I1434">
        <v>1271.7331543</v>
      </c>
      <c r="J1434">
        <v>1242.5379639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861.38594499999999</v>
      </c>
      <c r="B1435" s="1">
        <f>DATE(2012,9,8) + TIME(9,15,45)</f>
        <v>41160.385937500003</v>
      </c>
      <c r="C1435">
        <v>90</v>
      </c>
      <c r="D1435">
        <v>89.945800781000003</v>
      </c>
      <c r="E1435">
        <v>30</v>
      </c>
      <c r="F1435">
        <v>28.986204146999999</v>
      </c>
      <c r="G1435">
        <v>1377.9521483999999</v>
      </c>
      <c r="H1435">
        <v>1365.5974120999999</v>
      </c>
      <c r="I1435">
        <v>1271.7413329999999</v>
      </c>
      <c r="J1435">
        <v>1242.5646973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862.86120000000005</v>
      </c>
      <c r="B1436" s="1">
        <f>DATE(2012,9,9) + TIME(20,40,7)</f>
        <v>41161.861192129632</v>
      </c>
      <c r="C1436">
        <v>90</v>
      </c>
      <c r="D1436">
        <v>89.945831299000005</v>
      </c>
      <c r="E1436">
        <v>30</v>
      </c>
      <c r="F1436">
        <v>29.118591308999999</v>
      </c>
      <c r="G1436">
        <v>1377.8923339999999</v>
      </c>
      <c r="H1436">
        <v>1365.5439452999999</v>
      </c>
      <c r="I1436">
        <v>1271.7851562000001</v>
      </c>
      <c r="J1436">
        <v>1242.6151123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864.34031800000002</v>
      </c>
      <c r="B1437" s="1">
        <f>DATE(2012,9,11) + TIME(8,10,3)</f>
        <v>41163.340312499997</v>
      </c>
      <c r="C1437">
        <v>90</v>
      </c>
      <c r="D1437">
        <v>89.945869446000003</v>
      </c>
      <c r="E1437">
        <v>30</v>
      </c>
      <c r="F1437">
        <v>29.268476486000001</v>
      </c>
      <c r="G1437">
        <v>1377.8304443</v>
      </c>
      <c r="H1437">
        <v>1365.4885254000001</v>
      </c>
      <c r="I1437">
        <v>1271.8325195</v>
      </c>
      <c r="J1437">
        <v>1242.6739502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865.82828700000005</v>
      </c>
      <c r="B1438" s="1">
        <f>DATE(2012,9,12) + TIME(19,52,44)</f>
        <v>41164.828287037039</v>
      </c>
      <c r="C1438">
        <v>90</v>
      </c>
      <c r="D1438">
        <v>89.945899963000002</v>
      </c>
      <c r="E1438">
        <v>30</v>
      </c>
      <c r="F1438">
        <v>29.432483673</v>
      </c>
      <c r="G1438">
        <v>1377.7686768000001</v>
      </c>
      <c r="H1438">
        <v>1365.4332274999999</v>
      </c>
      <c r="I1438">
        <v>1271.8819579999999</v>
      </c>
      <c r="J1438">
        <v>1242.7398682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866.57846300000006</v>
      </c>
      <c r="B1439" s="1">
        <f>DATE(2012,9,13) + TIME(13,52,59)</f>
        <v>41165.578460648147</v>
      </c>
      <c r="C1439">
        <v>90</v>
      </c>
      <c r="D1439">
        <v>89.945907593000001</v>
      </c>
      <c r="E1439">
        <v>30</v>
      </c>
      <c r="F1439">
        <v>29.563594817999999</v>
      </c>
      <c r="G1439">
        <v>1377.7070312000001</v>
      </c>
      <c r="H1439">
        <v>1365.3779297000001</v>
      </c>
      <c r="I1439">
        <v>1271.9487305</v>
      </c>
      <c r="J1439">
        <v>1242.8092041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867.96073999999999</v>
      </c>
      <c r="B1440" s="1">
        <f>DATE(2012,9,14) + TIME(23,3,27)</f>
        <v>41166.960729166669</v>
      </c>
      <c r="C1440">
        <v>90</v>
      </c>
      <c r="D1440">
        <v>89.94593811</v>
      </c>
      <c r="E1440">
        <v>30</v>
      </c>
      <c r="F1440">
        <v>29.715826034999999</v>
      </c>
      <c r="G1440">
        <v>1377.6754149999999</v>
      </c>
      <c r="H1440">
        <v>1365.3494873</v>
      </c>
      <c r="I1440">
        <v>1271.9591064000001</v>
      </c>
      <c r="J1440">
        <v>1242.8557129000001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869.42666499999996</v>
      </c>
      <c r="B1441" s="1">
        <f>DATE(2012,9,16) + TIME(10,14,23)</f>
        <v>41168.426655092589</v>
      </c>
      <c r="C1441">
        <v>90</v>
      </c>
      <c r="D1441">
        <v>89.945976256999998</v>
      </c>
      <c r="E1441">
        <v>30</v>
      </c>
      <c r="F1441">
        <v>29.894586563000001</v>
      </c>
      <c r="G1441">
        <v>1377.6187743999999</v>
      </c>
      <c r="H1441">
        <v>1365.2984618999999</v>
      </c>
      <c r="I1441">
        <v>1272.012207</v>
      </c>
      <c r="J1441">
        <v>1242.9333495999999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870.89362600000004</v>
      </c>
      <c r="B1442" s="1">
        <f>DATE(2012,9,17) + TIME(21,26,49)</f>
        <v>41169.893622685187</v>
      </c>
      <c r="C1442">
        <v>90</v>
      </c>
      <c r="D1442">
        <v>89.946006775000001</v>
      </c>
      <c r="E1442">
        <v>30</v>
      </c>
      <c r="F1442">
        <v>30.094472884999998</v>
      </c>
      <c r="G1442">
        <v>1377.5587158000001</v>
      </c>
      <c r="H1442">
        <v>1365.2443848</v>
      </c>
      <c r="I1442">
        <v>1272.0714111</v>
      </c>
      <c r="J1442">
        <v>1243.0224608999999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872.36625500000002</v>
      </c>
      <c r="B1443" s="1">
        <f>DATE(2012,9,19) + TIME(8,47,24)</f>
        <v>41171.366249999999</v>
      </c>
      <c r="C1443">
        <v>90</v>
      </c>
      <c r="D1443">
        <v>89.946037292</v>
      </c>
      <c r="E1443">
        <v>30</v>
      </c>
      <c r="F1443">
        <v>30.310407639000001</v>
      </c>
      <c r="G1443">
        <v>1377.4989014</v>
      </c>
      <c r="H1443">
        <v>1365.1905518000001</v>
      </c>
      <c r="I1443">
        <v>1272.1324463000001</v>
      </c>
      <c r="J1443">
        <v>1243.119751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873.10801200000003</v>
      </c>
      <c r="B1444" s="1">
        <f>DATE(2012,9,20) + TIME(2,35,32)</f>
        <v>41172.10800925926</v>
      </c>
      <c r="C1444">
        <v>90</v>
      </c>
      <c r="D1444">
        <v>89.946044921999999</v>
      </c>
      <c r="E1444">
        <v>30</v>
      </c>
      <c r="F1444">
        <v>30.480922699000001</v>
      </c>
      <c r="G1444">
        <v>1377.4393310999999</v>
      </c>
      <c r="H1444">
        <v>1365.1368408000001</v>
      </c>
      <c r="I1444">
        <v>1272.213501</v>
      </c>
      <c r="J1444">
        <v>1243.2176514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874.46502399999997</v>
      </c>
      <c r="B1445" s="1">
        <f>DATE(2012,9,21) + TIME(11,9,38)</f>
        <v>41173.46502314815</v>
      </c>
      <c r="C1445">
        <v>90</v>
      </c>
      <c r="D1445">
        <v>89.946083068999997</v>
      </c>
      <c r="E1445">
        <v>30</v>
      </c>
      <c r="F1445">
        <v>30.676593781000001</v>
      </c>
      <c r="G1445">
        <v>1377.4088135</v>
      </c>
      <c r="H1445">
        <v>1365.1092529</v>
      </c>
      <c r="I1445">
        <v>1272.2265625</v>
      </c>
      <c r="J1445">
        <v>1243.2855225000001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875.91468199999997</v>
      </c>
      <c r="B1446" s="1">
        <f>DATE(2012,9,22) + TIME(21,57,8)</f>
        <v>41174.914675925924</v>
      </c>
      <c r="C1446">
        <v>90</v>
      </c>
      <c r="D1446">
        <v>89.946113585999996</v>
      </c>
      <c r="E1446">
        <v>30</v>
      </c>
      <c r="F1446">
        <v>30.903623581000002</v>
      </c>
      <c r="G1446">
        <v>1377.3544922000001</v>
      </c>
      <c r="H1446">
        <v>1365.0600586</v>
      </c>
      <c r="I1446">
        <v>1272.2893065999999</v>
      </c>
      <c r="J1446">
        <v>1243.3922118999999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877.36897799999997</v>
      </c>
      <c r="B1447" s="1">
        <f>DATE(2012,9,24) + TIME(8,51,19)</f>
        <v>41176.368969907409</v>
      </c>
      <c r="C1447">
        <v>90</v>
      </c>
      <c r="D1447">
        <v>89.946151732999994</v>
      </c>
      <c r="E1447">
        <v>30</v>
      </c>
      <c r="F1447">
        <v>31.155279159999999</v>
      </c>
      <c r="G1447">
        <v>1377.2965088000001</v>
      </c>
      <c r="H1447">
        <v>1365.0076904</v>
      </c>
      <c r="I1447">
        <v>1272.3594971</v>
      </c>
      <c r="J1447">
        <v>1243.5130615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878.83211500000004</v>
      </c>
      <c r="B1448" s="1">
        <f>DATE(2012,9,25) + TIME(19,58,14)</f>
        <v>41177.832106481481</v>
      </c>
      <c r="C1448">
        <v>90</v>
      </c>
      <c r="D1448">
        <v>89.946182250999996</v>
      </c>
      <c r="E1448">
        <v>30</v>
      </c>
      <c r="F1448">
        <v>31.424531937000001</v>
      </c>
      <c r="G1448">
        <v>1377.2386475000001</v>
      </c>
      <c r="H1448">
        <v>1364.9553223</v>
      </c>
      <c r="I1448">
        <v>1272.4312743999999</v>
      </c>
      <c r="J1448">
        <v>1243.6428223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880.30994399999997</v>
      </c>
      <c r="B1449" s="1">
        <f>DATE(2012,9,27) + TIME(7,26,19)</f>
        <v>41179.309942129628</v>
      </c>
      <c r="C1449">
        <v>90</v>
      </c>
      <c r="D1449">
        <v>89.946220397999994</v>
      </c>
      <c r="E1449">
        <v>30</v>
      </c>
      <c r="F1449">
        <v>31.709497452000001</v>
      </c>
      <c r="G1449">
        <v>1377.1807861</v>
      </c>
      <c r="H1449">
        <v>1364.902832</v>
      </c>
      <c r="I1449">
        <v>1272.5054932</v>
      </c>
      <c r="J1449">
        <v>1243.78125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881.79183699999999</v>
      </c>
      <c r="B1450" s="1">
        <f>DATE(2012,9,28) + TIME(19,0,14)</f>
        <v>41180.791828703703</v>
      </c>
      <c r="C1450">
        <v>90</v>
      </c>
      <c r="D1450">
        <v>89.946250915999997</v>
      </c>
      <c r="E1450">
        <v>30</v>
      </c>
      <c r="F1450">
        <v>32.009098053000002</v>
      </c>
      <c r="G1450">
        <v>1377.1226807</v>
      </c>
      <c r="H1450">
        <v>1364.8502197</v>
      </c>
      <c r="I1450">
        <v>1272.5828856999999</v>
      </c>
      <c r="J1450">
        <v>1243.9283447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883.27438299999994</v>
      </c>
      <c r="B1451" s="1">
        <f>DATE(2012,9,30) + TIME(6,35,6)</f>
        <v>41182.274375000001</v>
      </c>
      <c r="C1451">
        <v>90</v>
      </c>
      <c r="D1451">
        <v>89.946281432999996</v>
      </c>
      <c r="E1451">
        <v>30</v>
      </c>
      <c r="F1451">
        <v>32.321922301999997</v>
      </c>
      <c r="G1451">
        <v>1377.0648193</v>
      </c>
      <c r="H1451">
        <v>1364.7977295000001</v>
      </c>
      <c r="I1451">
        <v>1272.6628418</v>
      </c>
      <c r="J1451">
        <v>1244.0832519999999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884</v>
      </c>
      <c r="B1452" s="1">
        <f>DATE(2012,10,1) + TIME(0,0,0)</f>
        <v>41183</v>
      </c>
      <c r="C1452">
        <v>90</v>
      </c>
      <c r="D1452">
        <v>89.946296692000004</v>
      </c>
      <c r="E1452">
        <v>30</v>
      </c>
      <c r="F1452">
        <v>32.560543060000001</v>
      </c>
      <c r="G1452">
        <v>1377.0078125</v>
      </c>
      <c r="H1452">
        <v>1364.7458495999999</v>
      </c>
      <c r="I1452">
        <v>1272.7661132999999</v>
      </c>
      <c r="J1452">
        <v>1244.2304687999999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885.49251000000004</v>
      </c>
      <c r="B1453" s="1">
        <f>DATE(2012,10,2) + TIME(11,49,12)</f>
        <v>41184.4925</v>
      </c>
      <c r="C1453">
        <v>90</v>
      </c>
      <c r="D1453">
        <v>89.946334839000002</v>
      </c>
      <c r="E1453">
        <v>30</v>
      </c>
      <c r="F1453">
        <v>32.839492798000002</v>
      </c>
      <c r="G1453">
        <v>1376.9790039</v>
      </c>
      <c r="H1453">
        <v>1364.7197266000001</v>
      </c>
      <c r="I1453">
        <v>1272.7808838000001</v>
      </c>
      <c r="J1453">
        <v>1244.3361815999999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887.00983299999996</v>
      </c>
      <c r="B1454" s="1">
        <f>DATE(2012,10,4) + TIME(0,14,9)</f>
        <v>41186.009826388887</v>
      </c>
      <c r="C1454">
        <v>90</v>
      </c>
      <c r="D1454">
        <v>89.946372986</v>
      </c>
      <c r="E1454">
        <v>30</v>
      </c>
      <c r="F1454">
        <v>33.166435241999999</v>
      </c>
      <c r="G1454">
        <v>1376.9221190999999</v>
      </c>
      <c r="H1454">
        <v>1364.6679687999999</v>
      </c>
      <c r="I1454">
        <v>1272.8699951000001</v>
      </c>
      <c r="J1454">
        <v>1244.505249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888.55009099999995</v>
      </c>
      <c r="B1455" s="1">
        <f>DATE(2012,10,5) + TIME(13,12,7)</f>
        <v>41187.550081018519</v>
      </c>
      <c r="C1455">
        <v>90</v>
      </c>
      <c r="D1455">
        <v>89.946411132999998</v>
      </c>
      <c r="E1455">
        <v>30</v>
      </c>
      <c r="F1455">
        <v>33.520401001000003</v>
      </c>
      <c r="G1455">
        <v>1376.8643798999999</v>
      </c>
      <c r="H1455">
        <v>1364.6153564000001</v>
      </c>
      <c r="I1455">
        <v>1272.9605713000001</v>
      </c>
      <c r="J1455">
        <v>1244.6870117000001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890.10345199999995</v>
      </c>
      <c r="B1456" s="1">
        <f>DATE(2012,10,7) + TIME(2,28,58)</f>
        <v>41189.103449074071</v>
      </c>
      <c r="C1456">
        <v>90</v>
      </c>
      <c r="D1456">
        <v>89.946441649999997</v>
      </c>
      <c r="E1456">
        <v>30</v>
      </c>
      <c r="F1456">
        <v>33.892749786000003</v>
      </c>
      <c r="G1456">
        <v>1376.8061522999999</v>
      </c>
      <c r="H1456">
        <v>1364.5623779</v>
      </c>
      <c r="I1456">
        <v>1273.0540771000001</v>
      </c>
      <c r="J1456">
        <v>1244.8792725000001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891.67522199999996</v>
      </c>
      <c r="B1457" s="1">
        <f>DATE(2012,10,8) + TIME(16,12,19)</f>
        <v>41190.675219907411</v>
      </c>
      <c r="C1457">
        <v>90</v>
      </c>
      <c r="D1457">
        <v>89.946479796999995</v>
      </c>
      <c r="E1457">
        <v>30</v>
      </c>
      <c r="F1457">
        <v>34.279590607000003</v>
      </c>
      <c r="G1457">
        <v>1376.7480469</v>
      </c>
      <c r="H1457">
        <v>1364.5093993999999</v>
      </c>
      <c r="I1457">
        <v>1273.1502685999999</v>
      </c>
      <c r="J1457">
        <v>1245.0802002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893.27049199999999</v>
      </c>
      <c r="B1458" s="1">
        <f>DATE(2012,10,10) + TIME(6,29,30)</f>
        <v>41192.270486111112</v>
      </c>
      <c r="C1458">
        <v>90</v>
      </c>
      <c r="D1458">
        <v>89.946517943999993</v>
      </c>
      <c r="E1458">
        <v>30</v>
      </c>
      <c r="F1458">
        <v>34.679920197000001</v>
      </c>
      <c r="G1458">
        <v>1376.6896973</v>
      </c>
      <c r="H1458">
        <v>1364.4562988</v>
      </c>
      <c r="I1458">
        <v>1273.2493896000001</v>
      </c>
      <c r="J1458">
        <v>1245.2897949000001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894.89507000000003</v>
      </c>
      <c r="B1459" s="1">
        <f>DATE(2012,10,11) + TIME(21,28,54)</f>
        <v>41193.895069444443</v>
      </c>
      <c r="C1459">
        <v>90</v>
      </c>
      <c r="D1459">
        <v>89.946556091000005</v>
      </c>
      <c r="E1459">
        <v>30</v>
      </c>
      <c r="F1459">
        <v>35.093727112000003</v>
      </c>
      <c r="G1459">
        <v>1376.6309814000001</v>
      </c>
      <c r="H1459">
        <v>1364.4027100000001</v>
      </c>
      <c r="I1459">
        <v>1273.3521728999999</v>
      </c>
      <c r="J1459">
        <v>1245.5083007999999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896.55443100000002</v>
      </c>
      <c r="B1460" s="1">
        <f>DATE(2012,10,13) + TIME(13,18,22)</f>
        <v>41195.5544212963</v>
      </c>
      <c r="C1460">
        <v>90</v>
      </c>
      <c r="D1460">
        <v>89.946601868000002</v>
      </c>
      <c r="E1460">
        <v>30</v>
      </c>
      <c r="F1460">
        <v>35.521263122999997</v>
      </c>
      <c r="G1460">
        <v>1376.5718993999999</v>
      </c>
      <c r="H1460">
        <v>1364.3488769999999</v>
      </c>
      <c r="I1460">
        <v>1273.4588623</v>
      </c>
      <c r="J1460">
        <v>1245.7360839999999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898.25397999999996</v>
      </c>
      <c r="B1461" s="1">
        <f>DATE(2012,10,15) + TIME(6,5,43)</f>
        <v>41197.253969907404</v>
      </c>
      <c r="C1461">
        <v>90</v>
      </c>
      <c r="D1461">
        <v>89.946640015</v>
      </c>
      <c r="E1461">
        <v>30</v>
      </c>
      <c r="F1461">
        <v>35.962871552000003</v>
      </c>
      <c r="G1461">
        <v>1376.512207</v>
      </c>
      <c r="H1461">
        <v>1364.2943115</v>
      </c>
      <c r="I1461">
        <v>1273.5698242000001</v>
      </c>
      <c r="J1461">
        <v>1245.9737548999999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899.99952099999996</v>
      </c>
      <c r="B1462" s="1">
        <f>DATE(2012,10,16) + TIME(23,59,18)</f>
        <v>41198.999513888892</v>
      </c>
      <c r="C1462">
        <v>90</v>
      </c>
      <c r="D1462">
        <v>89.946678161999998</v>
      </c>
      <c r="E1462">
        <v>30</v>
      </c>
      <c r="F1462">
        <v>36.418922424000002</v>
      </c>
      <c r="G1462">
        <v>1376.4516602000001</v>
      </c>
      <c r="H1462">
        <v>1364.2390137</v>
      </c>
      <c r="I1462">
        <v>1273.6856689000001</v>
      </c>
      <c r="J1462">
        <v>1246.2218018000001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901.78031699999997</v>
      </c>
      <c r="B1463" s="1">
        <f>DATE(2012,10,18) + TIME(18,43,39)</f>
        <v>41200.780312499999</v>
      </c>
      <c r="C1463">
        <v>90</v>
      </c>
      <c r="D1463">
        <v>89.946723938000005</v>
      </c>
      <c r="E1463">
        <v>30</v>
      </c>
      <c r="F1463">
        <v>36.888412475999999</v>
      </c>
      <c r="G1463">
        <v>1376.3902588000001</v>
      </c>
      <c r="H1463">
        <v>1364.1829834</v>
      </c>
      <c r="I1463">
        <v>1273.8068848</v>
      </c>
      <c r="J1463">
        <v>1246.4803466999999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903.59075199999995</v>
      </c>
      <c r="B1464" s="1">
        <f>DATE(2012,10,20) + TIME(14,10,40)</f>
        <v>41202.590740740743</v>
      </c>
      <c r="C1464">
        <v>90</v>
      </c>
      <c r="D1464">
        <v>89.946769713999998</v>
      </c>
      <c r="E1464">
        <v>30</v>
      </c>
      <c r="F1464">
        <v>37.368438720999997</v>
      </c>
      <c r="G1464">
        <v>1376.3283690999999</v>
      </c>
      <c r="H1464">
        <v>1364.1264647999999</v>
      </c>
      <c r="I1464">
        <v>1273.9326172000001</v>
      </c>
      <c r="J1464">
        <v>1246.7479248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905.41734499999995</v>
      </c>
      <c r="B1465" s="1">
        <f>DATE(2012,10,22) + TIME(10,0,58)</f>
        <v>41204.417337962965</v>
      </c>
      <c r="C1465">
        <v>90</v>
      </c>
      <c r="D1465">
        <v>89.946815490999995</v>
      </c>
      <c r="E1465">
        <v>30</v>
      </c>
      <c r="F1465">
        <v>37.855377197000003</v>
      </c>
      <c r="G1465">
        <v>1376.2662353999999</v>
      </c>
      <c r="H1465">
        <v>1364.0697021000001</v>
      </c>
      <c r="I1465">
        <v>1274.0625</v>
      </c>
      <c r="J1465">
        <v>1247.0230713000001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907.26591499999995</v>
      </c>
      <c r="B1466" s="1">
        <f>DATE(2012,10,24) + TIME(6,22,55)</f>
        <v>41206.265914351854</v>
      </c>
      <c r="C1466">
        <v>90</v>
      </c>
      <c r="D1466">
        <v>89.946861267000003</v>
      </c>
      <c r="E1466">
        <v>30</v>
      </c>
      <c r="F1466">
        <v>38.345829010000003</v>
      </c>
      <c r="G1466">
        <v>1376.2044678</v>
      </c>
      <c r="H1466">
        <v>1364.0133057</v>
      </c>
      <c r="I1466">
        <v>1274.1954346</v>
      </c>
      <c r="J1466">
        <v>1247.3035889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909.14280399999996</v>
      </c>
      <c r="B1467" s="1">
        <f>DATE(2012,10,26) + TIME(3,25,38)</f>
        <v>41208.142800925925</v>
      </c>
      <c r="C1467">
        <v>90</v>
      </c>
      <c r="D1467">
        <v>89.946907042999996</v>
      </c>
      <c r="E1467">
        <v>30</v>
      </c>
      <c r="F1467">
        <v>38.838855743000003</v>
      </c>
      <c r="G1467">
        <v>1376.1428223</v>
      </c>
      <c r="H1467">
        <v>1363.9570312000001</v>
      </c>
      <c r="I1467">
        <v>1274.331543</v>
      </c>
      <c r="J1467">
        <v>1247.5895995999999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911.04969000000006</v>
      </c>
      <c r="B1468" s="1">
        <f>DATE(2012,10,28) + TIME(1,11,33)</f>
        <v>41210.049687500003</v>
      </c>
      <c r="C1468">
        <v>90</v>
      </c>
      <c r="D1468">
        <v>89.946952820000007</v>
      </c>
      <c r="E1468">
        <v>30</v>
      </c>
      <c r="F1468">
        <v>39.333938599</v>
      </c>
      <c r="G1468">
        <v>1376.0811768000001</v>
      </c>
      <c r="H1468">
        <v>1363.9007568</v>
      </c>
      <c r="I1468">
        <v>1274.4714355000001</v>
      </c>
      <c r="J1468">
        <v>1247.8811035000001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912.98615500000005</v>
      </c>
      <c r="B1469" s="1">
        <f>DATE(2012,10,29) + TIME(23,40,3)</f>
        <v>41211.986145833333</v>
      </c>
      <c r="C1469">
        <v>90</v>
      </c>
      <c r="D1469">
        <v>89.946998596</v>
      </c>
      <c r="E1469">
        <v>30</v>
      </c>
      <c r="F1469">
        <v>39.830051421999997</v>
      </c>
      <c r="G1469">
        <v>1376.0195312000001</v>
      </c>
      <c r="H1469">
        <v>1363.8443603999999</v>
      </c>
      <c r="I1469">
        <v>1274.6151123</v>
      </c>
      <c r="J1469">
        <v>1248.1779785000001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913.99307799999997</v>
      </c>
      <c r="B1470" s="1">
        <f>DATE(2012,10,30) + TIME(23,50,1)</f>
        <v>41212.993067129632</v>
      </c>
      <c r="C1470">
        <v>90</v>
      </c>
      <c r="D1470">
        <v>89.947013854999994</v>
      </c>
      <c r="E1470">
        <v>30</v>
      </c>
      <c r="F1470">
        <v>40.224491119</v>
      </c>
      <c r="G1470">
        <v>1375.9582519999999</v>
      </c>
      <c r="H1470">
        <v>1363.7884521000001</v>
      </c>
      <c r="I1470">
        <v>1274.7774658000001</v>
      </c>
      <c r="J1470">
        <v>1248.4544678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915</v>
      </c>
      <c r="B1471" s="1">
        <f>DATE(2012,11,1) + TIME(0,0,0)</f>
        <v>41214</v>
      </c>
      <c r="C1471">
        <v>90</v>
      </c>
      <c r="D1471">
        <v>89.947036742999998</v>
      </c>
      <c r="E1471">
        <v>30</v>
      </c>
      <c r="F1471">
        <v>40.53609848</v>
      </c>
      <c r="G1471">
        <v>1375.9261475000001</v>
      </c>
      <c r="H1471">
        <v>1363.7591553</v>
      </c>
      <c r="I1471">
        <v>1274.8493652</v>
      </c>
      <c r="J1471">
        <v>1248.6319579999999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915.000001</v>
      </c>
      <c r="B1472" s="1">
        <f>DATE(2012,11,1) + TIME(0,0,0)</f>
        <v>41214</v>
      </c>
      <c r="C1472">
        <v>90</v>
      </c>
      <c r="D1472">
        <v>89.946907042999996</v>
      </c>
      <c r="E1472">
        <v>30</v>
      </c>
      <c r="F1472">
        <v>40.536209106000001</v>
      </c>
      <c r="G1472">
        <v>1362.8883057</v>
      </c>
      <c r="H1472">
        <v>1352.4443358999999</v>
      </c>
      <c r="I1472">
        <v>1302.6781006000001</v>
      </c>
      <c r="J1472">
        <v>1275.8808594</v>
      </c>
      <c r="K1472">
        <v>0</v>
      </c>
      <c r="L1472">
        <v>2400</v>
      </c>
      <c r="M1472">
        <v>2400</v>
      </c>
      <c r="N1472">
        <v>0</v>
      </c>
    </row>
    <row r="1473" spans="1:14" x14ac:dyDescent="0.25">
      <c r="A1473">
        <v>915.00000399999999</v>
      </c>
      <c r="B1473" s="1">
        <f>DATE(2012,11,1) + TIME(0,0,0)</f>
        <v>41214</v>
      </c>
      <c r="C1473">
        <v>90</v>
      </c>
      <c r="D1473">
        <v>89.946586608999993</v>
      </c>
      <c r="E1473">
        <v>30</v>
      </c>
      <c r="F1473">
        <v>40.536502837999997</v>
      </c>
      <c r="G1473">
        <v>1360.7281493999999</v>
      </c>
      <c r="H1473">
        <v>1350.2836914</v>
      </c>
      <c r="I1473">
        <v>1305.1347656</v>
      </c>
      <c r="J1473">
        <v>1278.6754149999999</v>
      </c>
      <c r="K1473">
        <v>0</v>
      </c>
      <c r="L1473">
        <v>2400</v>
      </c>
      <c r="M1473">
        <v>2400</v>
      </c>
      <c r="N1473">
        <v>0</v>
      </c>
    </row>
    <row r="1474" spans="1:14" x14ac:dyDescent="0.25">
      <c r="A1474">
        <v>915.00001299999997</v>
      </c>
      <c r="B1474" s="1">
        <f>DATE(2012,11,1) + TIME(0,0,1)</f>
        <v>41214.000011574077</v>
      </c>
      <c r="C1474">
        <v>90</v>
      </c>
      <c r="D1474">
        <v>89.945968628000003</v>
      </c>
      <c r="E1474">
        <v>30</v>
      </c>
      <c r="F1474">
        <v>40.537162780999999</v>
      </c>
      <c r="G1474">
        <v>1356.5074463000001</v>
      </c>
      <c r="H1474">
        <v>1346.0625</v>
      </c>
      <c r="I1474">
        <v>1311.0207519999999</v>
      </c>
      <c r="J1474">
        <v>1285.1673584</v>
      </c>
      <c r="K1474">
        <v>0</v>
      </c>
      <c r="L1474">
        <v>2400</v>
      </c>
      <c r="M1474">
        <v>2400</v>
      </c>
      <c r="N1474">
        <v>0</v>
      </c>
    </row>
    <row r="1475" spans="1:14" x14ac:dyDescent="0.25">
      <c r="A1475">
        <v>915.00004000000001</v>
      </c>
      <c r="B1475" s="1">
        <f>DATE(2012,11,1) + TIME(0,0,3)</f>
        <v>41214.000034722223</v>
      </c>
      <c r="C1475">
        <v>90</v>
      </c>
      <c r="D1475">
        <v>89.945091247999997</v>
      </c>
      <c r="E1475">
        <v>30</v>
      </c>
      <c r="F1475">
        <v>40.538143157999997</v>
      </c>
      <c r="G1475">
        <v>1350.5616454999999</v>
      </c>
      <c r="H1475">
        <v>1340.1188964999999</v>
      </c>
      <c r="I1475">
        <v>1321.8483887</v>
      </c>
      <c r="J1475">
        <v>1296.4909668</v>
      </c>
      <c r="K1475">
        <v>0</v>
      </c>
      <c r="L1475">
        <v>2400</v>
      </c>
      <c r="M1475">
        <v>2400</v>
      </c>
      <c r="N1475">
        <v>0</v>
      </c>
    </row>
    <row r="1476" spans="1:14" x14ac:dyDescent="0.25">
      <c r="A1476">
        <v>915.00012100000004</v>
      </c>
      <c r="B1476" s="1">
        <f>DATE(2012,11,1) + TIME(0,0,10)</f>
        <v>41214.000115740739</v>
      </c>
      <c r="C1476">
        <v>90</v>
      </c>
      <c r="D1476">
        <v>89.944122313999998</v>
      </c>
      <c r="E1476">
        <v>30</v>
      </c>
      <c r="F1476">
        <v>40.538753509999999</v>
      </c>
      <c r="G1476">
        <v>1344.0789795000001</v>
      </c>
      <c r="H1476">
        <v>1333.6414795000001</v>
      </c>
      <c r="I1476">
        <v>1336.2933350000001</v>
      </c>
      <c r="J1476">
        <v>1311.0053711</v>
      </c>
      <c r="K1476">
        <v>0</v>
      </c>
      <c r="L1476">
        <v>2400</v>
      </c>
      <c r="M1476">
        <v>2400</v>
      </c>
      <c r="N1476">
        <v>0</v>
      </c>
    </row>
    <row r="1477" spans="1:14" x14ac:dyDescent="0.25">
      <c r="A1477">
        <v>915.00036399999999</v>
      </c>
      <c r="B1477" s="1">
        <f>DATE(2012,11,1) + TIME(0,0,31)</f>
        <v>41214.000358796293</v>
      </c>
      <c r="C1477">
        <v>90</v>
      </c>
      <c r="D1477">
        <v>89.943107604999994</v>
      </c>
      <c r="E1477">
        <v>30</v>
      </c>
      <c r="F1477">
        <v>40.537220001000001</v>
      </c>
      <c r="G1477">
        <v>1337.5817870999999</v>
      </c>
      <c r="H1477">
        <v>1327.1470947</v>
      </c>
      <c r="I1477">
        <v>1351.8597411999999</v>
      </c>
      <c r="J1477">
        <v>1326.5625</v>
      </c>
      <c r="K1477">
        <v>0</v>
      </c>
      <c r="L1477">
        <v>2400</v>
      </c>
      <c r="M1477">
        <v>2400</v>
      </c>
      <c r="N1477">
        <v>0</v>
      </c>
    </row>
    <row r="1478" spans="1:14" x14ac:dyDescent="0.25">
      <c r="A1478">
        <v>915.00109299999997</v>
      </c>
      <c r="B1478" s="1">
        <f>DATE(2012,11,1) + TIME(0,1,34)</f>
        <v>41214.001087962963</v>
      </c>
      <c r="C1478">
        <v>90</v>
      </c>
      <c r="D1478">
        <v>89.941963196000003</v>
      </c>
      <c r="E1478">
        <v>30</v>
      </c>
      <c r="F1478">
        <v>40.528926849000001</v>
      </c>
      <c r="G1478">
        <v>1330.9945068</v>
      </c>
      <c r="H1478">
        <v>1320.5146483999999</v>
      </c>
      <c r="I1478">
        <v>1367.6697998</v>
      </c>
      <c r="J1478">
        <v>1342.3916016000001</v>
      </c>
      <c r="K1478">
        <v>0</v>
      </c>
      <c r="L1478">
        <v>2400</v>
      </c>
      <c r="M1478">
        <v>2400</v>
      </c>
      <c r="N1478">
        <v>0</v>
      </c>
    </row>
    <row r="1479" spans="1:14" x14ac:dyDescent="0.25">
      <c r="A1479">
        <v>915.00328000000002</v>
      </c>
      <c r="B1479" s="1">
        <f>DATE(2012,11,1) + TIME(0,4,43)</f>
        <v>41214.003275462965</v>
      </c>
      <c r="C1479">
        <v>90</v>
      </c>
      <c r="D1479">
        <v>89.940383910999998</v>
      </c>
      <c r="E1479">
        <v>30</v>
      </c>
      <c r="F1479">
        <v>40.500190734999997</v>
      </c>
      <c r="G1479">
        <v>1323.9810791</v>
      </c>
      <c r="H1479">
        <v>1313.3402100000001</v>
      </c>
      <c r="I1479">
        <v>1383.4163818</v>
      </c>
      <c r="J1479">
        <v>1358.0360106999999</v>
      </c>
      <c r="K1479">
        <v>0</v>
      </c>
      <c r="L1479">
        <v>2400</v>
      </c>
      <c r="M1479">
        <v>2400</v>
      </c>
      <c r="N1479">
        <v>0</v>
      </c>
    </row>
    <row r="1480" spans="1:14" x14ac:dyDescent="0.25">
      <c r="A1480">
        <v>915.00984100000005</v>
      </c>
      <c r="B1480" s="1">
        <f>DATE(2012,11,1) + TIME(0,14,10)</f>
        <v>41214.009837962964</v>
      </c>
      <c r="C1480">
        <v>90</v>
      </c>
      <c r="D1480">
        <v>89.937660217000001</v>
      </c>
      <c r="E1480">
        <v>30</v>
      </c>
      <c r="F1480">
        <v>40.409961699999997</v>
      </c>
      <c r="G1480">
        <v>1316.6500243999999</v>
      </c>
      <c r="H1480">
        <v>1305.8225098</v>
      </c>
      <c r="I1480">
        <v>1397.6396483999999</v>
      </c>
      <c r="J1480">
        <v>1371.979126</v>
      </c>
      <c r="K1480">
        <v>0</v>
      </c>
      <c r="L1480">
        <v>2400</v>
      </c>
      <c r="M1480">
        <v>2400</v>
      </c>
      <c r="N1480">
        <v>0</v>
      </c>
    </row>
    <row r="1481" spans="1:14" x14ac:dyDescent="0.25">
      <c r="A1481">
        <v>915.02952400000004</v>
      </c>
      <c r="B1481" s="1">
        <f>DATE(2012,11,1) + TIME(0,42,30)</f>
        <v>41214.029513888891</v>
      </c>
      <c r="C1481">
        <v>90</v>
      </c>
      <c r="D1481">
        <v>89.931861877000003</v>
      </c>
      <c r="E1481">
        <v>30</v>
      </c>
      <c r="F1481">
        <v>40.140403747999997</v>
      </c>
      <c r="G1481">
        <v>1310.4693603999999</v>
      </c>
      <c r="H1481">
        <v>1299.5488281</v>
      </c>
      <c r="I1481">
        <v>1407.5662841999999</v>
      </c>
      <c r="J1481">
        <v>1381.5670166</v>
      </c>
      <c r="K1481">
        <v>0</v>
      </c>
      <c r="L1481">
        <v>2400</v>
      </c>
      <c r="M1481">
        <v>2400</v>
      </c>
      <c r="N1481">
        <v>0</v>
      </c>
    </row>
    <row r="1482" spans="1:14" x14ac:dyDescent="0.25">
      <c r="A1482">
        <v>915.08573999999999</v>
      </c>
      <c r="B1482" s="1">
        <f>DATE(2012,11,1) + TIME(2,3,27)</f>
        <v>41214.085729166669</v>
      </c>
      <c r="C1482">
        <v>90</v>
      </c>
      <c r="D1482">
        <v>89.918045043999996</v>
      </c>
      <c r="E1482">
        <v>30</v>
      </c>
      <c r="F1482">
        <v>39.423458099000001</v>
      </c>
      <c r="G1482">
        <v>1307.2575684000001</v>
      </c>
      <c r="H1482">
        <v>1296.3098144999999</v>
      </c>
      <c r="I1482">
        <v>1411.7736815999999</v>
      </c>
      <c r="J1482">
        <v>1385.4475098</v>
      </c>
      <c r="K1482">
        <v>0</v>
      </c>
      <c r="L1482">
        <v>2400</v>
      </c>
      <c r="M1482">
        <v>2400</v>
      </c>
      <c r="N1482">
        <v>0</v>
      </c>
    </row>
    <row r="1483" spans="1:14" x14ac:dyDescent="0.25">
      <c r="A1483">
        <v>915.14655300000004</v>
      </c>
      <c r="B1483" s="1">
        <f>DATE(2012,11,1) + TIME(3,31,2)</f>
        <v>41214.146550925929</v>
      </c>
      <c r="C1483">
        <v>90</v>
      </c>
      <c r="D1483">
        <v>89.903800963999998</v>
      </c>
      <c r="E1483">
        <v>30</v>
      </c>
      <c r="F1483">
        <v>38.710536957000002</v>
      </c>
      <c r="G1483">
        <v>1306.5286865</v>
      </c>
      <c r="H1483">
        <v>1295.5760498</v>
      </c>
      <c r="I1483">
        <v>1412.5706786999999</v>
      </c>
      <c r="J1483">
        <v>1386.0285644999999</v>
      </c>
      <c r="K1483">
        <v>0</v>
      </c>
      <c r="L1483">
        <v>2400</v>
      </c>
      <c r="M1483">
        <v>2400</v>
      </c>
      <c r="N1483">
        <v>0</v>
      </c>
    </row>
    <row r="1484" spans="1:14" x14ac:dyDescent="0.25">
      <c r="A1484">
        <v>915.21313399999997</v>
      </c>
      <c r="B1484" s="1">
        <f>DATE(2012,11,1) + TIME(5,6,54)</f>
        <v>41214.213125000002</v>
      </c>
      <c r="C1484">
        <v>90</v>
      </c>
      <c r="D1484">
        <v>89.888671875</v>
      </c>
      <c r="E1484">
        <v>30</v>
      </c>
      <c r="F1484">
        <v>37.998672485</v>
      </c>
      <c r="G1484">
        <v>1306.347168</v>
      </c>
      <c r="H1484">
        <v>1295.3931885</v>
      </c>
      <c r="I1484">
        <v>1412.7836914</v>
      </c>
      <c r="J1484">
        <v>1386.0451660000001</v>
      </c>
      <c r="K1484">
        <v>0</v>
      </c>
      <c r="L1484">
        <v>2400</v>
      </c>
      <c r="M1484">
        <v>2400</v>
      </c>
      <c r="N1484">
        <v>0</v>
      </c>
    </row>
    <row r="1485" spans="1:14" x14ac:dyDescent="0.25">
      <c r="A1485">
        <v>915.28660500000001</v>
      </c>
      <c r="B1485" s="1">
        <f>DATE(2012,11,1) + TIME(6,52,42)</f>
        <v>41214.286597222221</v>
      </c>
      <c r="C1485">
        <v>90</v>
      </c>
      <c r="D1485">
        <v>89.872428893999995</v>
      </c>
      <c r="E1485">
        <v>30</v>
      </c>
      <c r="F1485">
        <v>37.288097381999997</v>
      </c>
      <c r="G1485">
        <v>1306.2955322</v>
      </c>
      <c r="H1485">
        <v>1295.3409423999999</v>
      </c>
      <c r="I1485">
        <v>1412.9042969</v>
      </c>
      <c r="J1485">
        <v>1385.9729004000001</v>
      </c>
      <c r="K1485">
        <v>0</v>
      </c>
      <c r="L1485">
        <v>2400</v>
      </c>
      <c r="M1485">
        <v>2400</v>
      </c>
      <c r="N1485">
        <v>0</v>
      </c>
    </row>
    <row r="1486" spans="1:14" x14ac:dyDescent="0.25">
      <c r="A1486">
        <v>915.36834799999997</v>
      </c>
      <c r="B1486" s="1">
        <f>DATE(2012,11,1) + TIME(8,50,25)</f>
        <v>41214.368344907409</v>
      </c>
      <c r="C1486">
        <v>90</v>
      </c>
      <c r="D1486">
        <v>89.854866028000004</v>
      </c>
      <c r="E1486">
        <v>30</v>
      </c>
      <c r="F1486">
        <v>36.579635619999998</v>
      </c>
      <c r="G1486">
        <v>1306.2763672000001</v>
      </c>
      <c r="H1486">
        <v>1295.3212891000001</v>
      </c>
      <c r="I1486">
        <v>1413.0155029</v>
      </c>
      <c r="J1486">
        <v>1385.8922118999999</v>
      </c>
      <c r="K1486">
        <v>0</v>
      </c>
      <c r="L1486">
        <v>2400</v>
      </c>
      <c r="M1486">
        <v>2400</v>
      </c>
      <c r="N1486">
        <v>0</v>
      </c>
    </row>
    <row r="1487" spans="1:14" x14ac:dyDescent="0.25">
      <c r="A1487">
        <v>915.46013900000003</v>
      </c>
      <c r="B1487" s="1">
        <f>DATE(2012,11,1) + TIME(11,2,36)</f>
        <v>41214.460138888891</v>
      </c>
      <c r="C1487">
        <v>90</v>
      </c>
      <c r="D1487">
        <v>89.835739136000001</v>
      </c>
      <c r="E1487">
        <v>30</v>
      </c>
      <c r="F1487">
        <v>35.874698639000002</v>
      </c>
      <c r="G1487">
        <v>1306.2655029</v>
      </c>
      <c r="H1487">
        <v>1295.3099365</v>
      </c>
      <c r="I1487">
        <v>1413.1275635</v>
      </c>
      <c r="J1487">
        <v>1385.8133545000001</v>
      </c>
      <c r="K1487">
        <v>0</v>
      </c>
      <c r="L1487">
        <v>2400</v>
      </c>
      <c r="M1487">
        <v>2400</v>
      </c>
      <c r="N1487">
        <v>0</v>
      </c>
    </row>
    <row r="1488" spans="1:14" x14ac:dyDescent="0.25">
      <c r="A1488">
        <v>915.56118400000003</v>
      </c>
      <c r="B1488" s="1">
        <f>DATE(2012,11,1) + TIME(13,28,6)</f>
        <v>41214.561180555553</v>
      </c>
      <c r="C1488">
        <v>90</v>
      </c>
      <c r="D1488">
        <v>89.815292357999994</v>
      </c>
      <c r="E1488">
        <v>30</v>
      </c>
      <c r="F1488">
        <v>35.193782806000002</v>
      </c>
      <c r="G1488">
        <v>1306.2565918</v>
      </c>
      <c r="H1488">
        <v>1295.3004149999999</v>
      </c>
      <c r="I1488">
        <v>1413.2363281</v>
      </c>
      <c r="J1488">
        <v>1385.7384033000001</v>
      </c>
      <c r="K1488">
        <v>0</v>
      </c>
      <c r="L1488">
        <v>2400</v>
      </c>
      <c r="M1488">
        <v>2400</v>
      </c>
      <c r="N1488">
        <v>0</v>
      </c>
    </row>
    <row r="1489" spans="1:14" x14ac:dyDescent="0.25">
      <c r="A1489">
        <v>915.66395599999998</v>
      </c>
      <c r="B1489" s="1">
        <f>DATE(2012,11,1) + TIME(15,56,5)</f>
        <v>41214.663946759261</v>
      </c>
      <c r="C1489">
        <v>90</v>
      </c>
      <c r="D1489">
        <v>89.794921875</v>
      </c>
      <c r="E1489">
        <v>30</v>
      </c>
      <c r="F1489">
        <v>34.586452483999999</v>
      </c>
      <c r="G1489">
        <v>1306.2478027</v>
      </c>
      <c r="H1489">
        <v>1295.2911377</v>
      </c>
      <c r="I1489">
        <v>1413.3326416</v>
      </c>
      <c r="J1489">
        <v>1385.6726074000001</v>
      </c>
      <c r="K1489">
        <v>0</v>
      </c>
      <c r="L1489">
        <v>2400</v>
      </c>
      <c r="M1489">
        <v>2400</v>
      </c>
      <c r="N1489">
        <v>0</v>
      </c>
    </row>
    <row r="1490" spans="1:14" x14ac:dyDescent="0.25">
      <c r="A1490">
        <v>915.76939300000004</v>
      </c>
      <c r="B1490" s="1">
        <f>DATE(2012,11,1) + TIME(18,27,55)</f>
        <v>41214.769386574073</v>
      </c>
      <c r="C1490">
        <v>90</v>
      </c>
      <c r="D1490">
        <v>89.774452209000003</v>
      </c>
      <c r="E1490">
        <v>30</v>
      </c>
      <c r="F1490">
        <v>34.040977478000002</v>
      </c>
      <c r="G1490">
        <v>1306.2393798999999</v>
      </c>
      <c r="H1490">
        <v>1295.2821045000001</v>
      </c>
      <c r="I1490">
        <v>1413.4196777</v>
      </c>
      <c r="J1490">
        <v>1385.6148682</v>
      </c>
      <c r="K1490">
        <v>0</v>
      </c>
      <c r="L1490">
        <v>2400</v>
      </c>
      <c r="M1490">
        <v>2400</v>
      </c>
      <c r="N1490">
        <v>0</v>
      </c>
    </row>
    <row r="1491" spans="1:14" x14ac:dyDescent="0.25">
      <c r="A1491">
        <v>915.87791900000002</v>
      </c>
      <c r="B1491" s="1">
        <f>DATE(2012,11,1) + TIME(21,4,12)</f>
        <v>41214.877916666665</v>
      </c>
      <c r="C1491">
        <v>90</v>
      </c>
      <c r="D1491">
        <v>89.753799438000001</v>
      </c>
      <c r="E1491">
        <v>30</v>
      </c>
      <c r="F1491">
        <v>33.550537108999997</v>
      </c>
      <c r="G1491">
        <v>1306.230957</v>
      </c>
      <c r="H1491">
        <v>1295.2731934000001</v>
      </c>
      <c r="I1491">
        <v>1413.4982910000001</v>
      </c>
      <c r="J1491">
        <v>1385.5643310999999</v>
      </c>
      <c r="K1491">
        <v>0</v>
      </c>
      <c r="L1491">
        <v>2400</v>
      </c>
      <c r="M1491">
        <v>2400</v>
      </c>
      <c r="N1491">
        <v>0</v>
      </c>
    </row>
    <row r="1492" spans="1:14" x14ac:dyDescent="0.25">
      <c r="A1492">
        <v>915.99000599999999</v>
      </c>
      <c r="B1492" s="1">
        <f>DATE(2012,11,1) + TIME(23,45,36)</f>
        <v>41214.99</v>
      </c>
      <c r="C1492">
        <v>90</v>
      </c>
      <c r="D1492">
        <v>89.732872009000005</v>
      </c>
      <c r="E1492">
        <v>30</v>
      </c>
      <c r="F1492">
        <v>33.109313964999998</v>
      </c>
      <c r="G1492">
        <v>1306.2225341999999</v>
      </c>
      <c r="H1492">
        <v>1295.2641602000001</v>
      </c>
      <c r="I1492">
        <v>1413.5692139</v>
      </c>
      <c r="J1492">
        <v>1385.5206298999999</v>
      </c>
      <c r="K1492">
        <v>0</v>
      </c>
      <c r="L1492">
        <v>2400</v>
      </c>
      <c r="M1492">
        <v>2400</v>
      </c>
      <c r="N1492">
        <v>0</v>
      </c>
    </row>
    <row r="1493" spans="1:14" x14ac:dyDescent="0.25">
      <c r="A1493">
        <v>916.10614699999996</v>
      </c>
      <c r="B1493" s="1">
        <f>DATE(2012,11,2) + TIME(2,32,51)</f>
        <v>41215.106145833335</v>
      </c>
      <c r="C1493">
        <v>90</v>
      </c>
      <c r="D1493">
        <v>89.711593628000003</v>
      </c>
      <c r="E1493">
        <v>30</v>
      </c>
      <c r="F1493">
        <v>32.712436676000003</v>
      </c>
      <c r="G1493">
        <v>1306.2141113</v>
      </c>
      <c r="H1493">
        <v>1295.2550048999999</v>
      </c>
      <c r="I1493">
        <v>1413.6335449000001</v>
      </c>
      <c r="J1493">
        <v>1385.4830322</v>
      </c>
      <c r="K1493">
        <v>0</v>
      </c>
      <c r="L1493">
        <v>2400</v>
      </c>
      <c r="M1493">
        <v>2400</v>
      </c>
      <c r="N1493">
        <v>0</v>
      </c>
    </row>
    <row r="1494" spans="1:14" x14ac:dyDescent="0.25">
      <c r="A1494">
        <v>916.22683600000005</v>
      </c>
      <c r="B1494" s="1">
        <f>DATE(2012,11,2) + TIME(5,26,38)</f>
        <v>41215.2268287037</v>
      </c>
      <c r="C1494">
        <v>90</v>
      </c>
      <c r="D1494">
        <v>89.689880371000001</v>
      </c>
      <c r="E1494">
        <v>30</v>
      </c>
      <c r="F1494">
        <v>32.355823516999997</v>
      </c>
      <c r="G1494">
        <v>1306.2054443</v>
      </c>
      <c r="H1494">
        <v>1295.2457274999999</v>
      </c>
      <c r="I1494">
        <v>1413.6916504000001</v>
      </c>
      <c r="J1494">
        <v>1385.4514160000001</v>
      </c>
      <c r="K1494">
        <v>0</v>
      </c>
      <c r="L1494">
        <v>2400</v>
      </c>
      <c r="M1494">
        <v>2400</v>
      </c>
      <c r="N1494">
        <v>0</v>
      </c>
    </row>
    <row r="1495" spans="1:14" x14ac:dyDescent="0.25">
      <c r="A1495">
        <v>916.352711</v>
      </c>
      <c r="B1495" s="1">
        <f>DATE(2012,11,2) + TIME(8,27,54)</f>
        <v>41215.352708333332</v>
      </c>
      <c r="C1495">
        <v>90</v>
      </c>
      <c r="D1495">
        <v>89.667633057000003</v>
      </c>
      <c r="E1495">
        <v>30</v>
      </c>
      <c r="F1495">
        <v>32.035705565999997</v>
      </c>
      <c r="G1495">
        <v>1306.1967772999999</v>
      </c>
      <c r="H1495">
        <v>1295.2363281</v>
      </c>
      <c r="I1495">
        <v>1413.7442627</v>
      </c>
      <c r="J1495">
        <v>1385.425293</v>
      </c>
      <c r="K1495">
        <v>0</v>
      </c>
      <c r="L1495">
        <v>2400</v>
      </c>
      <c r="M1495">
        <v>2400</v>
      </c>
      <c r="N1495">
        <v>0</v>
      </c>
    </row>
    <row r="1496" spans="1:14" x14ac:dyDescent="0.25">
      <c r="A1496">
        <v>916.48443499999996</v>
      </c>
      <c r="B1496" s="1">
        <f>DATE(2012,11,2) + TIME(11,37,35)</f>
        <v>41215.484432870369</v>
      </c>
      <c r="C1496">
        <v>90</v>
      </c>
      <c r="D1496">
        <v>89.644760132000002</v>
      </c>
      <c r="E1496">
        <v>30</v>
      </c>
      <c r="F1496">
        <v>31.748931885000001</v>
      </c>
      <c r="G1496">
        <v>1306.1878661999999</v>
      </c>
      <c r="H1496">
        <v>1295.2266846</v>
      </c>
      <c r="I1496">
        <v>1413.7921143000001</v>
      </c>
      <c r="J1496">
        <v>1385.4044189000001</v>
      </c>
      <c r="K1496">
        <v>0</v>
      </c>
      <c r="L1496">
        <v>2400</v>
      </c>
      <c r="M1496">
        <v>2400</v>
      </c>
      <c r="N1496">
        <v>0</v>
      </c>
    </row>
    <row r="1497" spans="1:14" x14ac:dyDescent="0.25">
      <c r="A1497">
        <v>916.62276499999996</v>
      </c>
      <c r="B1497" s="1">
        <f>DATE(2012,11,2) + TIME(14,56,46)</f>
        <v>41215.622754629629</v>
      </c>
      <c r="C1497">
        <v>90</v>
      </c>
      <c r="D1497">
        <v>89.621139525999993</v>
      </c>
      <c r="E1497">
        <v>30</v>
      </c>
      <c r="F1497">
        <v>31.492698668999999</v>
      </c>
      <c r="G1497">
        <v>1306.1787108999999</v>
      </c>
      <c r="H1497">
        <v>1295.2167969</v>
      </c>
      <c r="I1497">
        <v>1413.8355713000001</v>
      </c>
      <c r="J1497">
        <v>1385.3886719</v>
      </c>
      <c r="K1497">
        <v>0</v>
      </c>
      <c r="L1497">
        <v>2400</v>
      </c>
      <c r="M1497">
        <v>2400</v>
      </c>
      <c r="N1497">
        <v>0</v>
      </c>
    </row>
    <row r="1498" spans="1:14" x14ac:dyDescent="0.25">
      <c r="A1498">
        <v>916.76857600000005</v>
      </c>
      <c r="B1498" s="1">
        <f>DATE(2012,11,2) + TIME(18,26,44)</f>
        <v>41215.768564814818</v>
      </c>
      <c r="C1498">
        <v>90</v>
      </c>
      <c r="D1498">
        <v>89.596664429</v>
      </c>
      <c r="E1498">
        <v>30</v>
      </c>
      <c r="F1498">
        <v>31.264507294000001</v>
      </c>
      <c r="G1498">
        <v>1306.1691894999999</v>
      </c>
      <c r="H1498">
        <v>1295.206543</v>
      </c>
      <c r="I1498">
        <v>1413.8751221</v>
      </c>
      <c r="J1498">
        <v>1385.3776855000001</v>
      </c>
      <c r="K1498">
        <v>0</v>
      </c>
      <c r="L1498">
        <v>2400</v>
      </c>
      <c r="M1498">
        <v>2400</v>
      </c>
      <c r="N1498">
        <v>0</v>
      </c>
    </row>
    <row r="1499" spans="1:14" x14ac:dyDescent="0.25">
      <c r="A1499">
        <v>916.92288799999994</v>
      </c>
      <c r="B1499" s="1">
        <f>DATE(2012,11,2) + TIME(22,8,57)</f>
        <v>41215.922881944447</v>
      </c>
      <c r="C1499">
        <v>90</v>
      </c>
      <c r="D1499">
        <v>89.571182250999996</v>
      </c>
      <c r="E1499">
        <v>30</v>
      </c>
      <c r="F1499">
        <v>31.062107086000001</v>
      </c>
      <c r="G1499">
        <v>1306.1594238</v>
      </c>
      <c r="H1499">
        <v>1295.1959228999999</v>
      </c>
      <c r="I1499">
        <v>1413.9112548999999</v>
      </c>
      <c r="J1499">
        <v>1385.371582</v>
      </c>
      <c r="K1499">
        <v>0</v>
      </c>
      <c r="L1499">
        <v>2400</v>
      </c>
      <c r="M1499">
        <v>2400</v>
      </c>
      <c r="N1499">
        <v>0</v>
      </c>
    </row>
    <row r="1500" spans="1:14" x14ac:dyDescent="0.25">
      <c r="A1500">
        <v>917.08690999999999</v>
      </c>
      <c r="B1500" s="1">
        <f>DATE(2012,11,3) + TIME(2,5,8)</f>
        <v>41216.086898148147</v>
      </c>
      <c r="C1500">
        <v>90</v>
      </c>
      <c r="D1500">
        <v>89.544540405000006</v>
      </c>
      <c r="E1500">
        <v>30</v>
      </c>
      <c r="F1500">
        <v>30.883449553999998</v>
      </c>
      <c r="G1500">
        <v>1306.1492920000001</v>
      </c>
      <c r="H1500">
        <v>1295.1848144999999</v>
      </c>
      <c r="I1500">
        <v>1413.9443358999999</v>
      </c>
      <c r="J1500">
        <v>1385.3699951000001</v>
      </c>
      <c r="K1500">
        <v>0</v>
      </c>
      <c r="L1500">
        <v>2400</v>
      </c>
      <c r="M1500">
        <v>2400</v>
      </c>
      <c r="N1500">
        <v>0</v>
      </c>
    </row>
    <row r="1501" spans="1:14" x14ac:dyDescent="0.25">
      <c r="A1501">
        <v>917.26208799999995</v>
      </c>
      <c r="B1501" s="1">
        <f>DATE(2012,11,3) + TIME(6,17,24)</f>
        <v>41216.262083333335</v>
      </c>
      <c r="C1501">
        <v>90</v>
      </c>
      <c r="D1501">
        <v>89.516555785999998</v>
      </c>
      <c r="E1501">
        <v>30</v>
      </c>
      <c r="F1501">
        <v>30.726652144999999</v>
      </c>
      <c r="G1501">
        <v>1306.1386719</v>
      </c>
      <c r="H1501">
        <v>1295.1732178</v>
      </c>
      <c r="I1501">
        <v>1413.9748535000001</v>
      </c>
      <c r="J1501">
        <v>1385.3728027</v>
      </c>
      <c r="K1501">
        <v>0</v>
      </c>
      <c r="L1501">
        <v>2400</v>
      </c>
      <c r="M1501">
        <v>2400</v>
      </c>
      <c r="N1501">
        <v>0</v>
      </c>
    </row>
    <row r="1502" spans="1:14" x14ac:dyDescent="0.25">
      <c r="A1502">
        <v>917.45017900000005</v>
      </c>
      <c r="B1502" s="1">
        <f>DATE(2012,11,3) + TIME(10,48,15)</f>
        <v>41216.450173611112</v>
      </c>
      <c r="C1502">
        <v>90</v>
      </c>
      <c r="D1502">
        <v>89.487007141000007</v>
      </c>
      <c r="E1502">
        <v>30</v>
      </c>
      <c r="F1502">
        <v>30.589979172</v>
      </c>
      <c r="G1502">
        <v>1306.1274414</v>
      </c>
      <c r="H1502">
        <v>1295.1610106999999</v>
      </c>
      <c r="I1502">
        <v>1414.0031738</v>
      </c>
      <c r="J1502">
        <v>1385.3801269999999</v>
      </c>
      <c r="K1502">
        <v>0</v>
      </c>
      <c r="L1502">
        <v>2400</v>
      </c>
      <c r="M1502">
        <v>2400</v>
      </c>
      <c r="N1502">
        <v>0</v>
      </c>
    </row>
    <row r="1503" spans="1:14" x14ac:dyDescent="0.25">
      <c r="A1503">
        <v>917.65334900000005</v>
      </c>
      <c r="B1503" s="1">
        <f>DATE(2012,11,3) + TIME(15,40,49)</f>
        <v>41216.653344907405</v>
      </c>
      <c r="C1503">
        <v>90</v>
      </c>
      <c r="D1503">
        <v>89.455627441000004</v>
      </c>
      <c r="E1503">
        <v>30</v>
      </c>
      <c r="F1503">
        <v>30.471801758000002</v>
      </c>
      <c r="G1503">
        <v>1306.1154785000001</v>
      </c>
      <c r="H1503">
        <v>1295.1479492000001</v>
      </c>
      <c r="I1503">
        <v>1414.0296631000001</v>
      </c>
      <c r="J1503">
        <v>1385.3917236</v>
      </c>
      <c r="K1503">
        <v>0</v>
      </c>
      <c r="L1503">
        <v>2400</v>
      </c>
      <c r="M1503">
        <v>2400</v>
      </c>
      <c r="N1503">
        <v>0</v>
      </c>
    </row>
    <row r="1504" spans="1:14" x14ac:dyDescent="0.25">
      <c r="A1504">
        <v>917.86467100000004</v>
      </c>
      <c r="B1504" s="1">
        <f>DATE(2012,11,3) + TIME(20,45,7)</f>
        <v>41216.864664351851</v>
      </c>
      <c r="C1504">
        <v>90</v>
      </c>
      <c r="D1504">
        <v>89.423255920000003</v>
      </c>
      <c r="E1504">
        <v>30</v>
      </c>
      <c r="F1504">
        <v>30.374107361</v>
      </c>
      <c r="G1504">
        <v>1306.1027832</v>
      </c>
      <c r="H1504">
        <v>1295.1341553</v>
      </c>
      <c r="I1504">
        <v>1414.0540771000001</v>
      </c>
      <c r="J1504">
        <v>1385.4082031</v>
      </c>
      <c r="K1504">
        <v>0</v>
      </c>
      <c r="L1504">
        <v>2400</v>
      </c>
      <c r="M1504">
        <v>2400</v>
      </c>
      <c r="N1504">
        <v>0</v>
      </c>
    </row>
    <row r="1505" spans="1:14" x14ac:dyDescent="0.25">
      <c r="A1505">
        <v>918.07852000000003</v>
      </c>
      <c r="B1505" s="1">
        <f>DATE(2012,11,4) + TIME(1,53,4)</f>
        <v>41217.078518518516</v>
      </c>
      <c r="C1505">
        <v>90</v>
      </c>
      <c r="D1505">
        <v>89.390586853000002</v>
      </c>
      <c r="E1505">
        <v>30</v>
      </c>
      <c r="F1505">
        <v>30.295661926000001</v>
      </c>
      <c r="G1505">
        <v>1306.0897216999999</v>
      </c>
      <c r="H1505">
        <v>1295.1198730000001</v>
      </c>
      <c r="I1505">
        <v>1414.0764160000001</v>
      </c>
      <c r="J1505">
        <v>1385.4282227000001</v>
      </c>
      <c r="K1505">
        <v>0</v>
      </c>
      <c r="L1505">
        <v>2400</v>
      </c>
      <c r="M1505">
        <v>2400</v>
      </c>
      <c r="N1505">
        <v>0</v>
      </c>
    </row>
    <row r="1506" spans="1:14" x14ac:dyDescent="0.25">
      <c r="A1506">
        <v>918.29588100000001</v>
      </c>
      <c r="B1506" s="1">
        <f>DATE(2012,11,4) + TIME(7,6,4)</f>
        <v>41217.29587962963</v>
      </c>
      <c r="C1506">
        <v>90</v>
      </c>
      <c r="D1506">
        <v>89.357521057</v>
      </c>
      <c r="E1506">
        <v>30</v>
      </c>
      <c r="F1506">
        <v>30.232559204000001</v>
      </c>
      <c r="G1506">
        <v>1306.0765381000001</v>
      </c>
      <c r="H1506">
        <v>1295.1055908000001</v>
      </c>
      <c r="I1506">
        <v>1414.0966797000001</v>
      </c>
      <c r="J1506">
        <v>1385.4499512</v>
      </c>
      <c r="K1506">
        <v>0</v>
      </c>
      <c r="L1506">
        <v>2400</v>
      </c>
      <c r="M1506">
        <v>2400</v>
      </c>
      <c r="N1506">
        <v>0</v>
      </c>
    </row>
    <row r="1507" spans="1:14" x14ac:dyDescent="0.25">
      <c r="A1507">
        <v>918.51767500000005</v>
      </c>
      <c r="B1507" s="1">
        <f>DATE(2012,11,4) + TIME(12,25,27)</f>
        <v>41217.51767361111</v>
      </c>
      <c r="C1507">
        <v>90</v>
      </c>
      <c r="D1507">
        <v>89.323982239000003</v>
      </c>
      <c r="E1507">
        <v>30</v>
      </c>
      <c r="F1507">
        <v>30.181781769000001</v>
      </c>
      <c r="G1507">
        <v>1306.0632324000001</v>
      </c>
      <c r="H1507">
        <v>1295.0910644999999</v>
      </c>
      <c r="I1507">
        <v>1414.1154785000001</v>
      </c>
      <c r="J1507">
        <v>1385.4732666</v>
      </c>
      <c r="K1507">
        <v>0</v>
      </c>
      <c r="L1507">
        <v>2400</v>
      </c>
      <c r="M1507">
        <v>2400</v>
      </c>
      <c r="N1507">
        <v>0</v>
      </c>
    </row>
    <row r="1508" spans="1:14" x14ac:dyDescent="0.25">
      <c r="A1508">
        <v>918.74481700000001</v>
      </c>
      <c r="B1508" s="1">
        <f>DATE(2012,11,4) + TIME(17,52,32)</f>
        <v>41217.744814814818</v>
      </c>
      <c r="C1508">
        <v>90</v>
      </c>
      <c r="D1508">
        <v>89.289878845000004</v>
      </c>
      <c r="E1508">
        <v>30</v>
      </c>
      <c r="F1508">
        <v>30.140949248999998</v>
      </c>
      <c r="G1508">
        <v>1306.0499268000001</v>
      </c>
      <c r="H1508">
        <v>1295.0764160000001</v>
      </c>
      <c r="I1508">
        <v>1414.1330565999999</v>
      </c>
      <c r="J1508">
        <v>1385.4978027</v>
      </c>
      <c r="K1508">
        <v>0</v>
      </c>
      <c r="L1508">
        <v>2400</v>
      </c>
      <c r="M1508">
        <v>2400</v>
      </c>
      <c r="N1508">
        <v>0</v>
      </c>
    </row>
    <row r="1509" spans="1:14" x14ac:dyDescent="0.25">
      <c r="A1509">
        <v>918.97824800000001</v>
      </c>
      <c r="B1509" s="1">
        <f>DATE(2012,11,4) + TIME(23,28,40)</f>
        <v>41217.97824074074</v>
      </c>
      <c r="C1509">
        <v>90</v>
      </c>
      <c r="D1509">
        <v>89.255096436000002</v>
      </c>
      <c r="E1509">
        <v>30</v>
      </c>
      <c r="F1509">
        <v>30.108171463000001</v>
      </c>
      <c r="G1509">
        <v>1306.0362548999999</v>
      </c>
      <c r="H1509">
        <v>1295.0615233999999</v>
      </c>
      <c r="I1509">
        <v>1414.1496582</v>
      </c>
      <c r="J1509">
        <v>1385.5233154</v>
      </c>
      <c r="K1509">
        <v>0</v>
      </c>
      <c r="L1509">
        <v>2400</v>
      </c>
      <c r="M1509">
        <v>2400</v>
      </c>
      <c r="N1509">
        <v>0</v>
      </c>
    </row>
    <row r="1510" spans="1:14" x14ac:dyDescent="0.25">
      <c r="A1510">
        <v>919.21888300000001</v>
      </c>
      <c r="B1510" s="1">
        <f>DATE(2012,11,5) + TIME(5,15,11)</f>
        <v>41218.218877314815</v>
      </c>
      <c r="C1510">
        <v>90</v>
      </c>
      <c r="D1510">
        <v>89.219535828000005</v>
      </c>
      <c r="E1510">
        <v>30</v>
      </c>
      <c r="F1510">
        <v>30.081933974999998</v>
      </c>
      <c r="G1510">
        <v>1306.0223389</v>
      </c>
      <c r="H1510">
        <v>1295.0462646000001</v>
      </c>
      <c r="I1510">
        <v>1414.1654053</v>
      </c>
      <c r="J1510">
        <v>1385.5495605000001</v>
      </c>
      <c r="K1510">
        <v>0</v>
      </c>
      <c r="L1510">
        <v>2400</v>
      </c>
      <c r="M1510">
        <v>2400</v>
      </c>
      <c r="N1510">
        <v>0</v>
      </c>
    </row>
    <row r="1511" spans="1:14" x14ac:dyDescent="0.25">
      <c r="A1511">
        <v>919.46783500000004</v>
      </c>
      <c r="B1511" s="1">
        <f>DATE(2012,11,5) + TIME(11,13,40)</f>
        <v>41218.467824074076</v>
      </c>
      <c r="C1511">
        <v>90</v>
      </c>
      <c r="D1511">
        <v>89.183082580999994</v>
      </c>
      <c r="E1511">
        <v>30</v>
      </c>
      <c r="F1511">
        <v>30.061002730999999</v>
      </c>
      <c r="G1511">
        <v>1306.0080565999999</v>
      </c>
      <c r="H1511">
        <v>1295.0306396000001</v>
      </c>
      <c r="I1511">
        <v>1414.1807861</v>
      </c>
      <c r="J1511">
        <v>1385.5765381000001</v>
      </c>
      <c r="K1511">
        <v>0</v>
      </c>
      <c r="L1511">
        <v>2400</v>
      </c>
      <c r="M1511">
        <v>2400</v>
      </c>
      <c r="N1511">
        <v>0</v>
      </c>
    </row>
    <row r="1512" spans="1:14" x14ac:dyDescent="0.25">
      <c r="A1512">
        <v>919.72631100000001</v>
      </c>
      <c r="B1512" s="1">
        <f>DATE(2012,11,5) + TIME(17,25,53)</f>
        <v>41218.726307870369</v>
      </c>
      <c r="C1512">
        <v>90</v>
      </c>
      <c r="D1512">
        <v>89.145591736</v>
      </c>
      <c r="E1512">
        <v>30</v>
      </c>
      <c r="F1512">
        <v>30.044372558999999</v>
      </c>
      <c r="G1512">
        <v>1305.9934082</v>
      </c>
      <c r="H1512">
        <v>1295.0145264</v>
      </c>
      <c r="I1512">
        <v>1414.1956786999999</v>
      </c>
      <c r="J1512">
        <v>1385.604126</v>
      </c>
      <c r="K1512">
        <v>0</v>
      </c>
      <c r="L1512">
        <v>2400</v>
      </c>
      <c r="M1512">
        <v>2400</v>
      </c>
      <c r="N1512">
        <v>0</v>
      </c>
    </row>
    <row r="1513" spans="1:14" x14ac:dyDescent="0.25">
      <c r="A1513">
        <v>919.99564199999998</v>
      </c>
      <c r="B1513" s="1">
        <f>DATE(2012,11,5) + TIME(23,53,43)</f>
        <v>41218.995636574073</v>
      </c>
      <c r="C1513">
        <v>90</v>
      </c>
      <c r="D1513">
        <v>89.106918335000003</v>
      </c>
      <c r="E1513">
        <v>30</v>
      </c>
      <c r="F1513">
        <v>30.031227112</v>
      </c>
      <c r="G1513">
        <v>1305.9782714999999</v>
      </c>
      <c r="H1513">
        <v>1294.9978027</v>
      </c>
      <c r="I1513">
        <v>1414.2102050999999</v>
      </c>
      <c r="J1513">
        <v>1385.6322021000001</v>
      </c>
      <c r="K1513">
        <v>0</v>
      </c>
      <c r="L1513">
        <v>2400</v>
      </c>
      <c r="M1513">
        <v>2400</v>
      </c>
      <c r="N1513">
        <v>0</v>
      </c>
    </row>
    <row r="1514" spans="1:14" x14ac:dyDescent="0.25">
      <c r="A1514">
        <v>920.27734499999997</v>
      </c>
      <c r="B1514" s="1">
        <f>DATE(2012,11,6) + TIME(6,39,22)</f>
        <v>41219.277337962965</v>
      </c>
      <c r="C1514">
        <v>90</v>
      </c>
      <c r="D1514">
        <v>89.066894531000003</v>
      </c>
      <c r="E1514">
        <v>30</v>
      </c>
      <c r="F1514">
        <v>30.020898818999999</v>
      </c>
      <c r="G1514">
        <v>1305.9625243999999</v>
      </c>
      <c r="H1514">
        <v>1294.9805908000001</v>
      </c>
      <c r="I1514">
        <v>1414.2247314000001</v>
      </c>
      <c r="J1514">
        <v>1385.6607666</v>
      </c>
      <c r="K1514">
        <v>0</v>
      </c>
      <c r="L1514">
        <v>2400</v>
      </c>
      <c r="M1514">
        <v>2400</v>
      </c>
      <c r="N1514">
        <v>0</v>
      </c>
    </row>
    <row r="1515" spans="1:14" x14ac:dyDescent="0.25">
      <c r="A1515">
        <v>920.57317399999999</v>
      </c>
      <c r="B1515" s="1">
        <f>DATE(2012,11,6) + TIME(13,45,22)</f>
        <v>41219.573171296295</v>
      </c>
      <c r="C1515">
        <v>90</v>
      </c>
      <c r="D1515">
        <v>89.025321959999999</v>
      </c>
      <c r="E1515">
        <v>30</v>
      </c>
      <c r="F1515">
        <v>30.012840271000002</v>
      </c>
      <c r="G1515">
        <v>1305.9461670000001</v>
      </c>
      <c r="H1515">
        <v>1294.9625243999999</v>
      </c>
      <c r="I1515">
        <v>1414.2390137</v>
      </c>
      <c r="J1515">
        <v>1385.6898193</v>
      </c>
      <c r="K1515">
        <v>0</v>
      </c>
      <c r="L1515">
        <v>2400</v>
      </c>
      <c r="M1515">
        <v>2400</v>
      </c>
      <c r="N1515">
        <v>0</v>
      </c>
    </row>
    <row r="1516" spans="1:14" x14ac:dyDescent="0.25">
      <c r="A1516">
        <v>920.88517899999999</v>
      </c>
      <c r="B1516" s="1">
        <f>DATE(2012,11,6) + TIME(21,14,39)</f>
        <v>41219.88517361111</v>
      </c>
      <c r="C1516">
        <v>90</v>
      </c>
      <c r="D1516">
        <v>88.981971740999995</v>
      </c>
      <c r="E1516">
        <v>30</v>
      </c>
      <c r="F1516">
        <v>30.006601333999999</v>
      </c>
      <c r="G1516">
        <v>1305.9290771000001</v>
      </c>
      <c r="H1516">
        <v>1294.9437256000001</v>
      </c>
      <c r="I1516">
        <v>1414.253418</v>
      </c>
      <c r="J1516">
        <v>1385.7192382999999</v>
      </c>
      <c r="K1516">
        <v>0</v>
      </c>
      <c r="L1516">
        <v>2400</v>
      </c>
      <c r="M1516">
        <v>2400</v>
      </c>
      <c r="N1516">
        <v>0</v>
      </c>
    </row>
    <row r="1517" spans="1:14" x14ac:dyDescent="0.25">
      <c r="A1517">
        <v>921.21579499999996</v>
      </c>
      <c r="B1517" s="1">
        <f>DATE(2012,11,7) + TIME(5,10,44)</f>
        <v>41220.215787037036</v>
      </c>
      <c r="C1517">
        <v>90</v>
      </c>
      <c r="D1517">
        <v>88.936592102000006</v>
      </c>
      <c r="E1517">
        <v>30</v>
      </c>
      <c r="F1517">
        <v>30.001813889000001</v>
      </c>
      <c r="G1517">
        <v>1305.9111327999999</v>
      </c>
      <c r="H1517">
        <v>1294.9239502</v>
      </c>
      <c r="I1517">
        <v>1414.2679443</v>
      </c>
      <c r="J1517">
        <v>1385.7492675999999</v>
      </c>
      <c r="K1517">
        <v>0</v>
      </c>
      <c r="L1517">
        <v>2400</v>
      </c>
      <c r="M1517">
        <v>2400</v>
      </c>
      <c r="N1517">
        <v>0</v>
      </c>
    </row>
    <row r="1518" spans="1:14" x14ac:dyDescent="0.25">
      <c r="A1518">
        <v>921.55117199999995</v>
      </c>
      <c r="B1518" s="1">
        <f>DATE(2012,11,7) + TIME(13,13,41)</f>
        <v>41220.551168981481</v>
      </c>
      <c r="C1518">
        <v>90</v>
      </c>
      <c r="D1518">
        <v>88.890495299999998</v>
      </c>
      <c r="E1518">
        <v>30</v>
      </c>
      <c r="F1518">
        <v>29.998302460000001</v>
      </c>
      <c r="G1518">
        <v>1305.8920897999999</v>
      </c>
      <c r="H1518">
        <v>1294.9030762</v>
      </c>
      <c r="I1518">
        <v>1414.2825928</v>
      </c>
      <c r="J1518">
        <v>1385.7797852000001</v>
      </c>
      <c r="K1518">
        <v>0</v>
      </c>
      <c r="L1518">
        <v>2400</v>
      </c>
      <c r="M1518">
        <v>2400</v>
      </c>
      <c r="N1518">
        <v>0</v>
      </c>
    </row>
    <row r="1519" spans="1:14" x14ac:dyDescent="0.25">
      <c r="A1519">
        <v>921.89056800000003</v>
      </c>
      <c r="B1519" s="1">
        <f>DATE(2012,11,7) + TIME(21,22,25)</f>
        <v>41220.890567129631</v>
      </c>
      <c r="C1519">
        <v>90</v>
      </c>
      <c r="D1519">
        <v>88.843864440999994</v>
      </c>
      <c r="E1519">
        <v>30</v>
      </c>
      <c r="F1519">
        <v>29.995731354</v>
      </c>
      <c r="G1519">
        <v>1305.8729248</v>
      </c>
      <c r="H1519">
        <v>1294.8819579999999</v>
      </c>
      <c r="I1519">
        <v>1414.2967529</v>
      </c>
      <c r="J1519">
        <v>1385.8094481999999</v>
      </c>
      <c r="K1519">
        <v>0</v>
      </c>
      <c r="L1519">
        <v>2400</v>
      </c>
      <c r="M1519">
        <v>2400</v>
      </c>
      <c r="N1519">
        <v>0</v>
      </c>
    </row>
    <row r="1520" spans="1:14" x14ac:dyDescent="0.25">
      <c r="A1520">
        <v>922.235186</v>
      </c>
      <c r="B1520" s="1">
        <f>DATE(2012,11,8) + TIME(5,38,40)</f>
        <v>41221.235185185185</v>
      </c>
      <c r="C1520">
        <v>90</v>
      </c>
      <c r="D1520">
        <v>88.796684264999996</v>
      </c>
      <c r="E1520">
        <v>30</v>
      </c>
      <c r="F1520">
        <v>29.993846893000001</v>
      </c>
      <c r="G1520">
        <v>1305.8535156</v>
      </c>
      <c r="H1520">
        <v>1294.8605957</v>
      </c>
      <c r="I1520">
        <v>1414.3105469</v>
      </c>
      <c r="J1520">
        <v>1385.8382568</v>
      </c>
      <c r="K1520">
        <v>0</v>
      </c>
      <c r="L1520">
        <v>2400</v>
      </c>
      <c r="M1520">
        <v>2400</v>
      </c>
      <c r="N1520">
        <v>0</v>
      </c>
    </row>
    <row r="1521" spans="1:14" x14ac:dyDescent="0.25">
      <c r="A1521">
        <v>922.58621200000005</v>
      </c>
      <c r="B1521" s="1">
        <f>DATE(2012,11,8) + TIME(14,4,8)</f>
        <v>41221.5862037037</v>
      </c>
      <c r="C1521">
        <v>90</v>
      </c>
      <c r="D1521">
        <v>88.748886107999994</v>
      </c>
      <c r="E1521">
        <v>30</v>
      </c>
      <c r="F1521">
        <v>29.992460251000001</v>
      </c>
      <c r="G1521">
        <v>1305.8338623</v>
      </c>
      <c r="H1521">
        <v>1294.8388672000001</v>
      </c>
      <c r="I1521">
        <v>1414.3240966999999</v>
      </c>
      <c r="J1521">
        <v>1385.8662108999999</v>
      </c>
      <c r="K1521">
        <v>0</v>
      </c>
      <c r="L1521">
        <v>2400</v>
      </c>
      <c r="M1521">
        <v>2400</v>
      </c>
      <c r="N1521">
        <v>0</v>
      </c>
    </row>
    <row r="1522" spans="1:14" x14ac:dyDescent="0.25">
      <c r="A1522">
        <v>922.94485799999995</v>
      </c>
      <c r="B1522" s="1">
        <f>DATE(2012,11,8) + TIME(22,40,35)</f>
        <v>41221.944849537038</v>
      </c>
      <c r="C1522">
        <v>90</v>
      </c>
      <c r="D1522">
        <v>88.700393676999994</v>
      </c>
      <c r="E1522">
        <v>30</v>
      </c>
      <c r="F1522">
        <v>29.991439819</v>
      </c>
      <c r="G1522">
        <v>1305.8139647999999</v>
      </c>
      <c r="H1522">
        <v>1294.8168945</v>
      </c>
      <c r="I1522">
        <v>1414.3372803</v>
      </c>
      <c r="J1522">
        <v>1385.8934326000001</v>
      </c>
      <c r="K1522">
        <v>0</v>
      </c>
      <c r="L1522">
        <v>2400</v>
      </c>
      <c r="M1522">
        <v>2400</v>
      </c>
      <c r="N1522">
        <v>0</v>
      </c>
    </row>
    <row r="1523" spans="1:14" x14ac:dyDescent="0.25">
      <c r="A1523">
        <v>923.31239600000004</v>
      </c>
      <c r="B1523" s="1">
        <f>DATE(2012,11,9) + TIME(7,29,50)</f>
        <v>41222.312384259261</v>
      </c>
      <c r="C1523">
        <v>90</v>
      </c>
      <c r="D1523">
        <v>88.651092528999996</v>
      </c>
      <c r="E1523">
        <v>30</v>
      </c>
      <c r="F1523">
        <v>29.990686416999999</v>
      </c>
      <c r="G1523">
        <v>1305.7935791</v>
      </c>
      <c r="H1523">
        <v>1294.7944336</v>
      </c>
      <c r="I1523">
        <v>1414.3503418</v>
      </c>
      <c r="J1523">
        <v>1385.9201660000001</v>
      </c>
      <c r="K1523">
        <v>0</v>
      </c>
      <c r="L1523">
        <v>2400</v>
      </c>
      <c r="M1523">
        <v>2400</v>
      </c>
      <c r="N1523">
        <v>0</v>
      </c>
    </row>
    <row r="1524" spans="1:14" x14ac:dyDescent="0.25">
      <c r="A1524">
        <v>923.69018400000004</v>
      </c>
      <c r="B1524" s="1">
        <f>DATE(2012,11,9) + TIME(16,33,51)</f>
        <v>41222.69017361111</v>
      </c>
      <c r="C1524">
        <v>90</v>
      </c>
      <c r="D1524">
        <v>88.600868224999999</v>
      </c>
      <c r="E1524">
        <v>30</v>
      </c>
      <c r="F1524">
        <v>29.990129470999999</v>
      </c>
      <c r="G1524">
        <v>1305.7728271000001</v>
      </c>
      <c r="H1524">
        <v>1294.7713623</v>
      </c>
      <c r="I1524">
        <v>1414.3631591999999</v>
      </c>
      <c r="J1524">
        <v>1385.9464111</v>
      </c>
      <c r="K1524">
        <v>0</v>
      </c>
      <c r="L1524">
        <v>2400</v>
      </c>
      <c r="M1524">
        <v>2400</v>
      </c>
      <c r="N1524">
        <v>0</v>
      </c>
    </row>
    <row r="1525" spans="1:14" x14ac:dyDescent="0.25">
      <c r="A1525">
        <v>924.079521</v>
      </c>
      <c r="B1525" s="1">
        <f>DATE(2012,11,10) + TIME(1,54,30)</f>
        <v>41223.079513888886</v>
      </c>
      <c r="C1525">
        <v>90</v>
      </c>
      <c r="D1525">
        <v>88.549591063999998</v>
      </c>
      <c r="E1525">
        <v>30</v>
      </c>
      <c r="F1525">
        <v>29.989715575999998</v>
      </c>
      <c r="G1525">
        <v>1305.7514647999999</v>
      </c>
      <c r="H1525">
        <v>1294.7476807</v>
      </c>
      <c r="I1525">
        <v>1414.3760986</v>
      </c>
      <c r="J1525">
        <v>1385.9724120999999</v>
      </c>
      <c r="K1525">
        <v>0</v>
      </c>
      <c r="L1525">
        <v>2400</v>
      </c>
      <c r="M1525">
        <v>2400</v>
      </c>
      <c r="N1525">
        <v>0</v>
      </c>
    </row>
    <row r="1526" spans="1:14" x14ac:dyDescent="0.25">
      <c r="A1526">
        <v>924.48218899999995</v>
      </c>
      <c r="B1526" s="1">
        <f>DATE(2012,11,10) + TIME(11,34,21)</f>
        <v>41223.482187499998</v>
      </c>
      <c r="C1526">
        <v>90</v>
      </c>
      <c r="D1526">
        <v>88.497085571</v>
      </c>
      <c r="E1526">
        <v>30</v>
      </c>
      <c r="F1526">
        <v>29.989408492999999</v>
      </c>
      <c r="G1526">
        <v>1305.7294922000001</v>
      </c>
      <c r="H1526">
        <v>1294.7232666</v>
      </c>
      <c r="I1526">
        <v>1414.3887939000001</v>
      </c>
      <c r="J1526">
        <v>1385.9979248</v>
      </c>
      <c r="K1526">
        <v>0</v>
      </c>
      <c r="L1526">
        <v>2400</v>
      </c>
      <c r="M1526">
        <v>2400</v>
      </c>
      <c r="N1526">
        <v>0</v>
      </c>
    </row>
    <row r="1527" spans="1:14" x14ac:dyDescent="0.25">
      <c r="A1527">
        <v>924.89997700000004</v>
      </c>
      <c r="B1527" s="1">
        <f>DATE(2012,11,10) + TIME(21,35,58)</f>
        <v>41223.899976851855</v>
      </c>
      <c r="C1527">
        <v>90</v>
      </c>
      <c r="D1527">
        <v>88.443168639999996</v>
      </c>
      <c r="E1527">
        <v>30</v>
      </c>
      <c r="F1527">
        <v>29.989179611000001</v>
      </c>
      <c r="G1527">
        <v>1305.7067870999999</v>
      </c>
      <c r="H1527">
        <v>1294.6981201000001</v>
      </c>
      <c r="I1527">
        <v>1414.4016113</v>
      </c>
      <c r="J1527">
        <v>1386.0234375</v>
      </c>
      <c r="K1527">
        <v>0</v>
      </c>
      <c r="L1527">
        <v>2400</v>
      </c>
      <c r="M1527">
        <v>2400</v>
      </c>
      <c r="N1527">
        <v>0</v>
      </c>
    </row>
    <row r="1528" spans="1:14" x14ac:dyDescent="0.25">
      <c r="A1528">
        <v>925.33495000000005</v>
      </c>
      <c r="B1528" s="1">
        <f>DATE(2012,11,11) + TIME(8,2,19)</f>
        <v>41224.33494212963</v>
      </c>
      <c r="C1528">
        <v>90</v>
      </c>
      <c r="D1528">
        <v>88.387641907000003</v>
      </c>
      <c r="E1528">
        <v>30</v>
      </c>
      <c r="F1528">
        <v>29.989007950000001</v>
      </c>
      <c r="G1528">
        <v>1305.6833495999999</v>
      </c>
      <c r="H1528">
        <v>1294.6719971</v>
      </c>
      <c r="I1528">
        <v>1414.4145507999999</v>
      </c>
      <c r="J1528">
        <v>1386.0488281</v>
      </c>
      <c r="K1528">
        <v>0</v>
      </c>
      <c r="L1528">
        <v>2400</v>
      </c>
      <c r="M1528">
        <v>2400</v>
      </c>
      <c r="N1528">
        <v>0</v>
      </c>
    </row>
    <row r="1529" spans="1:14" x14ac:dyDescent="0.25">
      <c r="A1529">
        <v>925.78947700000003</v>
      </c>
      <c r="B1529" s="1">
        <f>DATE(2012,11,11) + TIME(18,56,50)</f>
        <v>41224.789467592593</v>
      </c>
      <c r="C1529">
        <v>90</v>
      </c>
      <c r="D1529">
        <v>88.330268860000004</v>
      </c>
      <c r="E1529">
        <v>30</v>
      </c>
      <c r="F1529">
        <v>29.988880157000001</v>
      </c>
      <c r="G1529">
        <v>1305.6588135</v>
      </c>
      <c r="H1529">
        <v>1294.6447754000001</v>
      </c>
      <c r="I1529">
        <v>1414.4276123</v>
      </c>
      <c r="J1529">
        <v>1386.0740966999999</v>
      </c>
      <c r="K1529">
        <v>0</v>
      </c>
      <c r="L1529">
        <v>2400</v>
      </c>
      <c r="M1529">
        <v>2400</v>
      </c>
      <c r="N1529">
        <v>0</v>
      </c>
    </row>
    <row r="1530" spans="1:14" x14ac:dyDescent="0.25">
      <c r="A1530">
        <v>926.26228400000002</v>
      </c>
      <c r="B1530" s="1">
        <f>DATE(2012,11,12) + TIME(6,17,41)</f>
        <v>41225.262280092589</v>
      </c>
      <c r="C1530">
        <v>90</v>
      </c>
      <c r="D1530">
        <v>88.271102905000006</v>
      </c>
      <c r="E1530">
        <v>30</v>
      </c>
      <c r="F1530">
        <v>29.988782882999999</v>
      </c>
      <c r="G1530">
        <v>1305.6333007999999</v>
      </c>
      <c r="H1530">
        <v>1294.6162108999999</v>
      </c>
      <c r="I1530">
        <v>1414.4407959</v>
      </c>
      <c r="J1530">
        <v>1386.0996094</v>
      </c>
      <c r="K1530">
        <v>0</v>
      </c>
      <c r="L1530">
        <v>2400</v>
      </c>
      <c r="M1530">
        <v>2400</v>
      </c>
      <c r="N1530">
        <v>0</v>
      </c>
    </row>
    <row r="1531" spans="1:14" x14ac:dyDescent="0.25">
      <c r="A1531">
        <v>926.73947099999998</v>
      </c>
      <c r="B1531" s="1">
        <f>DATE(2012,11,12) + TIME(17,44,50)</f>
        <v>41225.73946759259</v>
      </c>
      <c r="C1531">
        <v>90</v>
      </c>
      <c r="D1531">
        <v>88.211242675999998</v>
      </c>
      <c r="E1531">
        <v>30</v>
      </c>
      <c r="F1531">
        <v>29.988712311</v>
      </c>
      <c r="G1531">
        <v>1305.6066894999999</v>
      </c>
      <c r="H1531">
        <v>1294.5865478999999</v>
      </c>
      <c r="I1531">
        <v>1414.4541016000001</v>
      </c>
      <c r="J1531">
        <v>1386.125</v>
      </c>
      <c r="K1531">
        <v>0</v>
      </c>
      <c r="L1531">
        <v>2400</v>
      </c>
      <c r="M1531">
        <v>2400</v>
      </c>
      <c r="N1531">
        <v>0</v>
      </c>
    </row>
    <row r="1532" spans="1:14" x14ac:dyDescent="0.25">
      <c r="A1532">
        <v>927.222578</v>
      </c>
      <c r="B1532" s="1">
        <f>DATE(2012,11,13) + TIME(5,20,30)</f>
        <v>41226.222569444442</v>
      </c>
      <c r="C1532">
        <v>90</v>
      </c>
      <c r="D1532">
        <v>88.150794982999997</v>
      </c>
      <c r="E1532">
        <v>30</v>
      </c>
      <c r="F1532">
        <v>29.988658905000001</v>
      </c>
      <c r="G1532">
        <v>1305.5797118999999</v>
      </c>
      <c r="H1532">
        <v>1294.5566406</v>
      </c>
      <c r="I1532">
        <v>1414.4670410000001</v>
      </c>
      <c r="J1532">
        <v>1386.1495361</v>
      </c>
      <c r="K1532">
        <v>0</v>
      </c>
      <c r="L1532">
        <v>2400</v>
      </c>
      <c r="M1532">
        <v>2400</v>
      </c>
      <c r="N1532">
        <v>0</v>
      </c>
    </row>
    <row r="1533" spans="1:14" x14ac:dyDescent="0.25">
      <c r="A1533">
        <v>927.71305500000005</v>
      </c>
      <c r="B1533" s="1">
        <f>DATE(2012,11,13) + TIME(17,6,47)</f>
        <v>41226.713043981479</v>
      </c>
      <c r="C1533">
        <v>90</v>
      </c>
      <c r="D1533">
        <v>88.089767456000004</v>
      </c>
      <c r="E1533">
        <v>30</v>
      </c>
      <c r="F1533">
        <v>29.988618850999998</v>
      </c>
      <c r="G1533">
        <v>1305.5524902</v>
      </c>
      <c r="H1533">
        <v>1294.5261230000001</v>
      </c>
      <c r="I1533">
        <v>1414.4798584</v>
      </c>
      <c r="J1533">
        <v>1386.1735839999999</v>
      </c>
      <c r="K1533">
        <v>0</v>
      </c>
      <c r="L1533">
        <v>2400</v>
      </c>
      <c r="M1533">
        <v>2400</v>
      </c>
      <c r="N1533">
        <v>0</v>
      </c>
    </row>
    <row r="1534" spans="1:14" x14ac:dyDescent="0.25">
      <c r="A1534">
        <v>928.21238400000004</v>
      </c>
      <c r="B1534" s="1">
        <f>DATE(2012,11,14) + TIME(5,5,49)</f>
        <v>41227.212372685186</v>
      </c>
      <c r="C1534">
        <v>90</v>
      </c>
      <c r="D1534">
        <v>88.028091431000007</v>
      </c>
      <c r="E1534">
        <v>30</v>
      </c>
      <c r="F1534">
        <v>29.988588332999999</v>
      </c>
      <c r="G1534">
        <v>1305.5247803</v>
      </c>
      <c r="H1534">
        <v>1294.4951172000001</v>
      </c>
      <c r="I1534">
        <v>1414.4925536999999</v>
      </c>
      <c r="J1534">
        <v>1386.1970214999999</v>
      </c>
      <c r="K1534">
        <v>0</v>
      </c>
      <c r="L1534">
        <v>2400</v>
      </c>
      <c r="M1534">
        <v>2400</v>
      </c>
      <c r="N1534">
        <v>0</v>
      </c>
    </row>
    <row r="1535" spans="1:14" x14ac:dyDescent="0.25">
      <c r="A1535">
        <v>928.72210299999995</v>
      </c>
      <c r="B1535" s="1">
        <f>DATE(2012,11,14) + TIME(17,19,49)</f>
        <v>41227.722094907411</v>
      </c>
      <c r="C1535">
        <v>90</v>
      </c>
      <c r="D1535">
        <v>87.965682982999994</v>
      </c>
      <c r="E1535">
        <v>30</v>
      </c>
      <c r="F1535">
        <v>29.988565444999999</v>
      </c>
      <c r="G1535">
        <v>1305.496582</v>
      </c>
      <c r="H1535">
        <v>1294.4633789</v>
      </c>
      <c r="I1535">
        <v>1414.5051269999999</v>
      </c>
      <c r="J1535">
        <v>1386.2199707</v>
      </c>
      <c r="K1535">
        <v>0</v>
      </c>
      <c r="L1535">
        <v>2400</v>
      </c>
      <c r="M1535">
        <v>2400</v>
      </c>
      <c r="N1535">
        <v>0</v>
      </c>
    </row>
    <row r="1536" spans="1:14" x14ac:dyDescent="0.25">
      <c r="A1536">
        <v>929.24383999999998</v>
      </c>
      <c r="B1536" s="1">
        <f>DATE(2012,11,15) + TIME(5,51,7)</f>
        <v>41228.243831018517</v>
      </c>
      <c r="C1536">
        <v>90</v>
      </c>
      <c r="D1536">
        <v>87.902404785000002</v>
      </c>
      <c r="E1536">
        <v>30</v>
      </c>
      <c r="F1536">
        <v>29.988546371000002</v>
      </c>
      <c r="G1536">
        <v>1305.4677733999999</v>
      </c>
      <c r="H1536">
        <v>1294.4310303</v>
      </c>
      <c r="I1536">
        <v>1414.5175781</v>
      </c>
      <c r="J1536">
        <v>1386.2425536999999</v>
      </c>
      <c r="K1536">
        <v>0</v>
      </c>
      <c r="L1536">
        <v>2400</v>
      </c>
      <c r="M1536">
        <v>2400</v>
      </c>
      <c r="N1536">
        <v>0</v>
      </c>
    </row>
    <row r="1537" spans="1:14" x14ac:dyDescent="0.25">
      <c r="A1537">
        <v>929.77933900000005</v>
      </c>
      <c r="B1537" s="1">
        <f>DATE(2012,11,15) + TIME(18,42,14)</f>
        <v>41228.779328703706</v>
      </c>
      <c r="C1537">
        <v>90</v>
      </c>
      <c r="D1537">
        <v>87.838111877000003</v>
      </c>
      <c r="E1537">
        <v>30</v>
      </c>
      <c r="F1537">
        <v>29.988533019999998</v>
      </c>
      <c r="G1537">
        <v>1305.4381103999999</v>
      </c>
      <c r="H1537">
        <v>1294.3975829999999</v>
      </c>
      <c r="I1537">
        <v>1414.5300293</v>
      </c>
      <c r="J1537">
        <v>1386.2650146000001</v>
      </c>
      <c r="K1537">
        <v>0</v>
      </c>
      <c r="L1537">
        <v>2400</v>
      </c>
      <c r="M1537">
        <v>2400</v>
      </c>
      <c r="N1537">
        <v>0</v>
      </c>
    </row>
    <row r="1538" spans="1:14" x14ac:dyDescent="0.25">
      <c r="A1538">
        <v>930.33035299999995</v>
      </c>
      <c r="B1538" s="1">
        <f>DATE(2012,11,16) + TIME(7,55,42)</f>
        <v>41229.330347222225</v>
      </c>
      <c r="C1538">
        <v>90</v>
      </c>
      <c r="D1538">
        <v>87.772644043</v>
      </c>
      <c r="E1538">
        <v>30</v>
      </c>
      <c r="F1538">
        <v>29.988521576</v>
      </c>
      <c r="G1538">
        <v>1305.4077147999999</v>
      </c>
      <c r="H1538">
        <v>1294.3632812000001</v>
      </c>
      <c r="I1538">
        <v>1414.5423584</v>
      </c>
      <c r="J1538">
        <v>1386.2871094</v>
      </c>
      <c r="K1538">
        <v>0</v>
      </c>
      <c r="L1538">
        <v>2400</v>
      </c>
      <c r="M1538">
        <v>2400</v>
      </c>
      <c r="N1538">
        <v>0</v>
      </c>
    </row>
    <row r="1539" spans="1:14" x14ac:dyDescent="0.25">
      <c r="A1539">
        <v>930.89903200000003</v>
      </c>
      <c r="B1539" s="1">
        <f>DATE(2012,11,16) + TIME(21,34,36)</f>
        <v>41229.899027777778</v>
      </c>
      <c r="C1539">
        <v>90</v>
      </c>
      <c r="D1539">
        <v>87.705802917</v>
      </c>
      <c r="E1539">
        <v>30</v>
      </c>
      <c r="F1539">
        <v>29.988512039</v>
      </c>
      <c r="G1539">
        <v>1305.3763428</v>
      </c>
      <c r="H1539">
        <v>1294.3277588000001</v>
      </c>
      <c r="I1539">
        <v>1414.5549315999999</v>
      </c>
      <c r="J1539">
        <v>1386.3092041</v>
      </c>
      <c r="K1539">
        <v>0</v>
      </c>
      <c r="L1539">
        <v>2400</v>
      </c>
      <c r="M1539">
        <v>2400</v>
      </c>
      <c r="N1539">
        <v>0</v>
      </c>
    </row>
    <row r="1540" spans="1:14" x14ac:dyDescent="0.25">
      <c r="A1540">
        <v>931.48778300000004</v>
      </c>
      <c r="B1540" s="1">
        <f>DATE(2012,11,17) + TIME(11,42,24)</f>
        <v>41230.48777777778</v>
      </c>
      <c r="C1540">
        <v>90</v>
      </c>
      <c r="D1540">
        <v>87.637382506999998</v>
      </c>
      <c r="E1540">
        <v>30</v>
      </c>
      <c r="F1540">
        <v>29.988506316999999</v>
      </c>
      <c r="G1540">
        <v>1305.3438721</v>
      </c>
      <c r="H1540">
        <v>1294.2910156</v>
      </c>
      <c r="I1540">
        <v>1414.5675048999999</v>
      </c>
      <c r="J1540">
        <v>1386.3311768000001</v>
      </c>
      <c r="K1540">
        <v>0</v>
      </c>
      <c r="L1540">
        <v>2400</v>
      </c>
      <c r="M1540">
        <v>2400</v>
      </c>
      <c r="N1540">
        <v>0</v>
      </c>
    </row>
    <row r="1541" spans="1:14" x14ac:dyDescent="0.25">
      <c r="A1541">
        <v>932.09928400000001</v>
      </c>
      <c r="B1541" s="1">
        <f>DATE(2012,11,18) + TIME(2,22,58)</f>
        <v>41231.099282407406</v>
      </c>
      <c r="C1541">
        <v>90</v>
      </c>
      <c r="D1541">
        <v>87.567138671999999</v>
      </c>
      <c r="E1541">
        <v>30</v>
      </c>
      <c r="F1541">
        <v>29.988500595000001</v>
      </c>
      <c r="G1541">
        <v>1305.3100586</v>
      </c>
      <c r="H1541">
        <v>1294.2526855000001</v>
      </c>
      <c r="I1541">
        <v>1414.5802002</v>
      </c>
      <c r="J1541">
        <v>1386.3532714999999</v>
      </c>
      <c r="K1541">
        <v>0</v>
      </c>
      <c r="L1541">
        <v>2400</v>
      </c>
      <c r="M1541">
        <v>2400</v>
      </c>
      <c r="N1541">
        <v>0</v>
      </c>
    </row>
    <row r="1542" spans="1:14" x14ac:dyDescent="0.25">
      <c r="A1542">
        <v>932.72629700000005</v>
      </c>
      <c r="B1542" s="1">
        <f>DATE(2012,11,18) + TIME(17,25,52)</f>
        <v>41231.7262962963</v>
      </c>
      <c r="C1542">
        <v>90</v>
      </c>
      <c r="D1542">
        <v>87.495483398000005</v>
      </c>
      <c r="E1542">
        <v>30</v>
      </c>
      <c r="F1542">
        <v>29.988496779999998</v>
      </c>
      <c r="G1542">
        <v>1305.2749022999999</v>
      </c>
      <c r="H1542">
        <v>1294.2126464999999</v>
      </c>
      <c r="I1542">
        <v>1414.5930175999999</v>
      </c>
      <c r="J1542">
        <v>1386.3753661999999</v>
      </c>
      <c r="K1542">
        <v>0</v>
      </c>
      <c r="L1542">
        <v>2400</v>
      </c>
      <c r="M1542">
        <v>2400</v>
      </c>
      <c r="N1542">
        <v>0</v>
      </c>
    </row>
    <row r="1543" spans="1:14" x14ac:dyDescent="0.25">
      <c r="A1543">
        <v>933.35952399999996</v>
      </c>
      <c r="B1543" s="1">
        <f>DATE(2012,11,19) + TIME(8,37,42)</f>
        <v>41232.359513888892</v>
      </c>
      <c r="C1543">
        <v>90</v>
      </c>
      <c r="D1543">
        <v>87.423126221000004</v>
      </c>
      <c r="E1543">
        <v>30</v>
      </c>
      <c r="F1543">
        <v>29.988494873</v>
      </c>
      <c r="G1543">
        <v>1305.2386475000001</v>
      </c>
      <c r="H1543">
        <v>1294.1713867000001</v>
      </c>
      <c r="I1543">
        <v>1414.6058350000001</v>
      </c>
      <c r="J1543">
        <v>1386.3972168</v>
      </c>
      <c r="K1543">
        <v>0</v>
      </c>
      <c r="L1543">
        <v>2400</v>
      </c>
      <c r="M1543">
        <v>2400</v>
      </c>
      <c r="N1543">
        <v>0</v>
      </c>
    </row>
    <row r="1544" spans="1:14" x14ac:dyDescent="0.25">
      <c r="A1544">
        <v>934.00075200000003</v>
      </c>
      <c r="B1544" s="1">
        <f>DATE(2012,11,20) + TIME(0,1,4)</f>
        <v>41233.000740740739</v>
      </c>
      <c r="C1544">
        <v>90</v>
      </c>
      <c r="D1544">
        <v>87.350219726999995</v>
      </c>
      <c r="E1544">
        <v>30</v>
      </c>
      <c r="F1544">
        <v>29.988492965999999</v>
      </c>
      <c r="G1544">
        <v>1305.2017822</v>
      </c>
      <c r="H1544">
        <v>1294.1293945</v>
      </c>
      <c r="I1544">
        <v>1414.6185303</v>
      </c>
      <c r="J1544">
        <v>1386.4185791</v>
      </c>
      <c r="K1544">
        <v>0</v>
      </c>
      <c r="L1544">
        <v>2400</v>
      </c>
      <c r="M1544">
        <v>2400</v>
      </c>
      <c r="N1544">
        <v>0</v>
      </c>
    </row>
    <row r="1545" spans="1:14" x14ac:dyDescent="0.25">
      <c r="A1545">
        <v>934.65172099999995</v>
      </c>
      <c r="B1545" s="1">
        <f>DATE(2012,11,20) + TIME(15,38,28)</f>
        <v>41233.651712962965</v>
      </c>
      <c r="C1545">
        <v>90</v>
      </c>
      <c r="D1545">
        <v>87.276779175000001</v>
      </c>
      <c r="E1545">
        <v>30</v>
      </c>
      <c r="F1545">
        <v>29.988491058000001</v>
      </c>
      <c r="G1545">
        <v>1305.1643065999999</v>
      </c>
      <c r="H1545">
        <v>1294.0865478999999</v>
      </c>
      <c r="I1545">
        <v>1414.6311035000001</v>
      </c>
      <c r="J1545">
        <v>1386.4395752</v>
      </c>
      <c r="K1545">
        <v>0</v>
      </c>
      <c r="L1545">
        <v>2400</v>
      </c>
      <c r="M1545">
        <v>2400</v>
      </c>
      <c r="N1545">
        <v>0</v>
      </c>
    </row>
    <row r="1546" spans="1:14" x14ac:dyDescent="0.25">
      <c r="A1546">
        <v>935.31422699999996</v>
      </c>
      <c r="B1546" s="1">
        <f>DATE(2012,11,21) + TIME(7,32,29)</f>
        <v>41234.31422453704</v>
      </c>
      <c r="C1546">
        <v>90</v>
      </c>
      <c r="D1546">
        <v>87.202728270999998</v>
      </c>
      <c r="E1546">
        <v>30</v>
      </c>
      <c r="F1546">
        <v>29.988491058000001</v>
      </c>
      <c r="G1546">
        <v>1305.1260986</v>
      </c>
      <c r="H1546">
        <v>1294.0427245999999</v>
      </c>
      <c r="I1546">
        <v>1414.6435547000001</v>
      </c>
      <c r="J1546">
        <v>1386.4602050999999</v>
      </c>
      <c r="K1546">
        <v>0</v>
      </c>
      <c r="L1546">
        <v>2400</v>
      </c>
      <c r="M1546">
        <v>2400</v>
      </c>
      <c r="N1546">
        <v>0</v>
      </c>
    </row>
    <row r="1547" spans="1:14" x14ac:dyDescent="0.25">
      <c r="A1547">
        <v>935.99015699999995</v>
      </c>
      <c r="B1547" s="1">
        <f>DATE(2012,11,21) + TIME(23,45,49)</f>
        <v>41234.99015046296</v>
      </c>
      <c r="C1547">
        <v>90</v>
      </c>
      <c r="D1547">
        <v>87.127937317000004</v>
      </c>
      <c r="E1547">
        <v>30</v>
      </c>
      <c r="F1547">
        <v>29.988491058000001</v>
      </c>
      <c r="G1547">
        <v>1305.0870361</v>
      </c>
      <c r="H1547">
        <v>1293.9978027</v>
      </c>
      <c r="I1547">
        <v>1414.6558838000001</v>
      </c>
      <c r="J1547">
        <v>1386.4804687999999</v>
      </c>
      <c r="K1547">
        <v>0</v>
      </c>
      <c r="L1547">
        <v>2400</v>
      </c>
      <c r="M1547">
        <v>2400</v>
      </c>
      <c r="N1547">
        <v>0</v>
      </c>
    </row>
    <row r="1548" spans="1:14" x14ac:dyDescent="0.25">
      <c r="A1548">
        <v>936.68151799999998</v>
      </c>
      <c r="B1548" s="1">
        <f>DATE(2012,11,22) + TIME(16,21,23)</f>
        <v>41235.681516203702</v>
      </c>
      <c r="C1548">
        <v>90</v>
      </c>
      <c r="D1548">
        <v>87.052268982000001</v>
      </c>
      <c r="E1548">
        <v>30</v>
      </c>
      <c r="F1548">
        <v>29.988491058000001</v>
      </c>
      <c r="G1548">
        <v>1305.0469971</v>
      </c>
      <c r="H1548">
        <v>1293.9515381000001</v>
      </c>
      <c r="I1548">
        <v>1414.6682129000001</v>
      </c>
      <c r="J1548">
        <v>1386.5006103999999</v>
      </c>
      <c r="K1548">
        <v>0</v>
      </c>
      <c r="L1548">
        <v>2400</v>
      </c>
      <c r="M1548">
        <v>2400</v>
      </c>
      <c r="N1548">
        <v>0</v>
      </c>
    </row>
    <row r="1549" spans="1:14" x14ac:dyDescent="0.25">
      <c r="A1549">
        <v>937.39048000000003</v>
      </c>
      <c r="B1549" s="1">
        <f>DATE(2012,11,23) + TIME(9,22,17)</f>
        <v>41236.390474537038</v>
      </c>
      <c r="C1549">
        <v>90</v>
      </c>
      <c r="D1549">
        <v>86.975524902000004</v>
      </c>
      <c r="E1549">
        <v>30</v>
      </c>
      <c r="F1549">
        <v>29.988491058000001</v>
      </c>
      <c r="G1549">
        <v>1305.0057373</v>
      </c>
      <c r="H1549">
        <v>1293.9038086</v>
      </c>
      <c r="I1549">
        <v>1414.6806641000001</v>
      </c>
      <c r="J1549">
        <v>1386.5206298999999</v>
      </c>
      <c r="K1549">
        <v>0</v>
      </c>
      <c r="L1549">
        <v>2400</v>
      </c>
      <c r="M1549">
        <v>2400</v>
      </c>
      <c r="N1549">
        <v>0</v>
      </c>
    </row>
    <row r="1550" spans="1:14" x14ac:dyDescent="0.25">
      <c r="A1550">
        <v>938.11927600000001</v>
      </c>
      <c r="B1550" s="1">
        <f>DATE(2012,11,24) + TIME(2,51,45)</f>
        <v>41237.119270833333</v>
      </c>
      <c r="C1550">
        <v>90</v>
      </c>
      <c r="D1550">
        <v>86.897537231000001</v>
      </c>
      <c r="E1550">
        <v>30</v>
      </c>
      <c r="F1550">
        <v>29.988492965999999</v>
      </c>
      <c r="G1550">
        <v>1304.9631348</v>
      </c>
      <c r="H1550">
        <v>1293.8543701000001</v>
      </c>
      <c r="I1550">
        <v>1414.6929932</v>
      </c>
      <c r="J1550">
        <v>1386.5405272999999</v>
      </c>
      <c r="K1550">
        <v>0</v>
      </c>
      <c r="L1550">
        <v>2400</v>
      </c>
      <c r="M1550">
        <v>2400</v>
      </c>
      <c r="N1550">
        <v>0</v>
      </c>
    </row>
    <row r="1551" spans="1:14" x14ac:dyDescent="0.25">
      <c r="A1551">
        <v>938.870408</v>
      </c>
      <c r="B1551" s="1">
        <f>DATE(2012,11,24) + TIME(20,53,23)</f>
        <v>41237.870405092595</v>
      </c>
      <c r="C1551">
        <v>90</v>
      </c>
      <c r="D1551">
        <v>86.818092346</v>
      </c>
      <c r="E1551">
        <v>30</v>
      </c>
      <c r="F1551">
        <v>29.988492965999999</v>
      </c>
      <c r="G1551">
        <v>1304.9190673999999</v>
      </c>
      <c r="H1551">
        <v>1293.8031006000001</v>
      </c>
      <c r="I1551">
        <v>1414.7054443</v>
      </c>
      <c r="J1551">
        <v>1386.5603027</v>
      </c>
      <c r="K1551">
        <v>0</v>
      </c>
      <c r="L1551">
        <v>2400</v>
      </c>
      <c r="M1551">
        <v>2400</v>
      </c>
      <c r="N1551">
        <v>0</v>
      </c>
    </row>
    <row r="1552" spans="1:14" x14ac:dyDescent="0.25">
      <c r="A1552">
        <v>939.64698299999998</v>
      </c>
      <c r="B1552" s="1">
        <f>DATE(2012,11,25) + TIME(15,31,39)</f>
        <v>41238.646979166668</v>
      </c>
      <c r="C1552">
        <v>90</v>
      </c>
      <c r="D1552">
        <v>86.736946106000005</v>
      </c>
      <c r="E1552">
        <v>30</v>
      </c>
      <c r="F1552">
        <v>29.988494873</v>
      </c>
      <c r="G1552">
        <v>1304.8732910000001</v>
      </c>
      <c r="H1552">
        <v>1293.7498779</v>
      </c>
      <c r="I1552">
        <v>1414.7180175999999</v>
      </c>
      <c r="J1552">
        <v>1386.5802002</v>
      </c>
      <c r="K1552">
        <v>0</v>
      </c>
      <c r="L1552">
        <v>2400</v>
      </c>
      <c r="M1552">
        <v>2400</v>
      </c>
      <c r="N1552">
        <v>0</v>
      </c>
    </row>
    <row r="1553" spans="1:14" x14ac:dyDescent="0.25">
      <c r="A1553">
        <v>940.437949</v>
      </c>
      <c r="B1553" s="1">
        <f>DATE(2012,11,26) + TIME(10,30,38)</f>
        <v>41239.437939814816</v>
      </c>
      <c r="C1553">
        <v>90</v>
      </c>
      <c r="D1553">
        <v>86.654602050999998</v>
      </c>
      <c r="E1553">
        <v>30</v>
      </c>
      <c r="F1553">
        <v>29.988494873</v>
      </c>
      <c r="G1553">
        <v>1304.8256836</v>
      </c>
      <c r="H1553">
        <v>1293.6942139</v>
      </c>
      <c r="I1553">
        <v>1414.7307129000001</v>
      </c>
      <c r="J1553">
        <v>1386.6000977000001</v>
      </c>
      <c r="K1553">
        <v>0</v>
      </c>
      <c r="L1553">
        <v>2400</v>
      </c>
      <c r="M1553">
        <v>2400</v>
      </c>
      <c r="N1553">
        <v>0</v>
      </c>
    </row>
    <row r="1554" spans="1:14" x14ac:dyDescent="0.25">
      <c r="A1554">
        <v>941.23688700000002</v>
      </c>
      <c r="B1554" s="1">
        <f>DATE(2012,11,27) + TIME(5,41,7)</f>
        <v>41240.236886574072</v>
      </c>
      <c r="C1554">
        <v>90</v>
      </c>
      <c r="D1554">
        <v>86.571640015</v>
      </c>
      <c r="E1554">
        <v>30</v>
      </c>
      <c r="F1554">
        <v>29.988496779999998</v>
      </c>
      <c r="G1554">
        <v>1304.7767334</v>
      </c>
      <c r="H1554">
        <v>1293.6369629000001</v>
      </c>
      <c r="I1554">
        <v>1414.7434082</v>
      </c>
      <c r="J1554">
        <v>1386.619751</v>
      </c>
      <c r="K1554">
        <v>0</v>
      </c>
      <c r="L1554">
        <v>2400</v>
      </c>
      <c r="M1554">
        <v>2400</v>
      </c>
      <c r="N1554">
        <v>0</v>
      </c>
    </row>
    <row r="1555" spans="1:14" x14ac:dyDescent="0.25">
      <c r="A1555">
        <v>942.04584299999999</v>
      </c>
      <c r="B1555" s="1">
        <f>DATE(2012,11,28) + TIME(1,6,0)</f>
        <v>41241.04583333333</v>
      </c>
      <c r="C1555">
        <v>90</v>
      </c>
      <c r="D1555">
        <v>86.488227843999994</v>
      </c>
      <c r="E1555">
        <v>30</v>
      </c>
      <c r="F1555">
        <v>29.988498688</v>
      </c>
      <c r="G1555">
        <v>1304.7268065999999</v>
      </c>
      <c r="H1555">
        <v>1293.5783690999999</v>
      </c>
      <c r="I1555">
        <v>1414.7558594</v>
      </c>
      <c r="J1555">
        <v>1386.6391602000001</v>
      </c>
      <c r="K1555">
        <v>0</v>
      </c>
      <c r="L1555">
        <v>2400</v>
      </c>
      <c r="M1555">
        <v>2400</v>
      </c>
      <c r="N1555">
        <v>0</v>
      </c>
    </row>
    <row r="1556" spans="1:14" x14ac:dyDescent="0.25">
      <c r="A1556">
        <v>942.86685399999999</v>
      </c>
      <c r="B1556" s="1">
        <f>DATE(2012,11,28) + TIME(20,48,16)</f>
        <v>41241.866851851853</v>
      </c>
      <c r="C1556">
        <v>90</v>
      </c>
      <c r="D1556">
        <v>86.404357910000002</v>
      </c>
      <c r="E1556">
        <v>30</v>
      </c>
      <c r="F1556">
        <v>29.988500595000001</v>
      </c>
      <c r="G1556">
        <v>1304.6759033000001</v>
      </c>
      <c r="H1556">
        <v>1293.5183105000001</v>
      </c>
      <c r="I1556">
        <v>1414.7683105000001</v>
      </c>
      <c r="J1556">
        <v>1386.6580810999999</v>
      </c>
      <c r="K1556">
        <v>0</v>
      </c>
      <c r="L1556">
        <v>2400</v>
      </c>
      <c r="M1556">
        <v>2400</v>
      </c>
      <c r="N1556">
        <v>0</v>
      </c>
    </row>
    <row r="1557" spans="1:14" x14ac:dyDescent="0.25">
      <c r="A1557">
        <v>943.70203600000002</v>
      </c>
      <c r="B1557" s="1">
        <f>DATE(2012,11,29) + TIME(16,50,55)</f>
        <v>41242.702025462961</v>
      </c>
      <c r="C1557">
        <v>90</v>
      </c>
      <c r="D1557">
        <v>86.319931030000006</v>
      </c>
      <c r="E1557">
        <v>30</v>
      </c>
      <c r="F1557">
        <v>29.988502501999999</v>
      </c>
      <c r="G1557">
        <v>1304.6237793</v>
      </c>
      <c r="H1557">
        <v>1293.4566649999999</v>
      </c>
      <c r="I1557">
        <v>1414.7806396000001</v>
      </c>
      <c r="J1557">
        <v>1386.6768798999999</v>
      </c>
      <c r="K1557">
        <v>0</v>
      </c>
      <c r="L1557">
        <v>2400</v>
      </c>
      <c r="M1557">
        <v>2400</v>
      </c>
      <c r="N1557">
        <v>0</v>
      </c>
    </row>
    <row r="1558" spans="1:14" x14ac:dyDescent="0.25">
      <c r="A1558">
        <v>944.55362000000002</v>
      </c>
      <c r="B1558" s="1">
        <f>DATE(2012,11,30) + TIME(13,17,12)</f>
        <v>41243.553611111114</v>
      </c>
      <c r="C1558">
        <v>90</v>
      </c>
      <c r="D1558">
        <v>86.234817504999995</v>
      </c>
      <c r="E1558">
        <v>30</v>
      </c>
      <c r="F1558">
        <v>29.988506316999999</v>
      </c>
      <c r="G1558">
        <v>1304.5703125</v>
      </c>
      <c r="H1558">
        <v>1293.3931885</v>
      </c>
      <c r="I1558">
        <v>1414.7929687999999</v>
      </c>
      <c r="J1558">
        <v>1386.6954346</v>
      </c>
      <c r="K1558">
        <v>0</v>
      </c>
      <c r="L1558">
        <v>2400</v>
      </c>
      <c r="M1558">
        <v>2400</v>
      </c>
      <c r="N1558">
        <v>0</v>
      </c>
    </row>
    <row r="1559" spans="1:14" x14ac:dyDescent="0.25">
      <c r="A1559">
        <v>945</v>
      </c>
      <c r="B1559" s="1">
        <f>DATE(2012,12,1) + TIME(0,0,0)</f>
        <v>41244</v>
      </c>
      <c r="C1559">
        <v>90</v>
      </c>
      <c r="D1559">
        <v>86.176322936999995</v>
      </c>
      <c r="E1559">
        <v>30</v>
      </c>
      <c r="F1559">
        <v>29.988506316999999</v>
      </c>
      <c r="G1559">
        <v>1304.5151367000001</v>
      </c>
      <c r="H1559">
        <v>1293.3304443</v>
      </c>
      <c r="I1559">
        <v>1414.8046875</v>
      </c>
      <c r="J1559">
        <v>1386.7132568</v>
      </c>
      <c r="K1559">
        <v>0</v>
      </c>
      <c r="L1559">
        <v>2400</v>
      </c>
      <c r="M1559">
        <v>2400</v>
      </c>
      <c r="N1559">
        <v>0</v>
      </c>
    </row>
    <row r="1560" spans="1:14" x14ac:dyDescent="0.25">
      <c r="A1560">
        <v>945.87037199999997</v>
      </c>
      <c r="B1560" s="1">
        <f>DATE(2012,12,1) + TIME(20,53,20)</f>
        <v>41244.870370370372</v>
      </c>
      <c r="C1560">
        <v>90</v>
      </c>
      <c r="D1560">
        <v>86.097564696999996</v>
      </c>
      <c r="E1560">
        <v>30</v>
      </c>
      <c r="F1560">
        <v>29.988508224</v>
      </c>
      <c r="G1560">
        <v>1304.4855957</v>
      </c>
      <c r="H1560">
        <v>1293.2913818</v>
      </c>
      <c r="I1560">
        <v>1414.8115233999999</v>
      </c>
      <c r="J1560">
        <v>1386.7232666</v>
      </c>
      <c r="K1560">
        <v>0</v>
      </c>
      <c r="L1560">
        <v>2400</v>
      </c>
      <c r="M1560">
        <v>2400</v>
      </c>
      <c r="N1560">
        <v>0</v>
      </c>
    </row>
    <row r="1561" spans="1:14" x14ac:dyDescent="0.25">
      <c r="A1561">
        <v>946.77437799999996</v>
      </c>
      <c r="B1561" s="1">
        <f>DATE(2012,12,2) + TIME(18,35,6)</f>
        <v>41245.774375000001</v>
      </c>
      <c r="C1561">
        <v>90</v>
      </c>
      <c r="D1561">
        <v>86.013771057</v>
      </c>
      <c r="E1561">
        <v>30</v>
      </c>
      <c r="F1561">
        <v>29.988512039</v>
      </c>
      <c r="G1561">
        <v>1304.4289550999999</v>
      </c>
      <c r="H1561">
        <v>1293.223999</v>
      </c>
      <c r="I1561">
        <v>1414.8237305</v>
      </c>
      <c r="J1561">
        <v>1386.7412108999999</v>
      </c>
      <c r="K1561">
        <v>0</v>
      </c>
      <c r="L1561">
        <v>2400</v>
      </c>
      <c r="M1561">
        <v>2400</v>
      </c>
      <c r="N1561">
        <v>0</v>
      </c>
    </row>
    <row r="1562" spans="1:14" x14ac:dyDescent="0.25">
      <c r="A1562">
        <v>947.70349399999998</v>
      </c>
      <c r="B1562" s="1">
        <f>DATE(2012,12,3) + TIME(16,53,1)</f>
        <v>41246.703483796293</v>
      </c>
      <c r="C1562">
        <v>90</v>
      </c>
      <c r="D1562">
        <v>85.926605225000003</v>
      </c>
      <c r="E1562">
        <v>30</v>
      </c>
      <c r="F1562">
        <v>29.988513947000001</v>
      </c>
      <c r="G1562">
        <v>1304.3691406</v>
      </c>
      <c r="H1562">
        <v>1293.1527100000001</v>
      </c>
      <c r="I1562">
        <v>1414.8360596</v>
      </c>
      <c r="J1562">
        <v>1386.7595214999999</v>
      </c>
      <c r="K1562">
        <v>0</v>
      </c>
      <c r="L1562">
        <v>2400</v>
      </c>
      <c r="M1562">
        <v>2400</v>
      </c>
      <c r="N1562">
        <v>0</v>
      </c>
    </row>
    <row r="1563" spans="1:14" x14ac:dyDescent="0.25">
      <c r="A1563">
        <v>948.66017099999999</v>
      </c>
      <c r="B1563" s="1">
        <f>DATE(2012,12,4) + TIME(15,50,38)</f>
        <v>41247.660162037035</v>
      </c>
      <c r="C1563">
        <v>90</v>
      </c>
      <c r="D1563">
        <v>85.836883545000006</v>
      </c>
      <c r="E1563">
        <v>30</v>
      </c>
      <c r="F1563">
        <v>29.988517761000001</v>
      </c>
      <c r="G1563">
        <v>1304.3071289</v>
      </c>
      <c r="H1563">
        <v>1293.0782471</v>
      </c>
      <c r="I1563">
        <v>1414.8485106999999</v>
      </c>
      <c r="J1563">
        <v>1386.777832</v>
      </c>
      <c r="K1563">
        <v>0</v>
      </c>
      <c r="L1563">
        <v>2400</v>
      </c>
      <c r="M1563">
        <v>2400</v>
      </c>
      <c r="N1563">
        <v>0</v>
      </c>
    </row>
    <row r="1564" spans="1:14" x14ac:dyDescent="0.25">
      <c r="A1564">
        <v>949.624955</v>
      </c>
      <c r="B1564" s="1">
        <f>DATE(2012,12,5) + TIME(14,59,56)</f>
        <v>41248.6249537037</v>
      </c>
      <c r="C1564">
        <v>90</v>
      </c>
      <c r="D1564">
        <v>85.745895386000001</v>
      </c>
      <c r="E1564">
        <v>30</v>
      </c>
      <c r="F1564">
        <v>29.988521576</v>
      </c>
      <c r="G1564">
        <v>1304.2424315999999</v>
      </c>
      <c r="H1564">
        <v>1293.0003661999999</v>
      </c>
      <c r="I1564">
        <v>1414.8610839999999</v>
      </c>
      <c r="J1564">
        <v>1386.7961425999999</v>
      </c>
      <c r="K1564">
        <v>0</v>
      </c>
      <c r="L1564">
        <v>2400</v>
      </c>
      <c r="M1564">
        <v>2400</v>
      </c>
      <c r="N1564">
        <v>0</v>
      </c>
    </row>
    <row r="1565" spans="1:14" x14ac:dyDescent="0.25">
      <c r="A1565">
        <v>950.60019899999998</v>
      </c>
      <c r="B1565" s="1">
        <f>DATE(2012,12,6) + TIME(14,24,17)</f>
        <v>41249.60019675926</v>
      </c>
      <c r="C1565">
        <v>90</v>
      </c>
      <c r="D1565">
        <v>85.654273986999996</v>
      </c>
      <c r="E1565">
        <v>30</v>
      </c>
      <c r="F1565">
        <v>29.988523483000002</v>
      </c>
      <c r="G1565">
        <v>1304.1765137</v>
      </c>
      <c r="H1565">
        <v>1292.9207764</v>
      </c>
      <c r="I1565">
        <v>1414.8735352000001</v>
      </c>
      <c r="J1565">
        <v>1386.8140868999999</v>
      </c>
      <c r="K1565">
        <v>0</v>
      </c>
      <c r="L1565">
        <v>2400</v>
      </c>
      <c r="M1565">
        <v>2400</v>
      </c>
      <c r="N1565">
        <v>0</v>
      </c>
    </row>
    <row r="1566" spans="1:14" x14ac:dyDescent="0.25">
      <c r="A1566">
        <v>951.58818699999995</v>
      </c>
      <c r="B1566" s="1">
        <f>DATE(2012,12,7) + TIME(14,6,59)</f>
        <v>41250.588182870371</v>
      </c>
      <c r="C1566">
        <v>90</v>
      </c>
      <c r="D1566">
        <v>85.562217712000006</v>
      </c>
      <c r="E1566">
        <v>30</v>
      </c>
      <c r="F1566">
        <v>29.988527298000001</v>
      </c>
      <c r="G1566">
        <v>1304.1091309000001</v>
      </c>
      <c r="H1566">
        <v>1292.8389893000001</v>
      </c>
      <c r="I1566">
        <v>1414.8858643000001</v>
      </c>
      <c r="J1566">
        <v>1386.8317870999999</v>
      </c>
      <c r="K1566">
        <v>0</v>
      </c>
      <c r="L1566">
        <v>2400</v>
      </c>
      <c r="M1566">
        <v>2400</v>
      </c>
      <c r="N1566">
        <v>0</v>
      </c>
    </row>
    <row r="1567" spans="1:14" x14ac:dyDescent="0.25">
      <c r="A1567">
        <v>952.59127999999998</v>
      </c>
      <c r="B1567" s="1">
        <f>DATE(2012,12,8) + TIME(14,11,26)</f>
        <v>41251.591273148151</v>
      </c>
      <c r="C1567">
        <v>90</v>
      </c>
      <c r="D1567">
        <v>85.469711304</v>
      </c>
      <c r="E1567">
        <v>30</v>
      </c>
      <c r="F1567">
        <v>29.988531113000001</v>
      </c>
      <c r="G1567">
        <v>1304.0400391000001</v>
      </c>
      <c r="H1567">
        <v>1292.7548827999999</v>
      </c>
      <c r="I1567">
        <v>1414.8980713000001</v>
      </c>
      <c r="J1567">
        <v>1386.8492432</v>
      </c>
      <c r="K1567">
        <v>0</v>
      </c>
      <c r="L1567">
        <v>2400</v>
      </c>
      <c r="M1567">
        <v>2400</v>
      </c>
      <c r="N1567">
        <v>0</v>
      </c>
    </row>
    <row r="1568" spans="1:14" x14ac:dyDescent="0.25">
      <c r="A1568">
        <v>953.61195199999997</v>
      </c>
      <c r="B1568" s="1">
        <f>DATE(2012,12,9) + TIME(14,41,12)</f>
        <v>41252.611944444441</v>
      </c>
      <c r="C1568">
        <v>90</v>
      </c>
      <c r="D1568">
        <v>85.376632689999994</v>
      </c>
      <c r="E1568">
        <v>30</v>
      </c>
      <c r="F1568">
        <v>29.988534927</v>
      </c>
      <c r="G1568">
        <v>1303.9692382999999</v>
      </c>
      <c r="H1568">
        <v>1292.6683350000001</v>
      </c>
      <c r="I1568">
        <v>1414.9102783000001</v>
      </c>
      <c r="J1568">
        <v>1386.8664550999999</v>
      </c>
      <c r="K1568">
        <v>0</v>
      </c>
      <c r="L1568">
        <v>2400</v>
      </c>
      <c r="M1568">
        <v>2400</v>
      </c>
      <c r="N1568">
        <v>0</v>
      </c>
    </row>
    <row r="1569" spans="1:14" x14ac:dyDescent="0.25">
      <c r="A1569">
        <v>954.65283299999999</v>
      </c>
      <c r="B1569" s="1">
        <f>DATE(2012,12,10) + TIME(15,40,4)</f>
        <v>41253.652824074074</v>
      </c>
      <c r="C1569">
        <v>90</v>
      </c>
      <c r="D1569">
        <v>85.282814025999997</v>
      </c>
      <c r="E1569">
        <v>30</v>
      </c>
      <c r="F1569">
        <v>29.988538741999999</v>
      </c>
      <c r="G1569">
        <v>1303.8962402</v>
      </c>
      <c r="H1569">
        <v>1292.5788574000001</v>
      </c>
      <c r="I1569">
        <v>1414.9223632999999</v>
      </c>
      <c r="J1569">
        <v>1386.8836670000001</v>
      </c>
      <c r="K1569">
        <v>0</v>
      </c>
      <c r="L1569">
        <v>2400</v>
      </c>
      <c r="M1569">
        <v>2400</v>
      </c>
      <c r="N1569">
        <v>0</v>
      </c>
    </row>
    <row r="1570" spans="1:14" x14ac:dyDescent="0.25">
      <c r="A1570">
        <v>955.71675100000004</v>
      </c>
      <c r="B1570" s="1">
        <f>DATE(2012,12,11) + TIME(17,12,7)</f>
        <v>41254.716747685183</v>
      </c>
      <c r="C1570">
        <v>90</v>
      </c>
      <c r="D1570">
        <v>85.188072204999997</v>
      </c>
      <c r="E1570">
        <v>30</v>
      </c>
      <c r="F1570">
        <v>29.988542556999999</v>
      </c>
      <c r="G1570">
        <v>1303.8209228999999</v>
      </c>
      <c r="H1570">
        <v>1292.4864502</v>
      </c>
      <c r="I1570">
        <v>1414.9345702999999</v>
      </c>
      <c r="J1570">
        <v>1386.9006348</v>
      </c>
      <c r="K1570">
        <v>0</v>
      </c>
      <c r="L1570">
        <v>2400</v>
      </c>
      <c r="M1570">
        <v>2400</v>
      </c>
      <c r="N1570">
        <v>0</v>
      </c>
    </row>
    <row r="1571" spans="1:14" x14ac:dyDescent="0.25">
      <c r="A1571">
        <v>956.80673999999999</v>
      </c>
      <c r="B1571" s="1">
        <f>DATE(2012,12,12) + TIME(19,21,42)</f>
        <v>41255.80673611111</v>
      </c>
      <c r="C1571">
        <v>90</v>
      </c>
      <c r="D1571">
        <v>85.092193604000002</v>
      </c>
      <c r="E1571">
        <v>30</v>
      </c>
      <c r="F1571">
        <v>29.988548279</v>
      </c>
      <c r="G1571">
        <v>1303.7431641000001</v>
      </c>
      <c r="H1571">
        <v>1292.3905029</v>
      </c>
      <c r="I1571">
        <v>1414.9467772999999</v>
      </c>
      <c r="J1571">
        <v>1386.9177245999999</v>
      </c>
      <c r="K1571">
        <v>0</v>
      </c>
      <c r="L1571">
        <v>2400</v>
      </c>
      <c r="M1571">
        <v>2400</v>
      </c>
      <c r="N1571">
        <v>0</v>
      </c>
    </row>
    <row r="1572" spans="1:14" x14ac:dyDescent="0.25">
      <c r="A1572">
        <v>957.92599600000005</v>
      </c>
      <c r="B1572" s="1">
        <f>DATE(2012,12,13) + TIME(22,13,26)</f>
        <v>41256.925995370373</v>
      </c>
      <c r="C1572">
        <v>90</v>
      </c>
      <c r="D1572">
        <v>84.994964600000003</v>
      </c>
      <c r="E1572">
        <v>30</v>
      </c>
      <c r="F1572">
        <v>29.988552093999999</v>
      </c>
      <c r="G1572">
        <v>1303.6624756000001</v>
      </c>
      <c r="H1572">
        <v>1292.2907714999999</v>
      </c>
      <c r="I1572">
        <v>1414.9589844</v>
      </c>
      <c r="J1572">
        <v>1386.9346923999999</v>
      </c>
      <c r="K1572">
        <v>0</v>
      </c>
      <c r="L1572">
        <v>2400</v>
      </c>
      <c r="M1572">
        <v>2400</v>
      </c>
      <c r="N1572">
        <v>0</v>
      </c>
    </row>
    <row r="1573" spans="1:14" x14ac:dyDescent="0.25">
      <c r="A1573">
        <v>959.06112399999995</v>
      </c>
      <c r="B1573" s="1">
        <f>DATE(2012,12,15) + TIME(1,28,1)</f>
        <v>41258.061122685183</v>
      </c>
      <c r="C1573">
        <v>90</v>
      </c>
      <c r="D1573">
        <v>84.896659850999995</v>
      </c>
      <c r="E1573">
        <v>30</v>
      </c>
      <c r="F1573">
        <v>29.988555907999999</v>
      </c>
      <c r="G1573">
        <v>1303.5786132999999</v>
      </c>
      <c r="H1573">
        <v>1292.1870117000001</v>
      </c>
      <c r="I1573">
        <v>1414.9713135</v>
      </c>
      <c r="J1573">
        <v>1386.9516602000001</v>
      </c>
      <c r="K1573">
        <v>0</v>
      </c>
      <c r="L1573">
        <v>2400</v>
      </c>
      <c r="M1573">
        <v>2400</v>
      </c>
      <c r="N1573">
        <v>0</v>
      </c>
    </row>
    <row r="1574" spans="1:14" x14ac:dyDescent="0.25">
      <c r="A1574">
        <v>960.20720400000005</v>
      </c>
      <c r="B1574" s="1">
        <f>DATE(2012,12,16) + TIME(4,58,22)</f>
        <v>41259.207199074073</v>
      </c>
      <c r="C1574">
        <v>90</v>
      </c>
      <c r="D1574">
        <v>84.797874450999998</v>
      </c>
      <c r="E1574">
        <v>30</v>
      </c>
      <c r="F1574">
        <v>29.98856163</v>
      </c>
      <c r="G1574">
        <v>1303.4925536999999</v>
      </c>
      <c r="H1574">
        <v>1292.0799560999999</v>
      </c>
      <c r="I1574">
        <v>1414.9835204999999</v>
      </c>
      <c r="J1574">
        <v>1386.9685059000001</v>
      </c>
      <c r="K1574">
        <v>0</v>
      </c>
      <c r="L1574">
        <v>2400</v>
      </c>
      <c r="M1574">
        <v>2400</v>
      </c>
      <c r="N1574">
        <v>0</v>
      </c>
    </row>
    <row r="1575" spans="1:14" x14ac:dyDescent="0.25">
      <c r="A1575">
        <v>961.36681299999998</v>
      </c>
      <c r="B1575" s="1">
        <f>DATE(2012,12,17) + TIME(8,48,12)</f>
        <v>41260.366805555554</v>
      </c>
      <c r="C1575">
        <v>90</v>
      </c>
      <c r="D1575">
        <v>84.698799132999994</v>
      </c>
      <c r="E1575">
        <v>30</v>
      </c>
      <c r="F1575">
        <v>29.988565444999999</v>
      </c>
      <c r="G1575">
        <v>1303.4044189000001</v>
      </c>
      <c r="H1575">
        <v>1291.9700928</v>
      </c>
      <c r="I1575">
        <v>1414.9957274999999</v>
      </c>
      <c r="J1575">
        <v>1386.9849853999999</v>
      </c>
      <c r="K1575">
        <v>0</v>
      </c>
      <c r="L1575">
        <v>2400</v>
      </c>
      <c r="M1575">
        <v>2400</v>
      </c>
      <c r="N1575">
        <v>0</v>
      </c>
    </row>
    <row r="1576" spans="1:14" x14ac:dyDescent="0.25">
      <c r="A1576">
        <v>962.54255599999999</v>
      </c>
      <c r="B1576" s="1">
        <f>DATE(2012,12,18) + TIME(13,1,16)</f>
        <v>41261.542546296296</v>
      </c>
      <c r="C1576">
        <v>90</v>
      </c>
      <c r="D1576">
        <v>84.599380492999998</v>
      </c>
      <c r="E1576">
        <v>30</v>
      </c>
      <c r="F1576">
        <v>29.988571167</v>
      </c>
      <c r="G1576">
        <v>1303.3142089999999</v>
      </c>
      <c r="H1576">
        <v>1291.8571777</v>
      </c>
      <c r="I1576">
        <v>1415.0076904</v>
      </c>
      <c r="J1576">
        <v>1387.0013428</v>
      </c>
      <c r="K1576">
        <v>0</v>
      </c>
      <c r="L1576">
        <v>2400</v>
      </c>
      <c r="M1576">
        <v>2400</v>
      </c>
      <c r="N1576">
        <v>0</v>
      </c>
    </row>
    <row r="1577" spans="1:14" x14ac:dyDescent="0.25">
      <c r="A1577">
        <v>963.73715900000002</v>
      </c>
      <c r="B1577" s="1">
        <f>DATE(2012,12,19) + TIME(17,41,30)</f>
        <v>41262.73715277778</v>
      </c>
      <c r="C1577">
        <v>90</v>
      </c>
      <c r="D1577">
        <v>84.499481200999995</v>
      </c>
      <c r="E1577">
        <v>30</v>
      </c>
      <c r="F1577">
        <v>29.988576889000001</v>
      </c>
      <c r="G1577">
        <v>1303.2215576000001</v>
      </c>
      <c r="H1577">
        <v>1291.7409668</v>
      </c>
      <c r="I1577">
        <v>1415.0196533000001</v>
      </c>
      <c r="J1577">
        <v>1387.0175781</v>
      </c>
      <c r="K1577">
        <v>0</v>
      </c>
      <c r="L1577">
        <v>2400</v>
      </c>
      <c r="M1577">
        <v>2400</v>
      </c>
      <c r="N1577">
        <v>0</v>
      </c>
    </row>
    <row r="1578" spans="1:14" x14ac:dyDescent="0.25">
      <c r="A1578">
        <v>964.95350099999996</v>
      </c>
      <c r="B1578" s="1">
        <f>DATE(2012,12,20) + TIME(22,53,2)</f>
        <v>41263.95349537037</v>
      </c>
      <c r="C1578">
        <v>90</v>
      </c>
      <c r="D1578">
        <v>84.398910521999994</v>
      </c>
      <c r="E1578">
        <v>30</v>
      </c>
      <c r="F1578">
        <v>29.988580704</v>
      </c>
      <c r="G1578">
        <v>1303.1262207</v>
      </c>
      <c r="H1578">
        <v>1291.6209716999999</v>
      </c>
      <c r="I1578">
        <v>1415.0316161999999</v>
      </c>
      <c r="J1578">
        <v>1387.0335693</v>
      </c>
      <c r="K1578">
        <v>0</v>
      </c>
      <c r="L1578">
        <v>2400</v>
      </c>
      <c r="M1578">
        <v>2400</v>
      </c>
      <c r="N1578">
        <v>0</v>
      </c>
    </row>
    <row r="1579" spans="1:14" x14ac:dyDescent="0.25">
      <c r="A1579">
        <v>966.19466899999998</v>
      </c>
      <c r="B1579" s="1">
        <f>DATE(2012,12,22) + TIME(4,40,19)</f>
        <v>41265.194664351853</v>
      </c>
      <c r="C1579">
        <v>90</v>
      </c>
      <c r="D1579">
        <v>84.297447204999997</v>
      </c>
      <c r="E1579">
        <v>30</v>
      </c>
      <c r="F1579">
        <v>29.988586426000001</v>
      </c>
      <c r="G1579">
        <v>1303.0279541</v>
      </c>
      <c r="H1579">
        <v>1291.4970702999999</v>
      </c>
      <c r="I1579">
        <v>1415.0435791</v>
      </c>
      <c r="J1579">
        <v>1387.0495605000001</v>
      </c>
      <c r="K1579">
        <v>0</v>
      </c>
      <c r="L1579">
        <v>2400</v>
      </c>
      <c r="M1579">
        <v>2400</v>
      </c>
      <c r="N1579">
        <v>0</v>
      </c>
    </row>
    <row r="1580" spans="1:14" x14ac:dyDescent="0.25">
      <c r="A1580">
        <v>967.46394599999996</v>
      </c>
      <c r="B1580" s="1">
        <f>DATE(2012,12,23) + TIME(11,8,4)</f>
        <v>41266.463935185187</v>
      </c>
      <c r="C1580">
        <v>90</v>
      </c>
      <c r="D1580">
        <v>84.194862365999995</v>
      </c>
      <c r="E1580">
        <v>30</v>
      </c>
      <c r="F1580">
        <v>29.988592147999999</v>
      </c>
      <c r="G1580">
        <v>1302.9263916</v>
      </c>
      <c r="H1580">
        <v>1291.3685303</v>
      </c>
      <c r="I1580">
        <v>1415.0554199000001</v>
      </c>
      <c r="J1580">
        <v>1387.0654297000001</v>
      </c>
      <c r="K1580">
        <v>0</v>
      </c>
      <c r="L1580">
        <v>2400</v>
      </c>
      <c r="M1580">
        <v>2400</v>
      </c>
      <c r="N1580">
        <v>0</v>
      </c>
    </row>
    <row r="1581" spans="1:14" x14ac:dyDescent="0.25">
      <c r="A1581">
        <v>968.76497900000004</v>
      </c>
      <c r="B1581" s="1">
        <f>DATE(2012,12,24) + TIME(18,21,34)</f>
        <v>41267.764976851853</v>
      </c>
      <c r="C1581">
        <v>90</v>
      </c>
      <c r="D1581">
        <v>84.090896606000001</v>
      </c>
      <c r="E1581">
        <v>30</v>
      </c>
      <c r="F1581">
        <v>29.98859787</v>
      </c>
      <c r="G1581">
        <v>1302.8212891000001</v>
      </c>
      <c r="H1581">
        <v>1291.2352295000001</v>
      </c>
      <c r="I1581">
        <v>1415.0675048999999</v>
      </c>
      <c r="J1581">
        <v>1387.0814209</v>
      </c>
      <c r="K1581">
        <v>0</v>
      </c>
      <c r="L1581">
        <v>2400</v>
      </c>
      <c r="M1581">
        <v>2400</v>
      </c>
      <c r="N1581">
        <v>0</v>
      </c>
    </row>
    <row r="1582" spans="1:14" x14ac:dyDescent="0.25">
      <c r="A1582">
        <v>970.07760800000005</v>
      </c>
      <c r="B1582" s="1">
        <f>DATE(2012,12,26) + TIME(1,51,45)</f>
        <v>41269.077604166669</v>
      </c>
      <c r="C1582">
        <v>90</v>
      </c>
      <c r="D1582">
        <v>83.986030579000001</v>
      </c>
      <c r="E1582">
        <v>30</v>
      </c>
      <c r="F1582">
        <v>29.988603592</v>
      </c>
      <c r="G1582">
        <v>1302.7121582</v>
      </c>
      <c r="H1582">
        <v>1291.0964355000001</v>
      </c>
      <c r="I1582">
        <v>1415.0794678</v>
      </c>
      <c r="J1582">
        <v>1387.0972899999999</v>
      </c>
      <c r="K1582">
        <v>0</v>
      </c>
      <c r="L1582">
        <v>2400</v>
      </c>
      <c r="M1582">
        <v>2400</v>
      </c>
      <c r="N1582">
        <v>0</v>
      </c>
    </row>
    <row r="1583" spans="1:14" x14ac:dyDescent="0.25">
      <c r="A1583">
        <v>971.40311999999994</v>
      </c>
      <c r="B1583" s="1">
        <f>DATE(2012,12,27) + TIME(9,40,29)</f>
        <v>41270.403113425928</v>
      </c>
      <c r="C1583">
        <v>90</v>
      </c>
      <c r="D1583">
        <v>83.880752563000001</v>
      </c>
      <c r="E1583">
        <v>30</v>
      </c>
      <c r="F1583">
        <v>29.988611220999999</v>
      </c>
      <c r="G1583">
        <v>1302.6004639</v>
      </c>
      <c r="H1583">
        <v>1290.9541016000001</v>
      </c>
      <c r="I1583">
        <v>1415.0914307</v>
      </c>
      <c r="J1583">
        <v>1387.1129149999999</v>
      </c>
      <c r="K1583">
        <v>0</v>
      </c>
      <c r="L1583">
        <v>2400</v>
      </c>
      <c r="M1583">
        <v>2400</v>
      </c>
      <c r="N1583">
        <v>0</v>
      </c>
    </row>
    <row r="1584" spans="1:14" x14ac:dyDescent="0.25">
      <c r="A1584">
        <v>972.74435900000003</v>
      </c>
      <c r="B1584" s="1">
        <f>DATE(2012,12,28) + TIME(17,51,52)</f>
        <v>41271.744351851848</v>
      </c>
      <c r="C1584">
        <v>90</v>
      </c>
      <c r="D1584">
        <v>83.775138854999994</v>
      </c>
      <c r="E1584">
        <v>30</v>
      </c>
      <c r="F1584">
        <v>29.988616943</v>
      </c>
      <c r="G1584">
        <v>1302.4862060999999</v>
      </c>
      <c r="H1584">
        <v>1290.8079834</v>
      </c>
      <c r="I1584">
        <v>1415.1031493999999</v>
      </c>
      <c r="J1584">
        <v>1387.1282959</v>
      </c>
      <c r="K1584">
        <v>0</v>
      </c>
      <c r="L1584">
        <v>2400</v>
      </c>
      <c r="M1584">
        <v>2400</v>
      </c>
      <c r="N1584">
        <v>0</v>
      </c>
    </row>
    <row r="1585" spans="1:14" x14ac:dyDescent="0.25">
      <c r="A1585">
        <v>974.10423200000002</v>
      </c>
      <c r="B1585" s="1">
        <f>DATE(2012,12,30) + TIME(2,30,5)</f>
        <v>41273.104224537034</v>
      </c>
      <c r="C1585">
        <v>90</v>
      </c>
      <c r="D1585">
        <v>83.669067382999998</v>
      </c>
      <c r="E1585">
        <v>30</v>
      </c>
      <c r="F1585">
        <v>29.988622665000001</v>
      </c>
      <c r="G1585">
        <v>1302.3691406</v>
      </c>
      <c r="H1585">
        <v>1290.6577147999999</v>
      </c>
      <c r="I1585">
        <v>1415.1148682</v>
      </c>
      <c r="J1585">
        <v>1387.1435547000001</v>
      </c>
      <c r="K1585">
        <v>0</v>
      </c>
      <c r="L1585">
        <v>2400</v>
      </c>
      <c r="M1585">
        <v>2400</v>
      </c>
      <c r="N1585">
        <v>0</v>
      </c>
    </row>
    <row r="1586" spans="1:14" x14ac:dyDescent="0.25">
      <c r="A1586">
        <v>975.48578299999997</v>
      </c>
      <c r="B1586" s="1">
        <f>DATE(2012,12,31) + TIME(11,39,31)</f>
        <v>41274.485775462963</v>
      </c>
      <c r="C1586">
        <v>90</v>
      </c>
      <c r="D1586">
        <v>83.562347411999994</v>
      </c>
      <c r="E1586">
        <v>30</v>
      </c>
      <c r="F1586">
        <v>29.988630295</v>
      </c>
      <c r="G1586">
        <v>1302.2489014</v>
      </c>
      <c r="H1586">
        <v>1290.5031738</v>
      </c>
      <c r="I1586">
        <v>1415.1264647999999</v>
      </c>
      <c r="J1586">
        <v>1387.1586914</v>
      </c>
      <c r="K1586">
        <v>0</v>
      </c>
      <c r="L1586">
        <v>2400</v>
      </c>
      <c r="M1586">
        <v>2400</v>
      </c>
      <c r="N1586">
        <v>0</v>
      </c>
    </row>
    <row r="1587" spans="1:14" x14ac:dyDescent="0.25">
      <c r="A1587">
        <v>976</v>
      </c>
      <c r="B1587" s="1">
        <f>DATE(2013,1,1) + TIME(0,0,0)</f>
        <v>41275</v>
      </c>
      <c r="C1587">
        <v>90</v>
      </c>
      <c r="D1587">
        <v>83.497062682999996</v>
      </c>
      <c r="E1587">
        <v>30</v>
      </c>
      <c r="F1587">
        <v>29.988632202000002</v>
      </c>
      <c r="G1587">
        <v>1302.1296387</v>
      </c>
      <c r="H1587">
        <v>1290.3562012</v>
      </c>
      <c r="I1587">
        <v>1415.137207</v>
      </c>
      <c r="J1587">
        <v>1387.1727295000001</v>
      </c>
      <c r="K1587">
        <v>0</v>
      </c>
      <c r="L1587">
        <v>2400</v>
      </c>
      <c r="M1587">
        <v>2400</v>
      </c>
      <c r="N1587">
        <v>0</v>
      </c>
    </row>
    <row r="1588" spans="1:14" x14ac:dyDescent="0.25">
      <c r="A1588">
        <v>977.40646300000003</v>
      </c>
      <c r="B1588" s="1">
        <f>DATE(2013,1,2) + TIME(9,45,18)</f>
        <v>41276.406458333331</v>
      </c>
      <c r="C1588">
        <v>90</v>
      </c>
      <c r="D1588">
        <v>83.405532836999996</v>
      </c>
      <c r="E1588">
        <v>30</v>
      </c>
      <c r="F1588">
        <v>29.988637923999999</v>
      </c>
      <c r="G1588">
        <v>1302.0745850000001</v>
      </c>
      <c r="H1588">
        <v>1290.2758789</v>
      </c>
      <c r="I1588">
        <v>1415.1424560999999</v>
      </c>
      <c r="J1588">
        <v>1387.1791992000001</v>
      </c>
      <c r="K1588">
        <v>0</v>
      </c>
      <c r="L1588">
        <v>2400</v>
      </c>
      <c r="M1588">
        <v>2400</v>
      </c>
      <c r="N1588">
        <v>0</v>
      </c>
    </row>
    <row r="1589" spans="1:14" x14ac:dyDescent="0.25">
      <c r="A1589">
        <v>978.85284200000001</v>
      </c>
      <c r="B1589" s="1">
        <f>DATE(2013,1,3) + TIME(20,28,5)</f>
        <v>41277.852835648147</v>
      </c>
      <c r="C1589">
        <v>90</v>
      </c>
      <c r="D1589">
        <v>83.302673339999998</v>
      </c>
      <c r="E1589">
        <v>30</v>
      </c>
      <c r="F1589">
        <v>29.988645554000001</v>
      </c>
      <c r="G1589">
        <v>1301.9488524999999</v>
      </c>
      <c r="H1589">
        <v>1290.1147461</v>
      </c>
      <c r="I1589">
        <v>1415.1538086</v>
      </c>
      <c r="J1589">
        <v>1387.1939697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980.33035800000005</v>
      </c>
      <c r="B1590" s="1">
        <f>DATE(2013,1,5) + TIME(7,55,42)</f>
        <v>41279.330347222225</v>
      </c>
      <c r="C1590">
        <v>90</v>
      </c>
      <c r="D1590">
        <v>83.194297790999997</v>
      </c>
      <c r="E1590">
        <v>30</v>
      </c>
      <c r="F1590">
        <v>29.988653183</v>
      </c>
      <c r="G1590">
        <v>1301.8164062000001</v>
      </c>
      <c r="H1590">
        <v>1289.9436035000001</v>
      </c>
      <c r="I1590">
        <v>1415.1654053</v>
      </c>
      <c r="J1590">
        <v>1387.2087402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981.81901000000005</v>
      </c>
      <c r="B1591" s="1">
        <f>DATE(2013,1,6) + TIME(19,39,22)</f>
        <v>41280.819004629629</v>
      </c>
      <c r="C1591">
        <v>90</v>
      </c>
      <c r="D1591">
        <v>83.083358765</v>
      </c>
      <c r="E1591">
        <v>30</v>
      </c>
      <c r="F1591">
        <v>29.988658905000001</v>
      </c>
      <c r="G1591">
        <v>1301.6787108999999</v>
      </c>
      <c r="H1591">
        <v>1289.7650146000001</v>
      </c>
      <c r="I1591">
        <v>1415.1770019999999</v>
      </c>
      <c r="J1591">
        <v>1387.2236327999999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983.32212400000003</v>
      </c>
      <c r="B1592" s="1">
        <f>DATE(2013,1,8) + TIME(7,43,51)</f>
        <v>41282.322118055556</v>
      </c>
      <c r="C1592">
        <v>90</v>
      </c>
      <c r="D1592">
        <v>82.971282959000007</v>
      </c>
      <c r="E1592">
        <v>30</v>
      </c>
      <c r="F1592">
        <v>29.988666534</v>
      </c>
      <c r="G1592">
        <v>1301.5378418</v>
      </c>
      <c r="H1592">
        <v>1289.5816649999999</v>
      </c>
      <c r="I1592">
        <v>1415.1884766000001</v>
      </c>
      <c r="J1592">
        <v>1387.2381591999999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984.84287800000004</v>
      </c>
      <c r="B1593" s="1">
        <f>DATE(2013,1,9) + TIME(20,13,44)</f>
        <v>41283.842870370368</v>
      </c>
      <c r="C1593">
        <v>90</v>
      </c>
      <c r="D1593">
        <v>82.858390807999996</v>
      </c>
      <c r="E1593">
        <v>30</v>
      </c>
      <c r="F1593">
        <v>29.988674163999999</v>
      </c>
      <c r="G1593">
        <v>1301.3935547000001</v>
      </c>
      <c r="H1593">
        <v>1289.3933105000001</v>
      </c>
      <c r="I1593">
        <v>1415.1998291</v>
      </c>
      <c r="J1593">
        <v>1387.2525635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986.384458</v>
      </c>
      <c r="B1594" s="1">
        <f>DATE(2013,1,11) + TIME(9,13,37)</f>
        <v>41285.384456018517</v>
      </c>
      <c r="C1594">
        <v>90</v>
      </c>
      <c r="D1594">
        <v>82.744606017999999</v>
      </c>
      <c r="E1594">
        <v>30</v>
      </c>
      <c r="F1594">
        <v>29.988681793000001</v>
      </c>
      <c r="G1594">
        <v>1301.2458495999999</v>
      </c>
      <c r="H1594">
        <v>1289.1999512</v>
      </c>
      <c r="I1594">
        <v>1415.2110596</v>
      </c>
      <c r="J1594">
        <v>1387.2667236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987.95021699999995</v>
      </c>
      <c r="B1595" s="1">
        <f>DATE(2013,1,12) + TIME(22,48,18)</f>
        <v>41286.950208333335</v>
      </c>
      <c r="C1595">
        <v>90</v>
      </c>
      <c r="D1595">
        <v>82.629730225000003</v>
      </c>
      <c r="E1595">
        <v>30</v>
      </c>
      <c r="F1595">
        <v>29.988689423</v>
      </c>
      <c r="G1595">
        <v>1301.0941161999999</v>
      </c>
      <c r="H1595">
        <v>1289.0009766000001</v>
      </c>
      <c r="I1595">
        <v>1415.222168</v>
      </c>
      <c r="J1595">
        <v>1387.2808838000001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989.54371600000002</v>
      </c>
      <c r="B1596" s="1">
        <f>DATE(2013,1,14) + TIME(13,2,57)</f>
        <v>41288.543715277781</v>
      </c>
      <c r="C1596">
        <v>90</v>
      </c>
      <c r="D1596">
        <v>82.513465881000002</v>
      </c>
      <c r="E1596">
        <v>30</v>
      </c>
      <c r="F1596">
        <v>29.988697051999999</v>
      </c>
      <c r="G1596">
        <v>1300.9382324000001</v>
      </c>
      <c r="H1596">
        <v>1288.7960204999999</v>
      </c>
      <c r="I1596">
        <v>1415.2332764</v>
      </c>
      <c r="J1596">
        <v>1387.2947998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991.16875700000003</v>
      </c>
      <c r="B1597" s="1">
        <f>DATE(2013,1,16) + TIME(4,3,0)</f>
        <v>41290.168749999997</v>
      </c>
      <c r="C1597">
        <v>90</v>
      </c>
      <c r="D1597">
        <v>82.395507812000005</v>
      </c>
      <c r="E1597">
        <v>30</v>
      </c>
      <c r="F1597">
        <v>29.988706589</v>
      </c>
      <c r="G1597">
        <v>1300.7775879000001</v>
      </c>
      <c r="H1597">
        <v>1288.5843506000001</v>
      </c>
      <c r="I1597">
        <v>1415.2443848</v>
      </c>
      <c r="J1597">
        <v>1387.3087158000001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992.818805</v>
      </c>
      <c r="B1598" s="1">
        <f>DATE(2013,1,17) + TIME(19,39,4)</f>
        <v>41291.818796296298</v>
      </c>
      <c r="C1598">
        <v>90</v>
      </c>
      <c r="D1598">
        <v>82.275764464999995</v>
      </c>
      <c r="E1598">
        <v>30</v>
      </c>
      <c r="F1598">
        <v>29.988714217999998</v>
      </c>
      <c r="G1598">
        <v>1300.6118164</v>
      </c>
      <c r="H1598">
        <v>1288.3656006000001</v>
      </c>
      <c r="I1598">
        <v>1415.2554932</v>
      </c>
      <c r="J1598">
        <v>1387.3225098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994.48186799999996</v>
      </c>
      <c r="B1599" s="1">
        <f>DATE(2013,1,19) + TIME(11,33,53)</f>
        <v>41293.481863425928</v>
      </c>
      <c r="C1599">
        <v>90</v>
      </c>
      <c r="D1599">
        <v>82.154579162999994</v>
      </c>
      <c r="E1599">
        <v>30</v>
      </c>
      <c r="F1599">
        <v>29.988721848000001</v>
      </c>
      <c r="G1599">
        <v>1300.4414062000001</v>
      </c>
      <c r="H1599">
        <v>1288.1401367000001</v>
      </c>
      <c r="I1599">
        <v>1415.2664795000001</v>
      </c>
      <c r="J1599">
        <v>1387.3363036999999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996.16142600000001</v>
      </c>
      <c r="B1600" s="1">
        <f>DATE(2013,1,21) + TIME(3,52,27)</f>
        <v>41295.161423611113</v>
      </c>
      <c r="C1600">
        <v>90</v>
      </c>
      <c r="D1600">
        <v>82.032226562000005</v>
      </c>
      <c r="E1600">
        <v>30</v>
      </c>
      <c r="F1600">
        <v>29.988731384000001</v>
      </c>
      <c r="G1600">
        <v>1300.2674560999999</v>
      </c>
      <c r="H1600">
        <v>1287.9094238</v>
      </c>
      <c r="I1600">
        <v>1415.2772216999999</v>
      </c>
      <c r="J1600">
        <v>1387.3497314000001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997.86091899999997</v>
      </c>
      <c r="B1601" s="1">
        <f>DATE(2013,1,22) + TIME(20,39,43)</f>
        <v>41296.860914351855</v>
      </c>
      <c r="C1601">
        <v>90</v>
      </c>
      <c r="D1601">
        <v>81.908561707000004</v>
      </c>
      <c r="E1601">
        <v>30</v>
      </c>
      <c r="F1601">
        <v>29.988739014</v>
      </c>
      <c r="G1601">
        <v>1300.0895995999999</v>
      </c>
      <c r="H1601">
        <v>1287.6730957</v>
      </c>
      <c r="I1601">
        <v>1415.2879639</v>
      </c>
      <c r="J1601">
        <v>1387.3630370999999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999.58388600000001</v>
      </c>
      <c r="B1602" s="1">
        <f>DATE(2013,1,24) + TIME(14,0,47)</f>
        <v>41298.583877314813</v>
      </c>
      <c r="C1602">
        <v>90</v>
      </c>
      <c r="D1602">
        <v>81.783287048000005</v>
      </c>
      <c r="E1602">
        <v>30</v>
      </c>
      <c r="F1602">
        <v>29.98874855</v>
      </c>
      <c r="G1602">
        <v>1299.9074707</v>
      </c>
      <c r="H1602">
        <v>1287.4307861</v>
      </c>
      <c r="I1602">
        <v>1415.2985839999999</v>
      </c>
      <c r="J1602">
        <v>1387.3762207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1001.334006</v>
      </c>
      <c r="B1603" s="1">
        <f>DATE(2013,1,26) + TIME(8,0,58)</f>
        <v>41300.334004629629</v>
      </c>
      <c r="C1603">
        <v>90</v>
      </c>
      <c r="D1603">
        <v>81.656044006000002</v>
      </c>
      <c r="E1603">
        <v>30</v>
      </c>
      <c r="F1603">
        <v>29.988756179999999</v>
      </c>
      <c r="G1603">
        <v>1299.7208252</v>
      </c>
      <c r="H1603">
        <v>1287.1816406</v>
      </c>
      <c r="I1603">
        <v>1415.3089600000001</v>
      </c>
      <c r="J1603">
        <v>1387.3891602000001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1003.1152049999999</v>
      </c>
      <c r="B1604" s="1">
        <f>DATE(2013,1,28) + TIME(2,45,53)</f>
        <v>41302.11519675926</v>
      </c>
      <c r="C1604">
        <v>90</v>
      </c>
      <c r="D1604">
        <v>81.526428222999996</v>
      </c>
      <c r="E1604">
        <v>30</v>
      </c>
      <c r="F1604">
        <v>29.988765717</v>
      </c>
      <c r="G1604">
        <v>1299.5290527</v>
      </c>
      <c r="H1604">
        <v>1286.9254149999999</v>
      </c>
      <c r="I1604">
        <v>1415.3194579999999</v>
      </c>
      <c r="J1604">
        <v>1387.4020995999999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1004.926565</v>
      </c>
      <c r="B1605" s="1">
        <f>DATE(2013,1,29) + TIME(22,14,15)</f>
        <v>41303.926562499997</v>
      </c>
      <c r="C1605">
        <v>90</v>
      </c>
      <c r="D1605">
        <v>81.394126892000003</v>
      </c>
      <c r="E1605">
        <v>30</v>
      </c>
      <c r="F1605">
        <v>29.988775253</v>
      </c>
      <c r="G1605">
        <v>1299.3317870999999</v>
      </c>
      <c r="H1605">
        <v>1286.6611327999999</v>
      </c>
      <c r="I1605">
        <v>1415.3297118999999</v>
      </c>
      <c r="J1605">
        <v>1387.4147949000001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1006.750479</v>
      </c>
      <c r="B1606" s="1">
        <f>DATE(2013,1,31) + TIME(18,0,41)</f>
        <v>41305.750474537039</v>
      </c>
      <c r="C1606">
        <v>90</v>
      </c>
      <c r="D1606">
        <v>81.259346007999994</v>
      </c>
      <c r="E1606">
        <v>30</v>
      </c>
      <c r="F1606">
        <v>29.98878479</v>
      </c>
      <c r="G1606">
        <v>1299.1290283000001</v>
      </c>
      <c r="H1606">
        <v>1286.3891602000001</v>
      </c>
      <c r="I1606">
        <v>1415.3399658000001</v>
      </c>
      <c r="J1606">
        <v>1387.4274902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1007</v>
      </c>
      <c r="B1607" s="1">
        <f>DATE(2013,2,1) + TIME(0,0,0)</f>
        <v>41306</v>
      </c>
      <c r="C1607">
        <v>90</v>
      </c>
      <c r="D1607">
        <v>81.212471007999994</v>
      </c>
      <c r="E1607">
        <v>30</v>
      </c>
      <c r="F1607">
        <v>29.988786696999998</v>
      </c>
      <c r="G1607">
        <v>1298.9416504000001</v>
      </c>
      <c r="H1607">
        <v>1286.15625</v>
      </c>
      <c r="I1607">
        <v>1415.3481445</v>
      </c>
      <c r="J1607">
        <v>1387.4381103999999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1008.840627</v>
      </c>
      <c r="B1608" s="1">
        <f>DATE(2013,2,2) + TIME(20,10,30)</f>
        <v>41307.840624999997</v>
      </c>
      <c r="C1608">
        <v>90</v>
      </c>
      <c r="D1608">
        <v>81.095069885000001</v>
      </c>
      <c r="E1608">
        <v>30</v>
      </c>
      <c r="F1608">
        <v>29.988794327000001</v>
      </c>
      <c r="G1608">
        <v>1298.8869629000001</v>
      </c>
      <c r="H1608">
        <v>1286.0603027</v>
      </c>
      <c r="I1608">
        <v>1415.3515625</v>
      </c>
      <c r="J1608">
        <v>1387.4416504000001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1010.704719</v>
      </c>
      <c r="B1609" s="1">
        <f>DATE(2013,2,4) + TIME(16,54,47)</f>
        <v>41309.704710648148</v>
      </c>
      <c r="C1609">
        <v>90</v>
      </c>
      <c r="D1609">
        <v>80.961540221999996</v>
      </c>
      <c r="E1609">
        <v>30</v>
      </c>
      <c r="F1609">
        <v>29.988803864000001</v>
      </c>
      <c r="G1609">
        <v>1298.6805420000001</v>
      </c>
      <c r="H1609">
        <v>1285.7843018000001</v>
      </c>
      <c r="I1609">
        <v>1415.3613281</v>
      </c>
      <c r="J1609">
        <v>1387.4537353999999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1012.593483</v>
      </c>
      <c r="B1610" s="1">
        <f>DATE(2013,2,6) + TIME(14,14,36)</f>
        <v>41311.593472222223</v>
      </c>
      <c r="C1610">
        <v>90</v>
      </c>
      <c r="D1610">
        <v>80.820968628000003</v>
      </c>
      <c r="E1610">
        <v>30</v>
      </c>
      <c r="F1610">
        <v>29.988813400000002</v>
      </c>
      <c r="G1610">
        <v>1298.4658202999999</v>
      </c>
      <c r="H1610">
        <v>1285.4951172000001</v>
      </c>
      <c r="I1610">
        <v>1415.3710937999999</v>
      </c>
      <c r="J1610">
        <v>1387.4656981999999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1014.510854</v>
      </c>
      <c r="B1611" s="1">
        <f>DATE(2013,2,8) + TIME(12,15,37)</f>
        <v>41313.510844907411</v>
      </c>
      <c r="C1611">
        <v>90</v>
      </c>
      <c r="D1611">
        <v>80.675865173000005</v>
      </c>
      <c r="E1611">
        <v>30</v>
      </c>
      <c r="F1611">
        <v>29.988822936999998</v>
      </c>
      <c r="G1611">
        <v>1298.2449951000001</v>
      </c>
      <c r="H1611">
        <v>1285.1967772999999</v>
      </c>
      <c r="I1611">
        <v>1415.3806152</v>
      </c>
      <c r="J1611">
        <v>1387.4775391000001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1016.460996</v>
      </c>
      <c r="B1612" s="1">
        <f>DATE(2013,2,10) + TIME(11,3,50)</f>
        <v>41315.460995370369</v>
      </c>
      <c r="C1612">
        <v>90</v>
      </c>
      <c r="D1612">
        <v>80.526596068999993</v>
      </c>
      <c r="E1612">
        <v>30</v>
      </c>
      <c r="F1612">
        <v>29.988834381</v>
      </c>
      <c r="G1612">
        <v>1298.0183105000001</v>
      </c>
      <c r="H1612">
        <v>1284.8896483999999</v>
      </c>
      <c r="I1612">
        <v>1415.3901367000001</v>
      </c>
      <c r="J1612">
        <v>1387.4892577999999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1018.432469</v>
      </c>
      <c r="B1613" s="1">
        <f>DATE(2013,2,12) + TIME(10,22,45)</f>
        <v>41317.43246527778</v>
      </c>
      <c r="C1613">
        <v>90</v>
      </c>
      <c r="D1613">
        <v>80.373207092000001</v>
      </c>
      <c r="E1613">
        <v>30</v>
      </c>
      <c r="F1613">
        <v>29.988843918000001</v>
      </c>
      <c r="G1613">
        <v>1297.7855225000001</v>
      </c>
      <c r="H1613">
        <v>1284.5737305</v>
      </c>
      <c r="I1613">
        <v>1415.3995361</v>
      </c>
      <c r="J1613">
        <v>1387.5008545000001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1020.418854</v>
      </c>
      <c r="B1614" s="1">
        <f>DATE(2013,2,14) + TIME(10,3,8)</f>
        <v>41319.418842592589</v>
      </c>
      <c r="C1614">
        <v>90</v>
      </c>
      <c r="D1614">
        <v>80.216079711999996</v>
      </c>
      <c r="E1614">
        <v>30</v>
      </c>
      <c r="F1614">
        <v>29.988853455000001</v>
      </c>
      <c r="G1614">
        <v>1297.5476074000001</v>
      </c>
      <c r="H1614">
        <v>1284.2503661999999</v>
      </c>
      <c r="I1614">
        <v>1415.4086914</v>
      </c>
      <c r="J1614">
        <v>1387.512207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1022.424344</v>
      </c>
      <c r="B1615" s="1">
        <f>DATE(2013,2,16) + TIME(10,11,3)</f>
        <v>41321.424340277779</v>
      </c>
      <c r="C1615">
        <v>90</v>
      </c>
      <c r="D1615">
        <v>80.055274963000002</v>
      </c>
      <c r="E1615">
        <v>30</v>
      </c>
      <c r="F1615">
        <v>29.988864898999999</v>
      </c>
      <c r="G1615">
        <v>1297.3055420000001</v>
      </c>
      <c r="H1615">
        <v>1283.9205322</v>
      </c>
      <c r="I1615">
        <v>1415.4177245999999</v>
      </c>
      <c r="J1615">
        <v>1387.5233154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1024.45282</v>
      </c>
      <c r="B1616" s="1">
        <f>DATE(2013,2,18) + TIME(10,52,3)</f>
        <v>41323.4528125</v>
      </c>
      <c r="C1616">
        <v>90</v>
      </c>
      <c r="D1616">
        <v>79.890327454000001</v>
      </c>
      <c r="E1616">
        <v>30</v>
      </c>
      <c r="F1616">
        <v>29.988874435</v>
      </c>
      <c r="G1616">
        <v>1297.0588379000001</v>
      </c>
      <c r="H1616">
        <v>1283.5838623</v>
      </c>
      <c r="I1616">
        <v>1415.4265137</v>
      </c>
      <c r="J1616">
        <v>1387.5341797000001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1026.5083749999999</v>
      </c>
      <c r="B1617" s="1">
        <f>DATE(2013,2,20) + TIME(12,12,3)</f>
        <v>41325.508368055554</v>
      </c>
      <c r="C1617">
        <v>90</v>
      </c>
      <c r="D1617">
        <v>79.720695496000005</v>
      </c>
      <c r="E1617">
        <v>30</v>
      </c>
      <c r="F1617">
        <v>29.988885880000002</v>
      </c>
      <c r="G1617">
        <v>1296.8071289</v>
      </c>
      <c r="H1617">
        <v>1283.239624</v>
      </c>
      <c r="I1617">
        <v>1415.4351807</v>
      </c>
      <c r="J1617">
        <v>1387.5447998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1028.595333</v>
      </c>
      <c r="B1618" s="1">
        <f>DATE(2013,2,22) + TIME(14,17,16)</f>
        <v>41327.595324074071</v>
      </c>
      <c r="C1618">
        <v>90</v>
      </c>
      <c r="D1618">
        <v>79.545776367000002</v>
      </c>
      <c r="E1618">
        <v>30</v>
      </c>
      <c r="F1618">
        <v>29.988895415999998</v>
      </c>
      <c r="G1618">
        <v>1296.5498047000001</v>
      </c>
      <c r="H1618">
        <v>1282.887207</v>
      </c>
      <c r="I1618">
        <v>1415.4436035000001</v>
      </c>
      <c r="J1618">
        <v>1387.5552978999999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1030.7103219999999</v>
      </c>
      <c r="B1619" s="1">
        <f>DATE(2013,2,24) + TIME(17,2,51)</f>
        <v>41329.710312499999</v>
      </c>
      <c r="C1619">
        <v>90</v>
      </c>
      <c r="D1619">
        <v>79.365043639999996</v>
      </c>
      <c r="E1619">
        <v>30</v>
      </c>
      <c r="F1619">
        <v>29.98890686</v>
      </c>
      <c r="G1619">
        <v>1296.286499</v>
      </c>
      <c r="H1619">
        <v>1282.5257568</v>
      </c>
      <c r="I1619">
        <v>1415.4519043</v>
      </c>
      <c r="J1619">
        <v>1387.5656738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1032.8392369999999</v>
      </c>
      <c r="B1620" s="1">
        <f>DATE(2013,2,26) + TIME(20,8,30)</f>
        <v>41331.839236111111</v>
      </c>
      <c r="C1620">
        <v>90</v>
      </c>
      <c r="D1620">
        <v>79.178550720000004</v>
      </c>
      <c r="E1620">
        <v>30</v>
      </c>
      <c r="F1620">
        <v>29.988918303999998</v>
      </c>
      <c r="G1620">
        <v>1296.0173339999999</v>
      </c>
      <c r="H1620">
        <v>1282.1560059000001</v>
      </c>
      <c r="I1620">
        <v>1415.4599608999999</v>
      </c>
      <c r="J1620">
        <v>1387.5756836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1035</v>
      </c>
      <c r="B1621" s="1">
        <f>DATE(2013,3,1) + TIME(0,0,0)</f>
        <v>41334</v>
      </c>
      <c r="C1621">
        <v>90</v>
      </c>
      <c r="D1621">
        <v>78.986251831000004</v>
      </c>
      <c r="E1621">
        <v>30</v>
      </c>
      <c r="F1621">
        <v>29.988927840999999</v>
      </c>
      <c r="G1621">
        <v>1295.7438964999999</v>
      </c>
      <c r="H1621">
        <v>1281.7792969</v>
      </c>
      <c r="I1621">
        <v>1415.4678954999999</v>
      </c>
      <c r="J1621">
        <v>1387.5855713000001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1037.1478360000001</v>
      </c>
      <c r="B1622" s="1">
        <f>DATE(2013,3,3) + TIME(3,32,53)</f>
        <v>41336.147835648146</v>
      </c>
      <c r="C1622">
        <v>90</v>
      </c>
      <c r="D1622">
        <v>78.788146972999996</v>
      </c>
      <c r="E1622">
        <v>30</v>
      </c>
      <c r="F1622">
        <v>29.988939285000001</v>
      </c>
      <c r="G1622">
        <v>1295.4647216999999</v>
      </c>
      <c r="H1622">
        <v>1281.3944091999999</v>
      </c>
      <c r="I1622">
        <v>1415.4754639</v>
      </c>
      <c r="J1622">
        <v>1387.5952147999999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1039.34599</v>
      </c>
      <c r="B1623" s="1">
        <f>DATE(2013,3,5) + TIME(8,18,13)</f>
        <v>41338.345983796295</v>
      </c>
      <c r="C1623">
        <v>90</v>
      </c>
      <c r="D1623">
        <v>78.584548949999999</v>
      </c>
      <c r="E1623">
        <v>30</v>
      </c>
      <c r="F1623">
        <v>29.988950728999999</v>
      </c>
      <c r="G1623">
        <v>1295.184082</v>
      </c>
      <c r="H1623">
        <v>1281.0061035000001</v>
      </c>
      <c r="I1623">
        <v>1415.4827881000001</v>
      </c>
      <c r="J1623">
        <v>1387.6043701000001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1041.5755549999999</v>
      </c>
      <c r="B1624" s="1">
        <f>DATE(2013,3,7) + TIME(13,48,47)</f>
        <v>41340.575543981482</v>
      </c>
      <c r="C1624">
        <v>90</v>
      </c>
      <c r="D1624">
        <v>78.372795104999994</v>
      </c>
      <c r="E1624">
        <v>30</v>
      </c>
      <c r="F1624">
        <v>29.988962173000001</v>
      </c>
      <c r="G1624">
        <v>1294.8957519999999</v>
      </c>
      <c r="H1624">
        <v>1280.6069336</v>
      </c>
      <c r="I1624">
        <v>1415.4899902</v>
      </c>
      <c r="J1624">
        <v>1387.6135254000001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1043.8301879999999</v>
      </c>
      <c r="B1625" s="1">
        <f>DATE(2013,3,9) + TIME(19,55,28)</f>
        <v>41342.830185185187</v>
      </c>
      <c r="C1625">
        <v>90</v>
      </c>
      <c r="D1625">
        <v>78.152885436999995</v>
      </c>
      <c r="E1625">
        <v>30</v>
      </c>
      <c r="F1625">
        <v>29.988973617999999</v>
      </c>
      <c r="G1625">
        <v>1294.6010742000001</v>
      </c>
      <c r="H1625">
        <v>1280.1983643000001</v>
      </c>
      <c r="I1625">
        <v>1415.4969481999999</v>
      </c>
      <c r="J1625">
        <v>1387.6223144999999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1046.1000739999999</v>
      </c>
      <c r="B1626" s="1">
        <f>DATE(2013,3,12) + TIME(2,24,6)</f>
        <v>41345.100069444445</v>
      </c>
      <c r="C1626">
        <v>90</v>
      </c>
      <c r="D1626">
        <v>77.925086974999999</v>
      </c>
      <c r="E1626">
        <v>30</v>
      </c>
      <c r="F1626">
        <v>29.988985062000001</v>
      </c>
      <c r="G1626">
        <v>1294.3011475000001</v>
      </c>
      <c r="H1626">
        <v>1279.7813721</v>
      </c>
      <c r="I1626">
        <v>1415.5036620999999</v>
      </c>
      <c r="J1626">
        <v>1387.6309814000001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1048.3904769999999</v>
      </c>
      <c r="B1627" s="1">
        <f>DATE(2013,3,14) + TIME(9,22,17)</f>
        <v>41347.390474537038</v>
      </c>
      <c r="C1627">
        <v>90</v>
      </c>
      <c r="D1627">
        <v>77.689575195000003</v>
      </c>
      <c r="E1627">
        <v>30</v>
      </c>
      <c r="F1627">
        <v>29.988996505999999</v>
      </c>
      <c r="G1627">
        <v>1293.9968262</v>
      </c>
      <c r="H1627">
        <v>1279.3577881000001</v>
      </c>
      <c r="I1627">
        <v>1415.5101318</v>
      </c>
      <c r="J1627">
        <v>1387.6391602000001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1050.7057</v>
      </c>
      <c r="B1628" s="1">
        <f>DATE(2013,3,16) + TIME(16,56,12)</f>
        <v>41349.705694444441</v>
      </c>
      <c r="C1628">
        <v>90</v>
      </c>
      <c r="D1628">
        <v>77.445732117000006</v>
      </c>
      <c r="E1628">
        <v>30</v>
      </c>
      <c r="F1628">
        <v>29.989007950000001</v>
      </c>
      <c r="G1628">
        <v>1293.6879882999999</v>
      </c>
      <c r="H1628">
        <v>1278.9267577999999</v>
      </c>
      <c r="I1628">
        <v>1415.5162353999999</v>
      </c>
      <c r="J1628">
        <v>1387.6472168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1053.050205</v>
      </c>
      <c r="B1629" s="1">
        <f>DATE(2013,3,19) + TIME(1,12,17)</f>
        <v>41352.050196759257</v>
      </c>
      <c r="C1629">
        <v>90</v>
      </c>
      <c r="D1629">
        <v>77.192794800000001</v>
      </c>
      <c r="E1629">
        <v>30</v>
      </c>
      <c r="F1629">
        <v>29.989019394</v>
      </c>
      <c r="G1629">
        <v>1293.3740233999999</v>
      </c>
      <c r="H1629">
        <v>1278.4879149999999</v>
      </c>
      <c r="I1629">
        <v>1415.5220947</v>
      </c>
      <c r="J1629">
        <v>1387.6549072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1055.427676</v>
      </c>
      <c r="B1630" s="1">
        <f>DATE(2013,3,21) + TIME(10,15,51)</f>
        <v>41354.427673611113</v>
      </c>
      <c r="C1630">
        <v>90</v>
      </c>
      <c r="D1630">
        <v>76.929901122999993</v>
      </c>
      <c r="E1630">
        <v>30</v>
      </c>
      <c r="F1630">
        <v>29.989032744999999</v>
      </c>
      <c r="G1630">
        <v>1293.0543213000001</v>
      </c>
      <c r="H1630">
        <v>1278.0401611</v>
      </c>
      <c r="I1630">
        <v>1415.5277100000001</v>
      </c>
      <c r="J1630">
        <v>1387.6623535000001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1057.819788</v>
      </c>
      <c r="B1631" s="1">
        <f>DATE(2013,3,23) + TIME(19,40,29)</f>
        <v>41356.819780092592</v>
      </c>
      <c r="C1631">
        <v>90</v>
      </c>
      <c r="D1631">
        <v>76.656776428000001</v>
      </c>
      <c r="E1631">
        <v>30</v>
      </c>
      <c r="F1631">
        <v>29.989044189000001</v>
      </c>
      <c r="G1631">
        <v>1292.7285156</v>
      </c>
      <c r="H1631">
        <v>1277.5832519999999</v>
      </c>
      <c r="I1631">
        <v>1415.5329589999999</v>
      </c>
      <c r="J1631">
        <v>1387.6694336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1060.2312589999999</v>
      </c>
      <c r="B1632" s="1">
        <f>DATE(2013,3,26) + TIME(5,33,0)</f>
        <v>41359.231249999997</v>
      </c>
      <c r="C1632">
        <v>90</v>
      </c>
      <c r="D1632">
        <v>76.374107361</v>
      </c>
      <c r="E1632">
        <v>30</v>
      </c>
      <c r="F1632">
        <v>29.989055634</v>
      </c>
      <c r="G1632">
        <v>1292.3989257999999</v>
      </c>
      <c r="H1632">
        <v>1277.119751</v>
      </c>
      <c r="I1632">
        <v>1415.5379639</v>
      </c>
      <c r="J1632">
        <v>1387.6762695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1062.667011</v>
      </c>
      <c r="B1633" s="1">
        <f>DATE(2013,3,28) + TIME(16,0,29)</f>
        <v>41361.667002314818</v>
      </c>
      <c r="C1633">
        <v>90</v>
      </c>
      <c r="D1633">
        <v>76.081413268999995</v>
      </c>
      <c r="E1633">
        <v>30</v>
      </c>
      <c r="F1633">
        <v>29.989068984999999</v>
      </c>
      <c r="G1633">
        <v>1292.0649414</v>
      </c>
      <c r="H1633">
        <v>1276.6491699000001</v>
      </c>
      <c r="I1633">
        <v>1415.5426024999999</v>
      </c>
      <c r="J1633">
        <v>1387.6827393000001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1065.1316449999999</v>
      </c>
      <c r="B1634" s="1">
        <f>DATE(2013,3,31) + TIME(3,9,34)</f>
        <v>41364.131643518522</v>
      </c>
      <c r="C1634">
        <v>90</v>
      </c>
      <c r="D1634">
        <v>75.777954101999995</v>
      </c>
      <c r="E1634">
        <v>30</v>
      </c>
      <c r="F1634">
        <v>29.989080429000001</v>
      </c>
      <c r="G1634">
        <v>1291.7261963000001</v>
      </c>
      <c r="H1634">
        <v>1276.1710204999999</v>
      </c>
      <c r="I1634">
        <v>1415.5469971</v>
      </c>
      <c r="J1634">
        <v>1387.6888428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1066</v>
      </c>
      <c r="B1635" s="1">
        <f>DATE(2013,4,1) + TIME(0,0,0)</f>
        <v>41365</v>
      </c>
      <c r="C1635">
        <v>90</v>
      </c>
      <c r="D1635">
        <v>75.554405212000006</v>
      </c>
      <c r="E1635">
        <v>30</v>
      </c>
      <c r="F1635">
        <v>29.989086150999999</v>
      </c>
      <c r="G1635">
        <v>1291.3966064000001</v>
      </c>
      <c r="H1635">
        <v>1275.7285156</v>
      </c>
      <c r="I1635">
        <v>1415.5500488</v>
      </c>
      <c r="J1635">
        <v>1387.6937256000001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1068.4969840000001</v>
      </c>
      <c r="B1636" s="1">
        <f>DATE(2013,4,3) + TIME(11,55,39)</f>
        <v>41367.496979166666</v>
      </c>
      <c r="C1636">
        <v>90</v>
      </c>
      <c r="D1636">
        <v>75.324455260999997</v>
      </c>
      <c r="E1636">
        <v>30</v>
      </c>
      <c r="F1636">
        <v>29.989097595</v>
      </c>
      <c r="G1636">
        <v>1291.2434082</v>
      </c>
      <c r="H1636">
        <v>1275.4776611</v>
      </c>
      <c r="I1636">
        <v>1415.5523682</v>
      </c>
      <c r="J1636">
        <v>1387.6966553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1071.0163150000001</v>
      </c>
      <c r="B1637" s="1">
        <f>DATE(2013,4,6) + TIME(0,23,29)</f>
        <v>41370.01630787037</v>
      </c>
      <c r="C1637">
        <v>90</v>
      </c>
      <c r="D1637">
        <v>75.013534546000002</v>
      </c>
      <c r="E1637">
        <v>30</v>
      </c>
      <c r="F1637">
        <v>29.989110947</v>
      </c>
      <c r="G1637">
        <v>1290.90625</v>
      </c>
      <c r="H1637">
        <v>1275.0074463000001</v>
      </c>
      <c r="I1637">
        <v>1415.5557861</v>
      </c>
      <c r="J1637">
        <v>1387.7019043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1073.5585040000001</v>
      </c>
      <c r="B1638" s="1">
        <f>DATE(2013,4,8) + TIME(13,24,14)</f>
        <v>41372.558495370373</v>
      </c>
      <c r="C1638">
        <v>90</v>
      </c>
      <c r="D1638">
        <v>74.675239563000005</v>
      </c>
      <c r="E1638">
        <v>30</v>
      </c>
      <c r="F1638">
        <v>29.989124298</v>
      </c>
      <c r="G1638">
        <v>1290.5548096</v>
      </c>
      <c r="H1638">
        <v>1274.5096435999999</v>
      </c>
      <c r="I1638">
        <v>1415.5589600000001</v>
      </c>
      <c r="J1638">
        <v>1387.7069091999999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1076.128193</v>
      </c>
      <c r="B1639" s="1">
        <f>DATE(2013,4,11) + TIME(3,4,35)</f>
        <v>41375.128182870372</v>
      </c>
      <c r="C1639">
        <v>90</v>
      </c>
      <c r="D1639">
        <v>74.321495056000003</v>
      </c>
      <c r="E1639">
        <v>30</v>
      </c>
      <c r="F1639">
        <v>29.989135741999998</v>
      </c>
      <c r="G1639">
        <v>1290.1967772999999</v>
      </c>
      <c r="H1639">
        <v>1274</v>
      </c>
      <c r="I1639">
        <v>1415.5617675999999</v>
      </c>
      <c r="J1639">
        <v>1387.7114257999999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1078.730198</v>
      </c>
      <c r="B1640" s="1">
        <f>DATE(2013,4,13) + TIME(17,31,29)</f>
        <v>41377.730196759258</v>
      </c>
      <c r="C1640">
        <v>90</v>
      </c>
      <c r="D1640">
        <v>73.954216002999999</v>
      </c>
      <c r="E1640">
        <v>30</v>
      </c>
      <c r="F1640">
        <v>29.989149093999998</v>
      </c>
      <c r="G1640">
        <v>1289.8334961</v>
      </c>
      <c r="H1640">
        <v>1273.4814452999999</v>
      </c>
      <c r="I1640">
        <v>1415.5643310999999</v>
      </c>
      <c r="J1640">
        <v>1387.7156981999999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1081.3523070000001</v>
      </c>
      <c r="B1641" s="1">
        <f>DATE(2013,4,16) + TIME(8,27,19)</f>
        <v>41380.352303240739</v>
      </c>
      <c r="C1641">
        <v>90</v>
      </c>
      <c r="D1641">
        <v>73.573730468999997</v>
      </c>
      <c r="E1641">
        <v>30</v>
      </c>
      <c r="F1641">
        <v>29.989162445000002</v>
      </c>
      <c r="G1641">
        <v>1289.4647216999999</v>
      </c>
      <c r="H1641">
        <v>1272.9539795000001</v>
      </c>
      <c r="I1641">
        <v>1415.5664062000001</v>
      </c>
      <c r="J1641">
        <v>1387.7194824000001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1083.9950260000001</v>
      </c>
      <c r="B1642" s="1">
        <f>DATE(2013,4,18) + TIME(23,52,50)</f>
        <v>41382.995023148149</v>
      </c>
      <c r="C1642">
        <v>90</v>
      </c>
      <c r="D1642">
        <v>73.180801392000006</v>
      </c>
      <c r="E1642">
        <v>30</v>
      </c>
      <c r="F1642">
        <v>29.989175797000001</v>
      </c>
      <c r="G1642">
        <v>1289.0921631000001</v>
      </c>
      <c r="H1642">
        <v>1272.4200439000001</v>
      </c>
      <c r="I1642">
        <v>1415.5679932</v>
      </c>
      <c r="J1642">
        <v>1387.7229004000001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1086.6641090000001</v>
      </c>
      <c r="B1643" s="1">
        <f>DATE(2013,4,21) + TIME(15,56,19)</f>
        <v>41385.6641087963</v>
      </c>
      <c r="C1643">
        <v>90</v>
      </c>
      <c r="D1643">
        <v>72.775367736999996</v>
      </c>
      <c r="E1643">
        <v>30</v>
      </c>
      <c r="F1643">
        <v>29.989189148000001</v>
      </c>
      <c r="G1643">
        <v>1288.7161865</v>
      </c>
      <c r="H1643">
        <v>1271.8797606999999</v>
      </c>
      <c r="I1643">
        <v>1415.5693358999999</v>
      </c>
      <c r="J1643">
        <v>1387.7259521000001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1089.3645309999999</v>
      </c>
      <c r="B1644" s="1">
        <f>DATE(2013,4,24) + TIME(8,44,55)</f>
        <v>41388.364525462966</v>
      </c>
      <c r="C1644">
        <v>90</v>
      </c>
      <c r="D1644">
        <v>72.356735228999995</v>
      </c>
      <c r="E1644">
        <v>30</v>
      </c>
      <c r="F1644">
        <v>29.989202499000001</v>
      </c>
      <c r="G1644">
        <v>1288.3361815999999</v>
      </c>
      <c r="H1644">
        <v>1271.3323975000001</v>
      </c>
      <c r="I1644">
        <v>1415.5701904</v>
      </c>
      <c r="J1644">
        <v>1387.7285156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1092.089459</v>
      </c>
      <c r="B1645" s="1">
        <f>DATE(2013,4,27) + TIME(2,8,49)</f>
        <v>41391.089456018519</v>
      </c>
      <c r="C1645">
        <v>90</v>
      </c>
      <c r="D1645">
        <v>71.924499511999997</v>
      </c>
      <c r="E1645">
        <v>30</v>
      </c>
      <c r="F1645">
        <v>29.989215851000001</v>
      </c>
      <c r="G1645">
        <v>1287.9514160000001</v>
      </c>
      <c r="H1645">
        <v>1270.7773437999999</v>
      </c>
      <c r="I1645">
        <v>1415.5706786999999</v>
      </c>
      <c r="J1645">
        <v>1387.7307129000001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1094.8358659999999</v>
      </c>
      <c r="B1646" s="1">
        <f>DATE(2013,4,29) + TIME(20,3,38)</f>
        <v>41393.835856481484</v>
      </c>
      <c r="C1646">
        <v>90</v>
      </c>
      <c r="D1646">
        <v>71.479515075999998</v>
      </c>
      <c r="E1646">
        <v>30</v>
      </c>
      <c r="F1646">
        <v>29.989229202000001</v>
      </c>
      <c r="G1646">
        <v>1287.5632324000001</v>
      </c>
      <c r="H1646">
        <v>1270.2156981999999</v>
      </c>
      <c r="I1646">
        <v>1415.5706786999999</v>
      </c>
      <c r="J1646">
        <v>1387.7324219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1096</v>
      </c>
      <c r="B1647" s="1">
        <f>DATE(2013,5,1) + TIME(0,0,0)</f>
        <v>41395</v>
      </c>
      <c r="C1647">
        <v>90</v>
      </c>
      <c r="D1647">
        <v>71.118194579999994</v>
      </c>
      <c r="E1647">
        <v>30</v>
      </c>
      <c r="F1647">
        <v>29.989234924000002</v>
      </c>
      <c r="G1647">
        <v>1287.1821289</v>
      </c>
      <c r="H1647">
        <v>1269.6896973</v>
      </c>
      <c r="I1647">
        <v>1415.5695800999999</v>
      </c>
      <c r="J1647">
        <v>1387.7330322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1096.0000010000001</v>
      </c>
      <c r="B1648" s="1">
        <f>DATE(2013,5,1) + TIME(0,0,0)</f>
        <v>41395</v>
      </c>
      <c r="C1648">
        <v>90</v>
      </c>
      <c r="D1648">
        <v>71.118377686000002</v>
      </c>
      <c r="E1648">
        <v>30</v>
      </c>
      <c r="F1648">
        <v>29.989135741999998</v>
      </c>
      <c r="G1648">
        <v>1306.3432617000001</v>
      </c>
      <c r="H1648">
        <v>1288.2829589999999</v>
      </c>
      <c r="I1648">
        <v>1386.8579102000001</v>
      </c>
      <c r="J1648">
        <v>1359.2744141000001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1096.000004</v>
      </c>
      <c r="B1649" s="1">
        <f>DATE(2013,5,1) + TIME(0,0,0)</f>
        <v>41395</v>
      </c>
      <c r="C1649">
        <v>90</v>
      </c>
      <c r="D1649">
        <v>71.118843079000001</v>
      </c>
      <c r="E1649">
        <v>30</v>
      </c>
      <c r="F1649">
        <v>29.988861084</v>
      </c>
      <c r="G1649">
        <v>1308.7469481999999</v>
      </c>
      <c r="H1649">
        <v>1291.0791016000001</v>
      </c>
      <c r="I1649">
        <v>1384.4416504000001</v>
      </c>
      <c r="J1649">
        <v>1356.8576660000001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1096.0000130000001</v>
      </c>
      <c r="B1650" s="1">
        <f>DATE(2013,5,1) + TIME(0,0,1)</f>
        <v>41395.000011574077</v>
      </c>
      <c r="C1650">
        <v>90</v>
      </c>
      <c r="D1650">
        <v>71.119880675999994</v>
      </c>
      <c r="E1650">
        <v>30</v>
      </c>
      <c r="F1650">
        <v>29.988197327000002</v>
      </c>
      <c r="G1650">
        <v>1313.9611815999999</v>
      </c>
      <c r="H1650">
        <v>1296.8039550999999</v>
      </c>
      <c r="I1650">
        <v>1378.6005858999999</v>
      </c>
      <c r="J1650">
        <v>1351.0155029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1096.0000399999999</v>
      </c>
      <c r="B1651" s="1">
        <f>DATE(2013,5,1) + TIME(0,0,3)</f>
        <v>41395.000034722223</v>
      </c>
      <c r="C1651">
        <v>90</v>
      </c>
      <c r="D1651">
        <v>71.121810913000004</v>
      </c>
      <c r="E1651">
        <v>30</v>
      </c>
      <c r="F1651">
        <v>29.986955643000002</v>
      </c>
      <c r="G1651">
        <v>1322.3681641000001</v>
      </c>
      <c r="H1651">
        <v>1305.4086914</v>
      </c>
      <c r="I1651">
        <v>1367.6652832</v>
      </c>
      <c r="J1651">
        <v>1340.0793457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1096.000121</v>
      </c>
      <c r="B1652" s="1">
        <f>DATE(2013,5,1) + TIME(0,0,10)</f>
        <v>41395.000115740739</v>
      </c>
      <c r="C1652">
        <v>90</v>
      </c>
      <c r="D1652">
        <v>71.125450134000005</v>
      </c>
      <c r="E1652">
        <v>30</v>
      </c>
      <c r="F1652">
        <v>29.985275268999999</v>
      </c>
      <c r="G1652">
        <v>1332.4716797000001</v>
      </c>
      <c r="H1652">
        <v>1315.3472899999999</v>
      </c>
      <c r="I1652">
        <v>1352.8996582</v>
      </c>
      <c r="J1652">
        <v>1325.3156738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1096.000364</v>
      </c>
      <c r="B1653" s="1">
        <f>DATE(2013,5,1) + TIME(0,0,31)</f>
        <v>41395.000358796293</v>
      </c>
      <c r="C1653">
        <v>90</v>
      </c>
      <c r="D1653">
        <v>71.133743285999998</v>
      </c>
      <c r="E1653">
        <v>30</v>
      </c>
      <c r="F1653">
        <v>29.983470916999998</v>
      </c>
      <c r="G1653">
        <v>1342.963501</v>
      </c>
      <c r="H1653">
        <v>1325.6142577999999</v>
      </c>
      <c r="I1653">
        <v>1337.0839844</v>
      </c>
      <c r="J1653">
        <v>1309.5053711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1096.0010930000001</v>
      </c>
      <c r="B1654" s="1">
        <f>DATE(2013,5,1) + TIME(0,1,34)</f>
        <v>41395.001087962963</v>
      </c>
      <c r="C1654">
        <v>90</v>
      </c>
      <c r="D1654">
        <v>71.156127929999997</v>
      </c>
      <c r="E1654">
        <v>30</v>
      </c>
      <c r="F1654">
        <v>29.981641768999999</v>
      </c>
      <c r="G1654">
        <v>1353.7828368999999</v>
      </c>
      <c r="H1654">
        <v>1336.1945800999999</v>
      </c>
      <c r="I1654">
        <v>1321.2484131000001</v>
      </c>
      <c r="J1654">
        <v>1293.6783447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1096.0032799999999</v>
      </c>
      <c r="B1655" s="1">
        <f>DATE(2013,5,1) + TIME(0,4,43)</f>
        <v>41395.003275462965</v>
      </c>
      <c r="C1655">
        <v>90</v>
      </c>
      <c r="D1655">
        <v>71.221229553000001</v>
      </c>
      <c r="E1655">
        <v>30</v>
      </c>
      <c r="F1655">
        <v>29.979755401999999</v>
      </c>
      <c r="G1655">
        <v>1365.371582</v>
      </c>
      <c r="H1655">
        <v>1347.5207519999999</v>
      </c>
      <c r="I1655">
        <v>1305.4648437999999</v>
      </c>
      <c r="J1655">
        <v>1277.8916016000001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1096.0098410000001</v>
      </c>
      <c r="B1656" s="1">
        <f>DATE(2013,5,1) + TIME(0,14,10)</f>
        <v>41395.009837962964</v>
      </c>
      <c r="C1656">
        <v>90</v>
      </c>
      <c r="D1656">
        <v>71.414260863999999</v>
      </c>
      <c r="E1656">
        <v>30</v>
      </c>
      <c r="F1656">
        <v>29.977758408</v>
      </c>
      <c r="G1656">
        <v>1377.4494629000001</v>
      </c>
      <c r="H1656">
        <v>1359.3862305</v>
      </c>
      <c r="I1656">
        <v>1290.3989257999999</v>
      </c>
      <c r="J1656">
        <v>1262.7756348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1096.029524</v>
      </c>
      <c r="B1657" s="1">
        <f>DATE(2013,5,1) + TIME(0,42,30)</f>
        <v>41395.029513888891</v>
      </c>
      <c r="C1657">
        <v>90</v>
      </c>
      <c r="D1657">
        <v>71.977066039999997</v>
      </c>
      <c r="E1657">
        <v>30</v>
      </c>
      <c r="F1657">
        <v>29.975572585999998</v>
      </c>
      <c r="G1657">
        <v>1387.5146483999999</v>
      </c>
      <c r="H1657">
        <v>1369.4362793</v>
      </c>
      <c r="I1657">
        <v>1278.6884766000001</v>
      </c>
      <c r="J1657">
        <v>1250.9954834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1096.051921</v>
      </c>
      <c r="B1658" s="1">
        <f>DATE(2013,5,1) + TIME(1,14,45)</f>
        <v>41395.05190972222</v>
      </c>
      <c r="C1658">
        <v>90</v>
      </c>
      <c r="D1658">
        <v>72.596099854000002</v>
      </c>
      <c r="E1658">
        <v>30</v>
      </c>
      <c r="F1658">
        <v>29.974103928000002</v>
      </c>
      <c r="G1658">
        <v>1391.4235839999999</v>
      </c>
      <c r="H1658">
        <v>1373.4477539</v>
      </c>
      <c r="I1658">
        <v>1274.4464111</v>
      </c>
      <c r="J1658">
        <v>1246.7260742000001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1096.0748140000001</v>
      </c>
      <c r="B1659" s="1">
        <f>DATE(2013,5,1) + TIME(1,47,43)</f>
        <v>41395.074803240743</v>
      </c>
      <c r="C1659">
        <v>90</v>
      </c>
      <c r="D1659">
        <v>73.206855774000005</v>
      </c>
      <c r="E1659">
        <v>30</v>
      </c>
      <c r="F1659">
        <v>29.972923279</v>
      </c>
      <c r="G1659">
        <v>1392.9246826000001</v>
      </c>
      <c r="H1659">
        <v>1375.0786132999999</v>
      </c>
      <c r="I1659">
        <v>1272.9338379000001</v>
      </c>
      <c r="J1659">
        <v>1245.2033690999999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1096.09816</v>
      </c>
      <c r="B1660" s="1">
        <f>DATE(2013,5,1) + TIME(2,21,20)</f>
        <v>41395.09814814815</v>
      </c>
      <c r="C1660">
        <v>90</v>
      </c>
      <c r="D1660">
        <v>73.807479857999994</v>
      </c>
      <c r="E1660">
        <v>30</v>
      </c>
      <c r="F1660">
        <v>29.97183609</v>
      </c>
      <c r="G1660">
        <v>1393.4759521000001</v>
      </c>
      <c r="H1660">
        <v>1375.7653809000001</v>
      </c>
      <c r="I1660">
        <v>1272.4013672000001</v>
      </c>
      <c r="J1660">
        <v>1244.6669922000001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1096.12194</v>
      </c>
      <c r="B1661" s="1">
        <f>DATE(2013,5,1) + TIME(2,55,35)</f>
        <v>41395.121932870374</v>
      </c>
      <c r="C1661">
        <v>90</v>
      </c>
      <c r="D1661">
        <v>74.397026061999995</v>
      </c>
      <c r="E1661">
        <v>30</v>
      </c>
      <c r="F1661">
        <v>29.970779418999999</v>
      </c>
      <c r="G1661">
        <v>1393.6208495999999</v>
      </c>
      <c r="H1661">
        <v>1376.0447998</v>
      </c>
      <c r="I1661">
        <v>1272.2325439000001</v>
      </c>
      <c r="J1661">
        <v>1244.496582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1096.146129</v>
      </c>
      <c r="B1662" s="1">
        <f>DATE(2013,5,1) + TIME(3,30,25)</f>
        <v>41395.146122685182</v>
      </c>
      <c r="C1662">
        <v>90</v>
      </c>
      <c r="D1662">
        <v>74.974525451999995</v>
      </c>
      <c r="E1662">
        <v>30</v>
      </c>
      <c r="F1662">
        <v>29.969726562000002</v>
      </c>
      <c r="G1662">
        <v>1393.5843506000001</v>
      </c>
      <c r="H1662">
        <v>1376.1392822</v>
      </c>
      <c r="I1662">
        <v>1272.1942139</v>
      </c>
      <c r="J1662">
        <v>1244.4575195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1096.170738</v>
      </c>
      <c r="B1663" s="1">
        <f>DATE(2013,5,1) + TIME(4,5,51)</f>
        <v>41395.170729166668</v>
      </c>
      <c r="C1663">
        <v>90</v>
      </c>
      <c r="D1663">
        <v>75.539558411000002</v>
      </c>
      <c r="E1663">
        <v>30</v>
      </c>
      <c r="F1663">
        <v>29.968669891000001</v>
      </c>
      <c r="G1663">
        <v>1393.4654541</v>
      </c>
      <c r="H1663">
        <v>1376.1472168</v>
      </c>
      <c r="I1663">
        <v>1272.197876</v>
      </c>
      <c r="J1663">
        <v>1244.4608154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1096.19579</v>
      </c>
      <c r="B1664" s="1">
        <f>DATE(2013,5,1) + TIME(4,41,56)</f>
        <v>41395.195787037039</v>
      </c>
      <c r="C1664">
        <v>90</v>
      </c>
      <c r="D1664">
        <v>76.092712402000004</v>
      </c>
      <c r="E1664">
        <v>30</v>
      </c>
      <c r="F1664">
        <v>29.967601775999999</v>
      </c>
      <c r="G1664">
        <v>1393.3092041</v>
      </c>
      <c r="H1664">
        <v>1376.1135254000001</v>
      </c>
      <c r="I1664">
        <v>1272.2114257999999</v>
      </c>
      <c r="J1664">
        <v>1244.4741211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1096.2213039999999</v>
      </c>
      <c r="B1665" s="1">
        <f>DATE(2013,5,1) + TIME(5,18,40)</f>
        <v>41395.221296296295</v>
      </c>
      <c r="C1665">
        <v>90</v>
      </c>
      <c r="D1665">
        <v>76.634124756000006</v>
      </c>
      <c r="E1665">
        <v>30</v>
      </c>
      <c r="F1665">
        <v>29.966520309</v>
      </c>
      <c r="G1665">
        <v>1393.1369629000001</v>
      </c>
      <c r="H1665">
        <v>1376.0595702999999</v>
      </c>
      <c r="I1665">
        <v>1272.2244873</v>
      </c>
      <c r="J1665">
        <v>1244.4870605000001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1096.247302</v>
      </c>
      <c r="B1666" s="1">
        <f>DATE(2013,5,1) + TIME(5,56,6)</f>
        <v>41395.247291666667</v>
      </c>
      <c r="C1666">
        <v>90</v>
      </c>
      <c r="D1666">
        <v>77.163917541999993</v>
      </c>
      <c r="E1666">
        <v>30</v>
      </c>
      <c r="F1666">
        <v>29.965429306000001</v>
      </c>
      <c r="G1666">
        <v>1392.9592285000001</v>
      </c>
      <c r="H1666">
        <v>1375.9957274999999</v>
      </c>
      <c r="I1666">
        <v>1272.234375</v>
      </c>
      <c r="J1666">
        <v>1244.4968262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1096.273807</v>
      </c>
      <c r="B1667" s="1">
        <f>DATE(2013,5,1) + TIME(6,34,16)</f>
        <v>41395.273796296293</v>
      </c>
      <c r="C1667">
        <v>90</v>
      </c>
      <c r="D1667">
        <v>77.682220459000007</v>
      </c>
      <c r="E1667">
        <v>30</v>
      </c>
      <c r="F1667">
        <v>29.964323044</v>
      </c>
      <c r="G1667">
        <v>1392.7810059000001</v>
      </c>
      <c r="H1667">
        <v>1375.9276123</v>
      </c>
      <c r="I1667">
        <v>1272.2413329999999</v>
      </c>
      <c r="J1667">
        <v>1244.5035399999999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1096.3008130000001</v>
      </c>
      <c r="B1668" s="1">
        <f>DATE(2013,5,1) + TIME(7,13,10)</f>
        <v>41395.300810185188</v>
      </c>
      <c r="C1668">
        <v>90</v>
      </c>
      <c r="D1668">
        <v>78.188583374000004</v>
      </c>
      <c r="E1668">
        <v>30</v>
      </c>
      <c r="F1668">
        <v>29.96320343</v>
      </c>
      <c r="G1668">
        <v>1392.6054687999999</v>
      </c>
      <c r="H1668">
        <v>1375.8580322</v>
      </c>
      <c r="I1668">
        <v>1272.2459716999999</v>
      </c>
      <c r="J1668">
        <v>1244.5080565999999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1096.3283429999999</v>
      </c>
      <c r="B1669" s="1">
        <f>DATE(2013,5,1) + TIME(7,52,48)</f>
        <v>41395.328333333331</v>
      </c>
      <c r="C1669">
        <v>90</v>
      </c>
      <c r="D1669">
        <v>78.683151245000005</v>
      </c>
      <c r="E1669">
        <v>30</v>
      </c>
      <c r="F1669">
        <v>29.962072372000002</v>
      </c>
      <c r="G1669">
        <v>1392.4338379000001</v>
      </c>
      <c r="H1669">
        <v>1375.7885742000001</v>
      </c>
      <c r="I1669">
        <v>1272.2491454999999</v>
      </c>
      <c r="J1669">
        <v>1244.5111084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1096.3564220000001</v>
      </c>
      <c r="B1670" s="1">
        <f>DATE(2013,5,1) + TIME(8,33,14)</f>
        <v>41395.356412037036</v>
      </c>
      <c r="C1670">
        <v>90</v>
      </c>
      <c r="D1670">
        <v>79.166053771999998</v>
      </c>
      <c r="E1670">
        <v>30</v>
      </c>
      <c r="F1670">
        <v>29.960926056000002</v>
      </c>
      <c r="G1670">
        <v>1392.2666016000001</v>
      </c>
      <c r="H1670">
        <v>1375.7197266000001</v>
      </c>
      <c r="I1670">
        <v>1272.2512207</v>
      </c>
      <c r="J1670">
        <v>1244.5129394999999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1096.3850789999999</v>
      </c>
      <c r="B1671" s="1">
        <f>DATE(2013,5,1) + TIME(9,14,30)</f>
        <v>41395.385069444441</v>
      </c>
      <c r="C1671">
        <v>90</v>
      </c>
      <c r="D1671">
        <v>79.637413025000001</v>
      </c>
      <c r="E1671">
        <v>30</v>
      </c>
      <c r="F1671">
        <v>29.959764481000001</v>
      </c>
      <c r="G1671">
        <v>1392.104126</v>
      </c>
      <c r="H1671">
        <v>1375.6522216999999</v>
      </c>
      <c r="I1671">
        <v>1272.2526855000001</v>
      </c>
      <c r="J1671">
        <v>1244.5141602000001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1096.4143409999999</v>
      </c>
      <c r="B1672" s="1">
        <f>DATE(2013,5,1) + TIME(9,56,39)</f>
        <v>41395.414340277777</v>
      </c>
      <c r="C1672">
        <v>90</v>
      </c>
      <c r="D1672">
        <v>80.097335814999994</v>
      </c>
      <c r="E1672">
        <v>30</v>
      </c>
      <c r="F1672">
        <v>29.958587646000002</v>
      </c>
      <c r="G1672">
        <v>1391.9465332</v>
      </c>
      <c r="H1672">
        <v>1375.5860596</v>
      </c>
      <c r="I1672">
        <v>1272.2536620999999</v>
      </c>
      <c r="J1672">
        <v>1244.5150146000001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1096.44424</v>
      </c>
      <c r="B1673" s="1">
        <f>DATE(2013,5,1) + TIME(10,39,42)</f>
        <v>41395.444236111114</v>
      </c>
      <c r="C1673">
        <v>90</v>
      </c>
      <c r="D1673">
        <v>80.545852660999998</v>
      </c>
      <c r="E1673">
        <v>30</v>
      </c>
      <c r="F1673">
        <v>29.957393646</v>
      </c>
      <c r="G1673">
        <v>1391.7935791</v>
      </c>
      <c r="H1673">
        <v>1375.5213623</v>
      </c>
      <c r="I1673">
        <v>1272.2543945</v>
      </c>
      <c r="J1673">
        <v>1244.515625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1096.4748079999999</v>
      </c>
      <c r="B1674" s="1">
        <f>DATE(2013,5,1) + TIME(11,23,43)</f>
        <v>41395.474803240744</v>
      </c>
      <c r="C1674">
        <v>90</v>
      </c>
      <c r="D1674">
        <v>80.983154296999999</v>
      </c>
      <c r="E1674">
        <v>30</v>
      </c>
      <c r="F1674">
        <v>29.956182479999999</v>
      </c>
      <c r="G1674">
        <v>1391.6453856999999</v>
      </c>
      <c r="H1674">
        <v>1375.4581298999999</v>
      </c>
      <c r="I1674">
        <v>1272.2550048999999</v>
      </c>
      <c r="J1674">
        <v>1244.5159911999999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1096.506081</v>
      </c>
      <c r="B1675" s="1">
        <f>DATE(2013,5,1) + TIME(12,8,45)</f>
        <v>41395.506076388891</v>
      </c>
      <c r="C1675">
        <v>90</v>
      </c>
      <c r="D1675">
        <v>81.409332274999997</v>
      </c>
      <c r="E1675">
        <v>30</v>
      </c>
      <c r="F1675">
        <v>29.954952240000001</v>
      </c>
      <c r="G1675">
        <v>1391.5014647999999</v>
      </c>
      <c r="H1675">
        <v>1375.3962402</v>
      </c>
      <c r="I1675">
        <v>1272.2554932</v>
      </c>
      <c r="J1675">
        <v>1244.5163574000001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1096.5381110000001</v>
      </c>
      <c r="B1676" s="1">
        <f>DATE(2013,5,1) + TIME(12,54,52)</f>
        <v>41395.538101851853</v>
      </c>
      <c r="C1676">
        <v>90</v>
      </c>
      <c r="D1676">
        <v>81.824661254999995</v>
      </c>
      <c r="E1676">
        <v>30</v>
      </c>
      <c r="F1676">
        <v>29.953701019</v>
      </c>
      <c r="G1676">
        <v>1391.3618164</v>
      </c>
      <c r="H1676">
        <v>1375.3358154</v>
      </c>
      <c r="I1676">
        <v>1272.2558594</v>
      </c>
      <c r="J1676">
        <v>1244.5164795000001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1096.570925</v>
      </c>
      <c r="B1677" s="1">
        <f>DATE(2013,5,1) + TIME(13,42,7)</f>
        <v>41395.570914351854</v>
      </c>
      <c r="C1677">
        <v>90</v>
      </c>
      <c r="D1677">
        <v>82.229042053000001</v>
      </c>
      <c r="E1677">
        <v>30</v>
      </c>
      <c r="F1677">
        <v>29.952430724999999</v>
      </c>
      <c r="G1677">
        <v>1391.2261963000001</v>
      </c>
      <c r="H1677">
        <v>1375.2766113</v>
      </c>
      <c r="I1677">
        <v>1272.2562256000001</v>
      </c>
      <c r="J1677">
        <v>1244.5166016000001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1096.604566</v>
      </c>
      <c r="B1678" s="1">
        <f>DATE(2013,5,1) + TIME(14,30,34)</f>
        <v>41395.604560185187</v>
      </c>
      <c r="C1678">
        <v>90</v>
      </c>
      <c r="D1678">
        <v>82.622543335000003</v>
      </c>
      <c r="E1678">
        <v>30</v>
      </c>
      <c r="F1678">
        <v>29.951135635</v>
      </c>
      <c r="G1678">
        <v>1391.0944824000001</v>
      </c>
      <c r="H1678">
        <v>1375.2185059000001</v>
      </c>
      <c r="I1678">
        <v>1272.2565918</v>
      </c>
      <c r="J1678">
        <v>1244.5167236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1096.639081</v>
      </c>
      <c r="B1679" s="1">
        <f>DATE(2013,5,1) + TIME(15,20,16)</f>
        <v>41395.639074074075</v>
      </c>
      <c r="C1679">
        <v>90</v>
      </c>
      <c r="D1679">
        <v>83.005226135000001</v>
      </c>
      <c r="E1679">
        <v>30</v>
      </c>
      <c r="F1679">
        <v>29.949819564999999</v>
      </c>
      <c r="G1679">
        <v>1390.9664307</v>
      </c>
      <c r="H1679">
        <v>1375.1616211</v>
      </c>
      <c r="I1679">
        <v>1272.2568358999999</v>
      </c>
      <c r="J1679">
        <v>1244.5168457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1096.67452</v>
      </c>
      <c r="B1680" s="1">
        <f>DATE(2013,5,1) + TIME(16,11,18)</f>
        <v>41395.674513888887</v>
      </c>
      <c r="C1680">
        <v>90</v>
      </c>
      <c r="D1680">
        <v>83.377151488999999</v>
      </c>
      <c r="E1680">
        <v>30</v>
      </c>
      <c r="F1680">
        <v>29.948476791000001</v>
      </c>
      <c r="G1680">
        <v>1390.8419189000001</v>
      </c>
      <c r="H1680">
        <v>1375.1057129000001</v>
      </c>
      <c r="I1680">
        <v>1272.2570800999999</v>
      </c>
      <c r="J1680">
        <v>1244.5168457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1096.7109379999999</v>
      </c>
      <c r="B1681" s="1">
        <f>DATE(2013,5,1) + TIME(17,3,45)</f>
        <v>41395.7109375</v>
      </c>
      <c r="C1681">
        <v>90</v>
      </c>
      <c r="D1681">
        <v>83.738380432</v>
      </c>
      <c r="E1681">
        <v>30</v>
      </c>
      <c r="F1681">
        <v>29.947107315</v>
      </c>
      <c r="G1681">
        <v>1390.7207031</v>
      </c>
      <c r="H1681">
        <v>1375.0507812000001</v>
      </c>
      <c r="I1681">
        <v>1272.2573242000001</v>
      </c>
      <c r="J1681">
        <v>1244.5168457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1096.748394</v>
      </c>
      <c r="B1682" s="1">
        <f>DATE(2013,5,1) + TIME(17,57,41)</f>
        <v>41395.748391203706</v>
      </c>
      <c r="C1682">
        <v>90</v>
      </c>
      <c r="D1682">
        <v>84.088966369999994</v>
      </c>
      <c r="E1682">
        <v>30</v>
      </c>
      <c r="F1682">
        <v>29.945709228999998</v>
      </c>
      <c r="G1682">
        <v>1390.6026611</v>
      </c>
      <c r="H1682">
        <v>1374.9967041</v>
      </c>
      <c r="I1682">
        <v>1272.2575684000001</v>
      </c>
      <c r="J1682">
        <v>1244.5167236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1096.7869519999999</v>
      </c>
      <c r="B1683" s="1">
        <f>DATE(2013,5,1) + TIME(18,53,12)</f>
        <v>41395.786944444444</v>
      </c>
      <c r="C1683">
        <v>90</v>
      </c>
      <c r="D1683">
        <v>84.428955078000001</v>
      </c>
      <c r="E1683">
        <v>30</v>
      </c>
      <c r="F1683">
        <v>29.944282531999999</v>
      </c>
      <c r="G1683">
        <v>1390.4876709</v>
      </c>
      <c r="H1683">
        <v>1374.9433594</v>
      </c>
      <c r="I1683">
        <v>1272.2576904</v>
      </c>
      <c r="J1683">
        <v>1244.5167236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1096.8266819999999</v>
      </c>
      <c r="B1684" s="1">
        <f>DATE(2013,5,1) + TIME(19,50,25)</f>
        <v>41395.826678240737</v>
      </c>
      <c r="C1684">
        <v>90</v>
      </c>
      <c r="D1684">
        <v>84.758392334000007</v>
      </c>
      <c r="E1684">
        <v>30</v>
      </c>
      <c r="F1684">
        <v>29.942821503000001</v>
      </c>
      <c r="G1684">
        <v>1390.3753661999999</v>
      </c>
      <c r="H1684">
        <v>1374.8907471</v>
      </c>
      <c r="I1684">
        <v>1272.2579346</v>
      </c>
      <c r="J1684">
        <v>1244.5166016000001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1096.8676599999999</v>
      </c>
      <c r="B1685" s="1">
        <f>DATE(2013,5,1) + TIME(20,49,25)</f>
        <v>41395.867650462962</v>
      </c>
      <c r="C1685">
        <v>90</v>
      </c>
      <c r="D1685">
        <v>85.077255249000004</v>
      </c>
      <c r="E1685">
        <v>30</v>
      </c>
      <c r="F1685">
        <v>29.941328048999999</v>
      </c>
      <c r="G1685">
        <v>1390.2657471</v>
      </c>
      <c r="H1685">
        <v>1374.8386230000001</v>
      </c>
      <c r="I1685">
        <v>1272.2580565999999</v>
      </c>
      <c r="J1685">
        <v>1244.5164795000001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1096.9099900000001</v>
      </c>
      <c r="B1686" s="1">
        <f>DATE(2013,5,1) + TIME(21,50,23)</f>
        <v>41395.909988425927</v>
      </c>
      <c r="C1686">
        <v>90</v>
      </c>
      <c r="D1686">
        <v>85.385604857999994</v>
      </c>
      <c r="E1686">
        <v>30</v>
      </c>
      <c r="F1686">
        <v>29.939796447999999</v>
      </c>
      <c r="G1686">
        <v>1390.1586914</v>
      </c>
      <c r="H1686">
        <v>1374.7869873</v>
      </c>
      <c r="I1686">
        <v>1272.2581786999999</v>
      </c>
      <c r="J1686">
        <v>1244.5163574000001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1096.9537560000001</v>
      </c>
      <c r="B1687" s="1">
        <f>DATE(2013,5,1) + TIME(22,53,24)</f>
        <v>41395.953750000001</v>
      </c>
      <c r="C1687">
        <v>90</v>
      </c>
      <c r="D1687">
        <v>85.683563231999997</v>
      </c>
      <c r="E1687">
        <v>30</v>
      </c>
      <c r="F1687">
        <v>29.938224792</v>
      </c>
      <c r="G1687">
        <v>1390.0538329999999</v>
      </c>
      <c r="H1687">
        <v>1374.7358397999999</v>
      </c>
      <c r="I1687">
        <v>1272.2583007999999</v>
      </c>
      <c r="J1687">
        <v>1244.5161132999999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1096.9990499999999</v>
      </c>
      <c r="B1688" s="1">
        <f>DATE(2013,5,1) + TIME(23,58,37)</f>
        <v>41395.999039351853</v>
      </c>
      <c r="C1688">
        <v>90</v>
      </c>
      <c r="D1688">
        <v>85.971092224000003</v>
      </c>
      <c r="E1688">
        <v>30</v>
      </c>
      <c r="F1688">
        <v>29.936611176</v>
      </c>
      <c r="G1688">
        <v>1389.9511719</v>
      </c>
      <c r="H1688">
        <v>1374.6849365</v>
      </c>
      <c r="I1688">
        <v>1272.2584228999999</v>
      </c>
      <c r="J1688">
        <v>1244.5159911999999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1097.045983</v>
      </c>
      <c r="B1689" s="1">
        <f>DATE(2013,5,2) + TIME(1,6,12)</f>
        <v>41396.045972222222</v>
      </c>
      <c r="C1689">
        <v>90</v>
      </c>
      <c r="D1689">
        <v>86.248222350999995</v>
      </c>
      <c r="E1689">
        <v>30</v>
      </c>
      <c r="F1689">
        <v>29.93495369</v>
      </c>
      <c r="G1689">
        <v>1389.8505858999999</v>
      </c>
      <c r="H1689">
        <v>1374.6343993999999</v>
      </c>
      <c r="I1689">
        <v>1272.2584228999999</v>
      </c>
      <c r="J1689">
        <v>1244.5157471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1097.094681</v>
      </c>
      <c r="B1690" s="1">
        <f>DATE(2013,5,2) + TIME(2,16,20)</f>
        <v>41396.094675925924</v>
      </c>
      <c r="C1690">
        <v>90</v>
      </c>
      <c r="D1690">
        <v>86.514984131000006</v>
      </c>
      <c r="E1690">
        <v>30</v>
      </c>
      <c r="F1690">
        <v>29.933246613000001</v>
      </c>
      <c r="G1690">
        <v>1389.7518310999999</v>
      </c>
      <c r="H1690">
        <v>1374.5839844</v>
      </c>
      <c r="I1690">
        <v>1272.2585449000001</v>
      </c>
      <c r="J1690">
        <v>1244.515625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1097.145274</v>
      </c>
      <c r="B1691" s="1">
        <f>DATE(2013,5,2) + TIME(3,29,11)</f>
        <v>41396.145266203705</v>
      </c>
      <c r="C1691">
        <v>90</v>
      </c>
      <c r="D1691">
        <v>86.771369934000006</v>
      </c>
      <c r="E1691">
        <v>30</v>
      </c>
      <c r="F1691">
        <v>29.93148613</v>
      </c>
      <c r="G1691">
        <v>1389.6549072</v>
      </c>
      <c r="H1691">
        <v>1374.5335693</v>
      </c>
      <c r="I1691">
        <v>1272.2586670000001</v>
      </c>
      <c r="J1691">
        <v>1244.5153809000001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1097.1979160000001</v>
      </c>
      <c r="B1692" s="1">
        <f>DATE(2013,5,2) + TIME(4,44,59)</f>
        <v>41396.197905092595</v>
      </c>
      <c r="C1692">
        <v>90</v>
      </c>
      <c r="D1692">
        <v>87.017410278</v>
      </c>
      <c r="E1692">
        <v>30</v>
      </c>
      <c r="F1692">
        <v>29.929670334000001</v>
      </c>
      <c r="G1692">
        <v>1389.5594481999999</v>
      </c>
      <c r="H1692">
        <v>1374.4831543</v>
      </c>
      <c r="I1692">
        <v>1272.2586670000001</v>
      </c>
      <c r="J1692">
        <v>1244.5151367000001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1097.2527869999999</v>
      </c>
      <c r="B1693" s="1">
        <f>DATE(2013,5,2) + TIME(6,4,0)</f>
        <v>41396.25277777778</v>
      </c>
      <c r="C1693">
        <v>90</v>
      </c>
      <c r="D1693">
        <v>87.253150939999998</v>
      </c>
      <c r="E1693">
        <v>30</v>
      </c>
      <c r="F1693">
        <v>29.927791594999999</v>
      </c>
      <c r="G1693">
        <v>1389.4654541</v>
      </c>
      <c r="H1693">
        <v>1374.4327393000001</v>
      </c>
      <c r="I1693">
        <v>1272.2587891000001</v>
      </c>
      <c r="J1693">
        <v>1244.5147704999999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1097.31008</v>
      </c>
      <c r="B1694" s="1">
        <f>DATE(2013,5,2) + TIME(7,26,30)</f>
        <v>41396.310069444444</v>
      </c>
      <c r="C1694">
        <v>90</v>
      </c>
      <c r="D1694">
        <v>87.478622436999999</v>
      </c>
      <c r="E1694">
        <v>30</v>
      </c>
      <c r="F1694">
        <v>29.925848006999999</v>
      </c>
      <c r="G1694">
        <v>1389.3726807</v>
      </c>
      <c r="H1694">
        <v>1374.3819579999999</v>
      </c>
      <c r="I1694">
        <v>1272.2587891000001</v>
      </c>
      <c r="J1694">
        <v>1244.5145264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1097.3700160000001</v>
      </c>
      <c r="B1695" s="1">
        <f>DATE(2013,5,2) + TIME(8,52,49)</f>
        <v>41396.370011574072</v>
      </c>
      <c r="C1695">
        <v>90</v>
      </c>
      <c r="D1695">
        <v>87.693847656000003</v>
      </c>
      <c r="E1695">
        <v>30</v>
      </c>
      <c r="F1695">
        <v>29.923830032000001</v>
      </c>
      <c r="G1695">
        <v>1389.2811279</v>
      </c>
      <c r="H1695">
        <v>1374.3309326000001</v>
      </c>
      <c r="I1695">
        <v>1272.2589111</v>
      </c>
      <c r="J1695">
        <v>1244.5141602000001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1097.4328620000001</v>
      </c>
      <c r="B1696" s="1">
        <f>DATE(2013,5,2) + TIME(10,23,19)</f>
        <v>41396.432858796295</v>
      </c>
      <c r="C1696">
        <v>90</v>
      </c>
      <c r="D1696">
        <v>87.898887634000005</v>
      </c>
      <c r="E1696">
        <v>30</v>
      </c>
      <c r="F1696">
        <v>29.921733855999999</v>
      </c>
      <c r="G1696">
        <v>1389.1903076000001</v>
      </c>
      <c r="H1696">
        <v>1374.2795410000001</v>
      </c>
      <c r="I1696">
        <v>1272.2589111</v>
      </c>
      <c r="J1696">
        <v>1244.5139160000001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1097.4989270000001</v>
      </c>
      <c r="B1697" s="1">
        <f>DATE(2013,5,2) + TIME(11,58,27)</f>
        <v>41396.498923611114</v>
      </c>
      <c r="C1697">
        <v>90</v>
      </c>
      <c r="D1697">
        <v>88.093826293999996</v>
      </c>
      <c r="E1697">
        <v>30</v>
      </c>
      <c r="F1697">
        <v>29.919548034999998</v>
      </c>
      <c r="G1697">
        <v>1389.1003418</v>
      </c>
      <c r="H1697">
        <v>1374.2275391000001</v>
      </c>
      <c r="I1697">
        <v>1272.2590332</v>
      </c>
      <c r="J1697">
        <v>1244.5135498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1097.5685169999999</v>
      </c>
      <c r="B1698" s="1">
        <f>DATE(2013,5,2) + TIME(13,38,39)</f>
        <v>41396.568506944444</v>
      </c>
      <c r="C1698">
        <v>90</v>
      </c>
      <c r="D1698">
        <v>88.278587341000005</v>
      </c>
      <c r="E1698">
        <v>30</v>
      </c>
      <c r="F1698">
        <v>29.917264937999999</v>
      </c>
      <c r="G1698">
        <v>1389.0107422000001</v>
      </c>
      <c r="H1698">
        <v>1374.1748047000001</v>
      </c>
      <c r="I1698">
        <v>1272.2590332</v>
      </c>
      <c r="J1698">
        <v>1244.5131836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1097.642018</v>
      </c>
      <c r="B1699" s="1">
        <f>DATE(2013,5,2) + TIME(15,24,30)</f>
        <v>41396.642013888886</v>
      </c>
      <c r="C1699">
        <v>90</v>
      </c>
      <c r="D1699">
        <v>88.453208923000005</v>
      </c>
      <c r="E1699">
        <v>30</v>
      </c>
      <c r="F1699">
        <v>29.914876937999999</v>
      </c>
      <c r="G1699">
        <v>1388.9216309000001</v>
      </c>
      <c r="H1699">
        <v>1374.1213379000001</v>
      </c>
      <c r="I1699">
        <v>1272.2591553</v>
      </c>
      <c r="J1699">
        <v>1244.5128173999999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1097.7198840000001</v>
      </c>
      <c r="B1700" s="1">
        <f>DATE(2013,5,2) + TIME(17,16,37)</f>
        <v>41396.719872685186</v>
      </c>
      <c r="C1700">
        <v>90</v>
      </c>
      <c r="D1700">
        <v>88.617721558</v>
      </c>
      <c r="E1700">
        <v>30</v>
      </c>
      <c r="F1700">
        <v>29.912368774000001</v>
      </c>
      <c r="G1700">
        <v>1388.8326416</v>
      </c>
      <c r="H1700">
        <v>1374.0667725000001</v>
      </c>
      <c r="I1700">
        <v>1272.2591553</v>
      </c>
      <c r="J1700">
        <v>1244.5124512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1097.802649</v>
      </c>
      <c r="B1701" s="1">
        <f>DATE(2013,5,2) + TIME(19,15,48)</f>
        <v>41396.80263888889</v>
      </c>
      <c r="C1701">
        <v>90</v>
      </c>
      <c r="D1701">
        <v>88.772155761999997</v>
      </c>
      <c r="E1701">
        <v>30</v>
      </c>
      <c r="F1701">
        <v>29.909729003999999</v>
      </c>
      <c r="G1701">
        <v>1388.7435303</v>
      </c>
      <c r="H1701">
        <v>1374.0112305</v>
      </c>
      <c r="I1701">
        <v>1272.2592772999999</v>
      </c>
      <c r="J1701">
        <v>1244.5120850000001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1097.8910149999999</v>
      </c>
      <c r="B1702" s="1">
        <f>DATE(2013,5,2) + TIME(21,23,3)</f>
        <v>41396.891006944446</v>
      </c>
      <c r="C1702">
        <v>90</v>
      </c>
      <c r="D1702">
        <v>88.916664123999993</v>
      </c>
      <c r="E1702">
        <v>30</v>
      </c>
      <c r="F1702">
        <v>29.906938553</v>
      </c>
      <c r="G1702">
        <v>1388.6540527</v>
      </c>
      <c r="H1702">
        <v>1373.9543457</v>
      </c>
      <c r="I1702">
        <v>1272.2592772999999</v>
      </c>
      <c r="J1702">
        <v>1244.5115966999999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1097.9856970000001</v>
      </c>
      <c r="B1703" s="1">
        <f>DATE(2013,5,2) + TIME(23,39,24)</f>
        <v>41396.985694444447</v>
      </c>
      <c r="C1703">
        <v>90</v>
      </c>
      <c r="D1703">
        <v>89.051185607999997</v>
      </c>
      <c r="E1703">
        <v>30</v>
      </c>
      <c r="F1703">
        <v>29.903978347999999</v>
      </c>
      <c r="G1703">
        <v>1388.5638428</v>
      </c>
      <c r="H1703">
        <v>1373.895874</v>
      </c>
      <c r="I1703">
        <v>1272.2593993999999</v>
      </c>
      <c r="J1703">
        <v>1244.5111084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1098.0826790000001</v>
      </c>
      <c r="B1704" s="1">
        <f>DATE(2013,5,3) + TIME(1,59,3)</f>
        <v>41397.082673611112</v>
      </c>
      <c r="C1704">
        <v>90</v>
      </c>
      <c r="D1704">
        <v>89.170524596999996</v>
      </c>
      <c r="E1704">
        <v>30</v>
      </c>
      <c r="F1704">
        <v>29.900960921999999</v>
      </c>
      <c r="G1704">
        <v>1388.4759521000001</v>
      </c>
      <c r="H1704">
        <v>1373.8374022999999</v>
      </c>
      <c r="I1704">
        <v>1272.2593993999999</v>
      </c>
      <c r="J1704">
        <v>1244.5106201000001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1098.1799940000001</v>
      </c>
      <c r="B1705" s="1">
        <f>DATE(2013,5,3) + TIME(4,19,11)</f>
        <v>41397.179988425924</v>
      </c>
      <c r="C1705">
        <v>90</v>
      </c>
      <c r="D1705">
        <v>89.274223328000005</v>
      </c>
      <c r="E1705">
        <v>30</v>
      </c>
      <c r="F1705">
        <v>29.897945404000001</v>
      </c>
      <c r="G1705">
        <v>1388.3919678</v>
      </c>
      <c r="H1705">
        <v>1373.7802733999999</v>
      </c>
      <c r="I1705">
        <v>1272.2593993999999</v>
      </c>
      <c r="J1705">
        <v>1244.5101318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1098.2779419999999</v>
      </c>
      <c r="B1706" s="1">
        <f>DATE(2013,5,3) + TIME(6,40,14)</f>
        <v>41397.277939814812</v>
      </c>
      <c r="C1706">
        <v>90</v>
      </c>
      <c r="D1706">
        <v>89.364532471000004</v>
      </c>
      <c r="E1706">
        <v>30</v>
      </c>
      <c r="F1706">
        <v>29.894920349</v>
      </c>
      <c r="G1706">
        <v>1388.3114014</v>
      </c>
      <c r="H1706">
        <v>1373.7248535000001</v>
      </c>
      <c r="I1706">
        <v>1272.2593993999999</v>
      </c>
      <c r="J1706">
        <v>1244.5096435999999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1098.3766740000001</v>
      </c>
      <c r="B1707" s="1">
        <f>DATE(2013,5,3) + TIME(9,2,24)</f>
        <v>41397.376666666663</v>
      </c>
      <c r="C1707">
        <v>90</v>
      </c>
      <c r="D1707">
        <v>89.443229674999998</v>
      </c>
      <c r="E1707">
        <v>30</v>
      </c>
      <c r="F1707">
        <v>29.891881943000001</v>
      </c>
      <c r="G1707">
        <v>1388.2341309000001</v>
      </c>
      <c r="H1707">
        <v>1373.6707764</v>
      </c>
      <c r="I1707">
        <v>1272.2593993999999</v>
      </c>
      <c r="J1707">
        <v>1244.5091553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1098.4763600000001</v>
      </c>
      <c r="B1708" s="1">
        <f>DATE(2013,5,3) + TIME(11,25,57)</f>
        <v>41397.476354166669</v>
      </c>
      <c r="C1708">
        <v>90</v>
      </c>
      <c r="D1708">
        <v>89.511840820000003</v>
      </c>
      <c r="E1708">
        <v>30</v>
      </c>
      <c r="F1708">
        <v>29.888824462999999</v>
      </c>
      <c r="G1708">
        <v>1388.1594238</v>
      </c>
      <c r="H1708">
        <v>1373.6179199000001</v>
      </c>
      <c r="I1708">
        <v>1272.2593993999999</v>
      </c>
      <c r="J1708">
        <v>1244.5086670000001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1098.5771729999999</v>
      </c>
      <c r="B1709" s="1">
        <f>DATE(2013,5,3) + TIME(13,51,7)</f>
        <v>41397.577164351853</v>
      </c>
      <c r="C1709">
        <v>90</v>
      </c>
      <c r="D1709">
        <v>89.571685790999993</v>
      </c>
      <c r="E1709">
        <v>30</v>
      </c>
      <c r="F1709">
        <v>29.885746002000001</v>
      </c>
      <c r="G1709">
        <v>1388.0871582</v>
      </c>
      <c r="H1709">
        <v>1373.5661620999999</v>
      </c>
      <c r="I1709">
        <v>1272.2593993999999</v>
      </c>
      <c r="J1709">
        <v>1244.5080565999999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1098.6792849999999</v>
      </c>
      <c r="B1710" s="1">
        <f>DATE(2013,5,3) + TIME(16,18,10)</f>
        <v>41397.679282407407</v>
      </c>
      <c r="C1710">
        <v>90</v>
      </c>
      <c r="D1710">
        <v>89.623878478999998</v>
      </c>
      <c r="E1710">
        <v>30</v>
      </c>
      <c r="F1710">
        <v>29.882640839</v>
      </c>
      <c r="G1710">
        <v>1388.0169678</v>
      </c>
      <c r="H1710">
        <v>1373.5155029</v>
      </c>
      <c r="I1710">
        <v>1272.2593993999999</v>
      </c>
      <c r="J1710">
        <v>1244.5075684000001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1098.7828730000001</v>
      </c>
      <c r="B1711" s="1">
        <f>DATE(2013,5,3) + TIME(18,47,20)</f>
        <v>41397.782870370371</v>
      </c>
      <c r="C1711">
        <v>90</v>
      </c>
      <c r="D1711">
        <v>89.669387817</v>
      </c>
      <c r="E1711">
        <v>30</v>
      </c>
      <c r="F1711">
        <v>29.879503249999999</v>
      </c>
      <c r="G1711">
        <v>1387.9487305</v>
      </c>
      <c r="H1711">
        <v>1373.4655762</v>
      </c>
      <c r="I1711">
        <v>1272.2593993999999</v>
      </c>
      <c r="J1711">
        <v>1244.5069579999999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1098.8881140000001</v>
      </c>
      <c r="B1712" s="1">
        <f>DATE(2013,5,3) + TIME(21,18,53)</f>
        <v>41397.888113425928</v>
      </c>
      <c r="C1712">
        <v>90</v>
      </c>
      <c r="D1712">
        <v>89.709053040000001</v>
      </c>
      <c r="E1712">
        <v>30</v>
      </c>
      <c r="F1712">
        <v>29.876327515</v>
      </c>
      <c r="G1712">
        <v>1387.8819579999999</v>
      </c>
      <c r="H1712">
        <v>1373.4163818</v>
      </c>
      <c r="I1712">
        <v>1272.2593993999999</v>
      </c>
      <c r="J1712">
        <v>1244.5064697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1098.9951940000001</v>
      </c>
      <c r="B1713" s="1">
        <f>DATE(2013,5,3) + TIME(23,53,4)</f>
        <v>41397.995185185187</v>
      </c>
      <c r="C1713">
        <v>90</v>
      </c>
      <c r="D1713">
        <v>89.743606567</v>
      </c>
      <c r="E1713">
        <v>30</v>
      </c>
      <c r="F1713">
        <v>29.873111725000001</v>
      </c>
      <c r="G1713">
        <v>1387.8166504000001</v>
      </c>
      <c r="H1713">
        <v>1373.3679199000001</v>
      </c>
      <c r="I1713">
        <v>1272.2593993999999</v>
      </c>
      <c r="J1713">
        <v>1244.5058594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1099.104304</v>
      </c>
      <c r="B1714" s="1">
        <f>DATE(2013,5,4) + TIME(2,30,11)</f>
        <v>41398.10429398148</v>
      </c>
      <c r="C1714">
        <v>90</v>
      </c>
      <c r="D1714">
        <v>89.773666382000002</v>
      </c>
      <c r="E1714">
        <v>30</v>
      </c>
      <c r="F1714">
        <v>29.869848251000001</v>
      </c>
      <c r="G1714">
        <v>1387.7524414</v>
      </c>
      <c r="H1714">
        <v>1373.3199463000001</v>
      </c>
      <c r="I1714">
        <v>1272.2593993999999</v>
      </c>
      <c r="J1714">
        <v>1244.505249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1099.215649</v>
      </c>
      <c r="B1715" s="1">
        <f>DATE(2013,5,4) + TIME(5,10,32)</f>
        <v>41398.215648148151</v>
      </c>
      <c r="C1715">
        <v>90</v>
      </c>
      <c r="D1715">
        <v>89.799797057999996</v>
      </c>
      <c r="E1715">
        <v>30</v>
      </c>
      <c r="F1715">
        <v>29.866533278999999</v>
      </c>
      <c r="G1715">
        <v>1387.6893310999999</v>
      </c>
      <c r="H1715">
        <v>1373.2725829999999</v>
      </c>
      <c r="I1715">
        <v>1272.2593993999999</v>
      </c>
      <c r="J1715">
        <v>1244.5047606999999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1099.3294960000001</v>
      </c>
      <c r="B1716" s="1">
        <f>DATE(2013,5,4) + TIME(7,54,28)</f>
        <v>41398.32949074074</v>
      </c>
      <c r="C1716">
        <v>90</v>
      </c>
      <c r="D1716">
        <v>89.822486877000003</v>
      </c>
      <c r="E1716">
        <v>30</v>
      </c>
      <c r="F1716">
        <v>29.86315918</v>
      </c>
      <c r="G1716">
        <v>1387.6270752</v>
      </c>
      <c r="H1716">
        <v>1373.2254639</v>
      </c>
      <c r="I1716">
        <v>1272.2593993999999</v>
      </c>
      <c r="J1716">
        <v>1244.5041504000001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1099.4455660000001</v>
      </c>
      <c r="B1717" s="1">
        <f>DATE(2013,5,4) + TIME(10,41,36)</f>
        <v>41398.445555555554</v>
      </c>
      <c r="C1717">
        <v>90</v>
      </c>
      <c r="D1717">
        <v>89.842086792000003</v>
      </c>
      <c r="E1717">
        <v>30</v>
      </c>
      <c r="F1717">
        <v>29.859733582</v>
      </c>
      <c r="G1717">
        <v>1387.5655518000001</v>
      </c>
      <c r="H1717">
        <v>1373.1787108999999</v>
      </c>
      <c r="I1717">
        <v>1272.2593993999999</v>
      </c>
      <c r="J1717">
        <v>1244.503418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1099.5640289999999</v>
      </c>
      <c r="B1718" s="1">
        <f>DATE(2013,5,4) + TIME(13,32,12)</f>
        <v>41398.564027777778</v>
      </c>
      <c r="C1718">
        <v>90</v>
      </c>
      <c r="D1718">
        <v>89.858993530000006</v>
      </c>
      <c r="E1718">
        <v>30</v>
      </c>
      <c r="F1718">
        <v>29.85625267</v>
      </c>
      <c r="G1718">
        <v>1387.5048827999999</v>
      </c>
      <c r="H1718">
        <v>1373.1323242000001</v>
      </c>
      <c r="I1718">
        <v>1272.2593993999999</v>
      </c>
      <c r="J1718">
        <v>1244.5028076000001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1099.685099</v>
      </c>
      <c r="B1719" s="1">
        <f>DATE(2013,5,4) + TIME(16,26,32)</f>
        <v>41398.68509259259</v>
      </c>
      <c r="C1719">
        <v>90</v>
      </c>
      <c r="D1719">
        <v>89.873542786000002</v>
      </c>
      <c r="E1719">
        <v>30</v>
      </c>
      <c r="F1719">
        <v>29.852710724000001</v>
      </c>
      <c r="G1719">
        <v>1387.4448242000001</v>
      </c>
      <c r="H1719">
        <v>1373.0863036999999</v>
      </c>
      <c r="I1719">
        <v>1272.2592772999999</v>
      </c>
      <c r="J1719">
        <v>1244.5021973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1099.8090560000001</v>
      </c>
      <c r="B1720" s="1">
        <f>DATE(2013,5,4) + TIME(19,25,2)</f>
        <v>41398.809050925927</v>
      </c>
      <c r="C1720">
        <v>90</v>
      </c>
      <c r="D1720">
        <v>89.886062621999997</v>
      </c>
      <c r="E1720">
        <v>30</v>
      </c>
      <c r="F1720">
        <v>29.849098206000001</v>
      </c>
      <c r="G1720">
        <v>1387.385376</v>
      </c>
      <c r="H1720">
        <v>1373.0405272999999</v>
      </c>
      <c r="I1720">
        <v>1272.2592772999999</v>
      </c>
      <c r="J1720">
        <v>1244.5014647999999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1099.9361269999999</v>
      </c>
      <c r="B1721" s="1">
        <f>DATE(2013,5,4) + TIME(22,28,1)</f>
        <v>41398.936122685183</v>
      </c>
      <c r="C1721">
        <v>90</v>
      </c>
      <c r="D1721">
        <v>89.896804810000006</v>
      </c>
      <c r="E1721">
        <v>30</v>
      </c>
      <c r="F1721">
        <v>29.845413208</v>
      </c>
      <c r="G1721">
        <v>1387.3262939000001</v>
      </c>
      <c r="H1721">
        <v>1372.9949951000001</v>
      </c>
      <c r="I1721">
        <v>1272.2592772999999</v>
      </c>
      <c r="J1721">
        <v>1244.5007324000001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1100.0665489999999</v>
      </c>
      <c r="B1722" s="1">
        <f>DATE(2013,5,5) + TIME(1,35,49)</f>
        <v>41399.06653935185</v>
      </c>
      <c r="C1722">
        <v>90</v>
      </c>
      <c r="D1722">
        <v>89.905998229999994</v>
      </c>
      <c r="E1722">
        <v>30</v>
      </c>
      <c r="F1722">
        <v>29.841648102000001</v>
      </c>
      <c r="G1722">
        <v>1387.2675781</v>
      </c>
      <c r="H1722">
        <v>1372.9495850000001</v>
      </c>
      <c r="I1722">
        <v>1272.2591553</v>
      </c>
      <c r="J1722">
        <v>1244.5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1100.200613</v>
      </c>
      <c r="B1723" s="1">
        <f>DATE(2013,5,5) + TIME(4,48,52)</f>
        <v>41399.200601851851</v>
      </c>
      <c r="C1723">
        <v>90</v>
      </c>
      <c r="D1723">
        <v>89.913856506000002</v>
      </c>
      <c r="E1723">
        <v>30</v>
      </c>
      <c r="F1723">
        <v>29.837797165000001</v>
      </c>
      <c r="G1723">
        <v>1387.2089844</v>
      </c>
      <c r="H1723">
        <v>1372.9041748</v>
      </c>
      <c r="I1723">
        <v>1272.2591553</v>
      </c>
      <c r="J1723">
        <v>1244.4992675999999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1100.3386379999999</v>
      </c>
      <c r="B1724" s="1">
        <f>DATE(2013,5,5) + TIME(8,7,38)</f>
        <v>41399.338634259257</v>
      </c>
      <c r="C1724">
        <v>90</v>
      </c>
      <c r="D1724">
        <v>89.920555114999999</v>
      </c>
      <c r="E1724">
        <v>30</v>
      </c>
      <c r="F1724">
        <v>29.833848953</v>
      </c>
      <c r="G1724">
        <v>1387.1505127</v>
      </c>
      <c r="H1724">
        <v>1372.8587646000001</v>
      </c>
      <c r="I1724">
        <v>1272.2590332</v>
      </c>
      <c r="J1724">
        <v>1244.4985352000001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1100.4809580000001</v>
      </c>
      <c r="B1725" s="1">
        <f>DATE(2013,5,5) + TIME(11,32,34)</f>
        <v>41399.480949074074</v>
      </c>
      <c r="C1725">
        <v>90</v>
      </c>
      <c r="D1725">
        <v>89.926254271999994</v>
      </c>
      <c r="E1725">
        <v>30</v>
      </c>
      <c r="F1725">
        <v>29.829799651999998</v>
      </c>
      <c r="G1725">
        <v>1387.0920410000001</v>
      </c>
      <c r="H1725">
        <v>1372.8132324000001</v>
      </c>
      <c r="I1725">
        <v>1272.2590332</v>
      </c>
      <c r="J1725">
        <v>1244.4976807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1100.62796</v>
      </c>
      <c r="B1726" s="1">
        <f>DATE(2013,5,5) + TIME(15,4,15)</f>
        <v>41399.627951388888</v>
      </c>
      <c r="C1726">
        <v>90</v>
      </c>
      <c r="D1726">
        <v>89.931083678999997</v>
      </c>
      <c r="E1726">
        <v>30</v>
      </c>
      <c r="F1726">
        <v>29.825637817</v>
      </c>
      <c r="G1726">
        <v>1387.0333252</v>
      </c>
      <c r="H1726">
        <v>1372.7675781</v>
      </c>
      <c r="I1726">
        <v>1272.2589111</v>
      </c>
      <c r="J1726">
        <v>1244.4968262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1100.780092</v>
      </c>
      <c r="B1727" s="1">
        <f>DATE(2013,5,5) + TIME(18,43,19)</f>
        <v>41399.780081018522</v>
      </c>
      <c r="C1727">
        <v>90</v>
      </c>
      <c r="D1727">
        <v>89.935165405000006</v>
      </c>
      <c r="E1727">
        <v>30</v>
      </c>
      <c r="F1727">
        <v>29.821353911999999</v>
      </c>
      <c r="G1727">
        <v>1386.9743652</v>
      </c>
      <c r="H1727">
        <v>1372.7216797000001</v>
      </c>
      <c r="I1727">
        <v>1272.2589111</v>
      </c>
      <c r="J1727">
        <v>1244.4959716999999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1100.9378380000001</v>
      </c>
      <c r="B1728" s="1">
        <f>DATE(2013,5,5) + TIME(22,30,29)</f>
        <v>41399.937835648147</v>
      </c>
      <c r="C1728">
        <v>90</v>
      </c>
      <c r="D1728">
        <v>89.938606261999993</v>
      </c>
      <c r="E1728">
        <v>30</v>
      </c>
      <c r="F1728">
        <v>29.816934585999999</v>
      </c>
      <c r="G1728">
        <v>1386.9151611</v>
      </c>
      <c r="H1728">
        <v>1372.6755370999999</v>
      </c>
      <c r="I1728">
        <v>1272.2587891000001</v>
      </c>
      <c r="J1728">
        <v>1244.4951172000001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1101.1015010000001</v>
      </c>
      <c r="B1729" s="1">
        <f>DATE(2013,5,6) + TIME(2,26,9)</f>
        <v>41400.101493055554</v>
      </c>
      <c r="C1729">
        <v>90</v>
      </c>
      <c r="D1729">
        <v>89.941497803000004</v>
      </c>
      <c r="E1729">
        <v>30</v>
      </c>
      <c r="F1729">
        <v>29.812374115000001</v>
      </c>
      <c r="G1729">
        <v>1386.8553466999999</v>
      </c>
      <c r="H1729">
        <v>1372.6287841999999</v>
      </c>
      <c r="I1729">
        <v>1272.2586670000001</v>
      </c>
      <c r="J1729">
        <v>1244.4941406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1101.2698499999999</v>
      </c>
      <c r="B1730" s="1">
        <f>DATE(2013,5,6) + TIME(6,28,35)</f>
        <v>41400.269849537035</v>
      </c>
      <c r="C1730">
        <v>90</v>
      </c>
      <c r="D1730">
        <v>89.943893433</v>
      </c>
      <c r="E1730">
        <v>30</v>
      </c>
      <c r="F1730">
        <v>29.807701111</v>
      </c>
      <c r="G1730">
        <v>1386.7949219</v>
      </c>
      <c r="H1730">
        <v>1372.5817870999999</v>
      </c>
      <c r="I1730">
        <v>1272.2585449000001</v>
      </c>
      <c r="J1730">
        <v>1244.4931641000001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1101.4433329999999</v>
      </c>
      <c r="B1731" s="1">
        <f>DATE(2013,5,6) + TIME(10,38,23)</f>
        <v>41400.44332175926</v>
      </c>
      <c r="C1731">
        <v>90</v>
      </c>
      <c r="D1731">
        <v>89.945877074999999</v>
      </c>
      <c r="E1731">
        <v>30</v>
      </c>
      <c r="F1731">
        <v>29.802904129000002</v>
      </c>
      <c r="G1731">
        <v>1386.7344971</v>
      </c>
      <c r="H1731">
        <v>1372.5345459</v>
      </c>
      <c r="I1731">
        <v>1272.2584228999999</v>
      </c>
      <c r="J1731">
        <v>1244.4921875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1101.6223600000001</v>
      </c>
      <c r="B1732" s="1">
        <f>DATE(2013,5,6) + TIME(14,56,11)</f>
        <v>41400.622349537036</v>
      </c>
      <c r="C1732">
        <v>90</v>
      </c>
      <c r="D1732">
        <v>89.947517395000006</v>
      </c>
      <c r="E1732">
        <v>30</v>
      </c>
      <c r="F1732">
        <v>29.797975539999999</v>
      </c>
      <c r="G1732">
        <v>1386.6739502</v>
      </c>
      <c r="H1732">
        <v>1372.4873047000001</v>
      </c>
      <c r="I1732">
        <v>1272.2583007999999</v>
      </c>
      <c r="J1732">
        <v>1244.4912108999999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1101.807409</v>
      </c>
      <c r="B1733" s="1">
        <f>DATE(2013,5,6) + TIME(19,22,40)</f>
        <v>41400.80740740741</v>
      </c>
      <c r="C1733">
        <v>90</v>
      </c>
      <c r="D1733">
        <v>89.948875427000004</v>
      </c>
      <c r="E1733">
        <v>30</v>
      </c>
      <c r="F1733">
        <v>29.792905807</v>
      </c>
      <c r="G1733">
        <v>1386.6130370999999</v>
      </c>
      <c r="H1733">
        <v>1372.4398193</v>
      </c>
      <c r="I1733">
        <v>1272.2581786999999</v>
      </c>
      <c r="J1733">
        <v>1244.4901123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1101.999037</v>
      </c>
      <c r="B1734" s="1">
        <f>DATE(2013,5,6) + TIME(23,58,36)</f>
        <v>41400.999027777776</v>
      </c>
      <c r="C1734">
        <v>90</v>
      </c>
      <c r="D1734">
        <v>89.949996948000006</v>
      </c>
      <c r="E1734">
        <v>30</v>
      </c>
      <c r="F1734">
        <v>29.787679671999999</v>
      </c>
      <c r="G1734">
        <v>1386.5517577999999</v>
      </c>
      <c r="H1734">
        <v>1372.3919678</v>
      </c>
      <c r="I1734">
        <v>1272.2580565999999</v>
      </c>
      <c r="J1734">
        <v>1244.4890137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1102.1977449999999</v>
      </c>
      <c r="B1735" s="1">
        <f>DATE(2013,5,7) + TIME(4,44,45)</f>
        <v>41401.197743055556</v>
      </c>
      <c r="C1735">
        <v>90</v>
      </c>
      <c r="D1735">
        <v>89.950920104999994</v>
      </c>
      <c r="E1735">
        <v>30</v>
      </c>
      <c r="F1735">
        <v>29.782289505000001</v>
      </c>
      <c r="G1735">
        <v>1386.4898682</v>
      </c>
      <c r="H1735">
        <v>1372.3438721</v>
      </c>
      <c r="I1735">
        <v>1272.2579346</v>
      </c>
      <c r="J1735">
        <v>1244.487793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1102.3974049999999</v>
      </c>
      <c r="B1736" s="1">
        <f>DATE(2013,5,7) + TIME(9,32,15)</f>
        <v>41401.39739583333</v>
      </c>
      <c r="C1736">
        <v>90</v>
      </c>
      <c r="D1736">
        <v>89.951660156000003</v>
      </c>
      <c r="E1736">
        <v>30</v>
      </c>
      <c r="F1736">
        <v>29.776866912999999</v>
      </c>
      <c r="G1736">
        <v>1386.4274902</v>
      </c>
      <c r="H1736">
        <v>1372.2951660000001</v>
      </c>
      <c r="I1736">
        <v>1272.2578125</v>
      </c>
      <c r="J1736">
        <v>1244.4866943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1102.5984390000001</v>
      </c>
      <c r="B1737" s="1">
        <f>DATE(2013,5,7) + TIME(14,21,45)</f>
        <v>41401.598437499997</v>
      </c>
      <c r="C1737">
        <v>90</v>
      </c>
      <c r="D1737">
        <v>89.952247619999994</v>
      </c>
      <c r="E1737">
        <v>30</v>
      </c>
      <c r="F1737">
        <v>29.771406173999999</v>
      </c>
      <c r="G1737">
        <v>1386.3663329999999</v>
      </c>
      <c r="H1737">
        <v>1372.2475586</v>
      </c>
      <c r="I1737">
        <v>1272.2575684000001</v>
      </c>
      <c r="J1737">
        <v>1244.4854736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1102.801234</v>
      </c>
      <c r="B1738" s="1">
        <f>DATE(2013,5,7) + TIME(19,13,46)</f>
        <v>41401.801226851851</v>
      </c>
      <c r="C1738">
        <v>90</v>
      </c>
      <c r="D1738">
        <v>89.952728270999998</v>
      </c>
      <c r="E1738">
        <v>30</v>
      </c>
      <c r="F1738">
        <v>29.765907288000001</v>
      </c>
      <c r="G1738">
        <v>1386.3062743999999</v>
      </c>
      <c r="H1738">
        <v>1372.2008057</v>
      </c>
      <c r="I1738">
        <v>1272.2574463000001</v>
      </c>
      <c r="J1738">
        <v>1244.4842529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1103.006177</v>
      </c>
      <c r="B1739" s="1">
        <f>DATE(2013,5,8) + TIME(0,8,53)</f>
        <v>41402.006168981483</v>
      </c>
      <c r="C1739">
        <v>90</v>
      </c>
      <c r="D1739">
        <v>89.953117371000005</v>
      </c>
      <c r="E1739">
        <v>30</v>
      </c>
      <c r="F1739">
        <v>29.760360718000001</v>
      </c>
      <c r="G1739">
        <v>1386.2470702999999</v>
      </c>
      <c r="H1739">
        <v>1372.1549072</v>
      </c>
      <c r="I1739">
        <v>1272.2572021000001</v>
      </c>
      <c r="J1739">
        <v>1244.4830322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1103.213655</v>
      </c>
      <c r="B1740" s="1">
        <f>DATE(2013,5,8) + TIME(5,7,39)</f>
        <v>41402.213645833333</v>
      </c>
      <c r="C1740">
        <v>90</v>
      </c>
      <c r="D1740">
        <v>89.953437804999993</v>
      </c>
      <c r="E1740">
        <v>30</v>
      </c>
      <c r="F1740">
        <v>29.754758835000001</v>
      </c>
      <c r="G1740">
        <v>1386.1887207</v>
      </c>
      <c r="H1740">
        <v>1372.1094971</v>
      </c>
      <c r="I1740">
        <v>1272.2570800999999</v>
      </c>
      <c r="J1740">
        <v>1244.4816894999999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1103.4241030000001</v>
      </c>
      <c r="B1741" s="1">
        <f>DATE(2013,5,8) + TIME(10,10,42)</f>
        <v>41402.424097222225</v>
      </c>
      <c r="C1741">
        <v>90</v>
      </c>
      <c r="D1741">
        <v>89.953697204999997</v>
      </c>
      <c r="E1741">
        <v>30</v>
      </c>
      <c r="F1741">
        <v>29.749097824</v>
      </c>
      <c r="G1741">
        <v>1386.1309814000001</v>
      </c>
      <c r="H1741">
        <v>1372.0646973</v>
      </c>
      <c r="I1741">
        <v>1272.2568358999999</v>
      </c>
      <c r="J1741">
        <v>1244.4804687999999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1103.6379930000001</v>
      </c>
      <c r="B1742" s="1">
        <f>DATE(2013,5,8) + TIME(15,18,42)</f>
        <v>41402.637986111113</v>
      </c>
      <c r="C1742">
        <v>90</v>
      </c>
      <c r="D1742">
        <v>89.953910828000005</v>
      </c>
      <c r="E1742">
        <v>30</v>
      </c>
      <c r="F1742">
        <v>29.743364333999999</v>
      </c>
      <c r="G1742">
        <v>1386.0737305</v>
      </c>
      <c r="H1742">
        <v>1372.0202637</v>
      </c>
      <c r="I1742">
        <v>1272.2567139</v>
      </c>
      <c r="J1742">
        <v>1244.4792480000001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1103.8556550000001</v>
      </c>
      <c r="B1743" s="1">
        <f>DATE(2013,5,8) + TIME(20,32,8)</f>
        <v>41402.85564814815</v>
      </c>
      <c r="C1743">
        <v>90</v>
      </c>
      <c r="D1743">
        <v>89.954086304</v>
      </c>
      <c r="E1743">
        <v>30</v>
      </c>
      <c r="F1743">
        <v>29.737554549999999</v>
      </c>
      <c r="G1743">
        <v>1386.0168457</v>
      </c>
      <c r="H1743">
        <v>1371.9761963000001</v>
      </c>
      <c r="I1743">
        <v>1272.2564697</v>
      </c>
      <c r="J1743">
        <v>1244.4779053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1104.0774140000001</v>
      </c>
      <c r="B1744" s="1">
        <f>DATE(2013,5,9) + TIME(1,51,28)</f>
        <v>41403.077407407407</v>
      </c>
      <c r="C1744">
        <v>90</v>
      </c>
      <c r="D1744">
        <v>89.954231261999993</v>
      </c>
      <c r="E1744">
        <v>30</v>
      </c>
      <c r="F1744">
        <v>29.731658935999999</v>
      </c>
      <c r="G1744">
        <v>1385.9602050999999</v>
      </c>
      <c r="H1744">
        <v>1371.932251</v>
      </c>
      <c r="I1744">
        <v>1272.2563477000001</v>
      </c>
      <c r="J1744">
        <v>1244.4765625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1104.3023559999999</v>
      </c>
      <c r="B1745" s="1">
        <f>DATE(2013,5,9) + TIME(7,15,23)</f>
        <v>41403.302349537036</v>
      </c>
      <c r="C1745">
        <v>90</v>
      </c>
      <c r="D1745">
        <v>89.954353333</v>
      </c>
      <c r="E1745">
        <v>30</v>
      </c>
      <c r="F1745">
        <v>29.725700377999999</v>
      </c>
      <c r="G1745">
        <v>1385.9036865</v>
      </c>
      <c r="H1745">
        <v>1371.8885498</v>
      </c>
      <c r="I1745">
        <v>1272.2561035000001</v>
      </c>
      <c r="J1745">
        <v>1244.4752197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1104.5309569999999</v>
      </c>
      <c r="B1746" s="1">
        <f>DATE(2013,5,9) + TIME(12,44,34)</f>
        <v>41403.530949074076</v>
      </c>
      <c r="C1746">
        <v>90</v>
      </c>
      <c r="D1746">
        <v>89.954444885000001</v>
      </c>
      <c r="E1746">
        <v>30</v>
      </c>
      <c r="F1746">
        <v>29.719665527</v>
      </c>
      <c r="G1746">
        <v>1385.8475341999999</v>
      </c>
      <c r="H1746">
        <v>1371.8450928</v>
      </c>
      <c r="I1746">
        <v>1272.2559814000001</v>
      </c>
      <c r="J1746">
        <v>1244.4737548999999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1104.7636829999999</v>
      </c>
      <c r="B1747" s="1">
        <f>DATE(2013,5,9) + TIME(18,19,42)</f>
        <v>41403.763680555552</v>
      </c>
      <c r="C1747">
        <v>90</v>
      </c>
      <c r="D1747">
        <v>89.954528808999996</v>
      </c>
      <c r="E1747">
        <v>30</v>
      </c>
      <c r="F1747">
        <v>29.713548660000001</v>
      </c>
      <c r="G1747">
        <v>1385.7917480000001</v>
      </c>
      <c r="H1747">
        <v>1371.8020019999999</v>
      </c>
      <c r="I1747">
        <v>1272.2557373</v>
      </c>
      <c r="J1747">
        <v>1244.4724120999999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1105.000888</v>
      </c>
      <c r="B1748" s="1">
        <f>DATE(2013,5,10) + TIME(0,1,16)</f>
        <v>41404.000879629632</v>
      </c>
      <c r="C1748">
        <v>90</v>
      </c>
      <c r="D1748">
        <v>89.954589843999997</v>
      </c>
      <c r="E1748">
        <v>30</v>
      </c>
      <c r="F1748">
        <v>29.707340240000001</v>
      </c>
      <c r="G1748">
        <v>1385.7360839999999</v>
      </c>
      <c r="H1748">
        <v>1371.7590332</v>
      </c>
      <c r="I1748">
        <v>1272.2556152</v>
      </c>
      <c r="J1748">
        <v>1244.4709473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1105.243052</v>
      </c>
      <c r="B1749" s="1">
        <f>DATE(2013,5,10) + TIME(5,49,59)</f>
        <v>41404.243043981478</v>
      </c>
      <c r="C1749">
        <v>90</v>
      </c>
      <c r="D1749">
        <v>89.954643250000004</v>
      </c>
      <c r="E1749">
        <v>30</v>
      </c>
      <c r="F1749">
        <v>29.701030730999999</v>
      </c>
      <c r="G1749">
        <v>1385.6805420000001</v>
      </c>
      <c r="H1749">
        <v>1371.7160644999999</v>
      </c>
      <c r="I1749">
        <v>1272.2553711</v>
      </c>
      <c r="J1749">
        <v>1244.4694824000001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1105.4906920000001</v>
      </c>
      <c r="B1750" s="1">
        <f>DATE(2013,5,10) + TIME(11,46,35)</f>
        <v>41404.490682870368</v>
      </c>
      <c r="C1750">
        <v>90</v>
      </c>
      <c r="D1750">
        <v>89.954681395999998</v>
      </c>
      <c r="E1750">
        <v>30</v>
      </c>
      <c r="F1750">
        <v>29.694610596</v>
      </c>
      <c r="G1750">
        <v>1385.6248779</v>
      </c>
      <c r="H1750">
        <v>1371.6732178</v>
      </c>
      <c r="I1750">
        <v>1272.2551269999999</v>
      </c>
      <c r="J1750">
        <v>1244.4680175999999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1105.744353</v>
      </c>
      <c r="B1751" s="1">
        <f>DATE(2013,5,10) + TIME(17,51,52)</f>
        <v>41404.744351851848</v>
      </c>
      <c r="C1751">
        <v>90</v>
      </c>
      <c r="D1751">
        <v>89.954711914000001</v>
      </c>
      <c r="E1751">
        <v>30</v>
      </c>
      <c r="F1751">
        <v>29.688068390000002</v>
      </c>
      <c r="G1751">
        <v>1385.5692139</v>
      </c>
      <c r="H1751">
        <v>1371.6301269999999</v>
      </c>
      <c r="I1751">
        <v>1272.2550048999999</v>
      </c>
      <c r="J1751">
        <v>1244.4665527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1106.004623</v>
      </c>
      <c r="B1752" s="1">
        <f>DATE(2013,5,11) + TIME(0,6,39)</f>
        <v>41405.004618055558</v>
      </c>
      <c r="C1752">
        <v>90</v>
      </c>
      <c r="D1752">
        <v>89.954734802000004</v>
      </c>
      <c r="E1752">
        <v>30</v>
      </c>
      <c r="F1752">
        <v>29.681388855000002</v>
      </c>
      <c r="G1752">
        <v>1385.5131836</v>
      </c>
      <c r="H1752">
        <v>1371.5870361</v>
      </c>
      <c r="I1752">
        <v>1272.2547606999999</v>
      </c>
      <c r="J1752">
        <v>1244.4649658000001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1106.2722209999999</v>
      </c>
      <c r="B1753" s="1">
        <f>DATE(2013,5,11) + TIME(6,31,59)</f>
        <v>41405.272210648145</v>
      </c>
      <c r="C1753">
        <v>90</v>
      </c>
      <c r="D1753">
        <v>89.954750060999999</v>
      </c>
      <c r="E1753">
        <v>30</v>
      </c>
      <c r="F1753">
        <v>29.674560546999999</v>
      </c>
      <c r="G1753">
        <v>1385.4570312000001</v>
      </c>
      <c r="H1753">
        <v>1371.5437012</v>
      </c>
      <c r="I1753">
        <v>1272.2545166</v>
      </c>
      <c r="J1753">
        <v>1244.4633789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1106.547532</v>
      </c>
      <c r="B1754" s="1">
        <f>DATE(2013,5,11) + TIME(13,8,26)</f>
        <v>41405.547523148147</v>
      </c>
      <c r="C1754">
        <v>90</v>
      </c>
      <c r="D1754">
        <v>89.954765320000007</v>
      </c>
      <c r="E1754">
        <v>30</v>
      </c>
      <c r="F1754">
        <v>29.667572021000002</v>
      </c>
      <c r="G1754">
        <v>1385.4002685999999</v>
      </c>
      <c r="H1754">
        <v>1371.5</v>
      </c>
      <c r="I1754">
        <v>1272.2543945</v>
      </c>
      <c r="J1754">
        <v>1244.4616699000001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1106.828049</v>
      </c>
      <c r="B1755" s="1">
        <f>DATE(2013,5,11) + TIME(19,52,23)</f>
        <v>41405.828043981484</v>
      </c>
      <c r="C1755">
        <v>90</v>
      </c>
      <c r="D1755">
        <v>89.954765320000007</v>
      </c>
      <c r="E1755">
        <v>30</v>
      </c>
      <c r="F1755">
        <v>29.660470963000002</v>
      </c>
      <c r="G1755">
        <v>1385.3431396000001</v>
      </c>
      <c r="H1755">
        <v>1371.4560547000001</v>
      </c>
      <c r="I1755">
        <v>1272.2541504000001</v>
      </c>
      <c r="J1755">
        <v>1244.4600829999999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1107.1143</v>
      </c>
      <c r="B1756" s="1">
        <f>DATE(2013,5,12) + TIME(2,44,35)</f>
        <v>41406.114293981482</v>
      </c>
      <c r="C1756">
        <v>90</v>
      </c>
      <c r="D1756">
        <v>89.954765320000007</v>
      </c>
      <c r="E1756">
        <v>30</v>
      </c>
      <c r="F1756">
        <v>29.653247833000002</v>
      </c>
      <c r="G1756">
        <v>1385.2858887</v>
      </c>
      <c r="H1756">
        <v>1371.4119873</v>
      </c>
      <c r="I1756">
        <v>1272.2539062000001</v>
      </c>
      <c r="J1756">
        <v>1244.458374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1107.406747</v>
      </c>
      <c r="B1757" s="1">
        <f>DATE(2013,5,12) + TIME(9,45,42)</f>
        <v>41406.406736111108</v>
      </c>
      <c r="C1757">
        <v>90</v>
      </c>
      <c r="D1757">
        <v>89.954765320000007</v>
      </c>
      <c r="E1757">
        <v>30</v>
      </c>
      <c r="F1757">
        <v>29.645898818999999</v>
      </c>
      <c r="G1757">
        <v>1385.2287598</v>
      </c>
      <c r="H1757">
        <v>1371.3680420000001</v>
      </c>
      <c r="I1757">
        <v>1272.2536620999999</v>
      </c>
      <c r="J1757">
        <v>1244.456543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1107.705978</v>
      </c>
      <c r="B1758" s="1">
        <f>DATE(2013,5,12) + TIME(16,56,36)</f>
        <v>41406.705972222226</v>
      </c>
      <c r="C1758">
        <v>90</v>
      </c>
      <c r="D1758">
        <v>89.954757689999994</v>
      </c>
      <c r="E1758">
        <v>30</v>
      </c>
      <c r="F1758">
        <v>29.638412475999999</v>
      </c>
      <c r="G1758">
        <v>1385.1715088000001</v>
      </c>
      <c r="H1758">
        <v>1371.3239745999999</v>
      </c>
      <c r="I1758">
        <v>1272.253418</v>
      </c>
      <c r="J1758">
        <v>1244.4547118999999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1108.0126290000001</v>
      </c>
      <c r="B1759" s="1">
        <f>DATE(2013,5,13) + TIME(0,18,11)</f>
        <v>41407.012627314813</v>
      </c>
      <c r="C1759">
        <v>90</v>
      </c>
      <c r="D1759">
        <v>89.954742432000003</v>
      </c>
      <c r="E1759">
        <v>30</v>
      </c>
      <c r="F1759">
        <v>29.630777359</v>
      </c>
      <c r="G1759">
        <v>1385.1140137</v>
      </c>
      <c r="H1759">
        <v>1371.2797852000001</v>
      </c>
      <c r="I1759">
        <v>1272.2531738</v>
      </c>
      <c r="J1759">
        <v>1244.4528809000001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1108.3251499999999</v>
      </c>
      <c r="B1760" s="1">
        <f>DATE(2013,5,13) + TIME(7,48,12)</f>
        <v>41407.325138888889</v>
      </c>
      <c r="C1760">
        <v>90</v>
      </c>
      <c r="D1760">
        <v>89.954727172999995</v>
      </c>
      <c r="E1760">
        <v>30</v>
      </c>
      <c r="F1760">
        <v>29.623020172</v>
      </c>
      <c r="G1760">
        <v>1385.0562743999999</v>
      </c>
      <c r="H1760">
        <v>1371.2354736</v>
      </c>
      <c r="I1760">
        <v>1272.2529297000001</v>
      </c>
      <c r="J1760">
        <v>1244.4510498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1108.6402499999999</v>
      </c>
      <c r="B1761" s="1">
        <f>DATE(2013,5,13) + TIME(15,21,57)</f>
        <v>41407.640243055554</v>
      </c>
      <c r="C1761">
        <v>90</v>
      </c>
      <c r="D1761">
        <v>89.954711914000001</v>
      </c>
      <c r="E1761">
        <v>30</v>
      </c>
      <c r="F1761">
        <v>29.615203857000001</v>
      </c>
      <c r="G1761">
        <v>1384.9985352000001</v>
      </c>
      <c r="H1761">
        <v>1371.1910399999999</v>
      </c>
      <c r="I1761">
        <v>1272.2526855000001</v>
      </c>
      <c r="J1761">
        <v>1244.4490966999999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1108.9586360000001</v>
      </c>
      <c r="B1762" s="1">
        <f>DATE(2013,5,13) + TIME(23,0,26)</f>
        <v>41407.958634259259</v>
      </c>
      <c r="C1762">
        <v>90</v>
      </c>
      <c r="D1762">
        <v>89.954689025999997</v>
      </c>
      <c r="E1762">
        <v>30</v>
      </c>
      <c r="F1762">
        <v>29.607324599999998</v>
      </c>
      <c r="G1762">
        <v>1384.9414062000001</v>
      </c>
      <c r="H1762">
        <v>1371.1472168</v>
      </c>
      <c r="I1762">
        <v>1272.2524414</v>
      </c>
      <c r="J1762">
        <v>1244.4472656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1109.2804149999999</v>
      </c>
      <c r="B1763" s="1">
        <f>DATE(2013,5,14) + TIME(6,43,47)</f>
        <v>41408.280405092592</v>
      </c>
      <c r="C1763">
        <v>90</v>
      </c>
      <c r="D1763">
        <v>89.954673767000003</v>
      </c>
      <c r="E1763">
        <v>30</v>
      </c>
      <c r="F1763">
        <v>29.599380493000002</v>
      </c>
      <c r="G1763">
        <v>1384.8847656</v>
      </c>
      <c r="H1763">
        <v>1371.1036377</v>
      </c>
      <c r="I1763">
        <v>1272.2521973</v>
      </c>
      <c r="J1763">
        <v>1244.4453125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1109.60601</v>
      </c>
      <c r="B1764" s="1">
        <f>DATE(2013,5,14) + TIME(14,32,39)</f>
        <v>41408.606006944443</v>
      </c>
      <c r="C1764">
        <v>90</v>
      </c>
      <c r="D1764">
        <v>89.954650878999999</v>
      </c>
      <c r="E1764">
        <v>30</v>
      </c>
      <c r="F1764">
        <v>29.591371536</v>
      </c>
      <c r="G1764">
        <v>1384.8284911999999</v>
      </c>
      <c r="H1764">
        <v>1371.0604248</v>
      </c>
      <c r="I1764">
        <v>1272.2519531</v>
      </c>
      <c r="J1764">
        <v>1244.4432373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1109.936195</v>
      </c>
      <c r="B1765" s="1">
        <f>DATE(2013,5,14) + TIME(22,28,7)</f>
        <v>41408.936192129629</v>
      </c>
      <c r="C1765">
        <v>90</v>
      </c>
      <c r="D1765">
        <v>89.954627990999995</v>
      </c>
      <c r="E1765">
        <v>30</v>
      </c>
      <c r="F1765">
        <v>29.583284377999998</v>
      </c>
      <c r="G1765">
        <v>1384.7727050999999</v>
      </c>
      <c r="H1765">
        <v>1371.0175781</v>
      </c>
      <c r="I1765">
        <v>1272.2517089999999</v>
      </c>
      <c r="J1765">
        <v>1244.4412841999999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1110.2715470000001</v>
      </c>
      <c r="B1766" s="1">
        <f>DATE(2013,5,15) + TIME(6,31,1)</f>
        <v>41409.271539351852</v>
      </c>
      <c r="C1766">
        <v>90</v>
      </c>
      <c r="D1766">
        <v>89.954597473000007</v>
      </c>
      <c r="E1766">
        <v>30</v>
      </c>
      <c r="F1766">
        <v>29.575111389</v>
      </c>
      <c r="G1766">
        <v>1384.7170410000001</v>
      </c>
      <c r="H1766">
        <v>1370.9748535000001</v>
      </c>
      <c r="I1766">
        <v>1272.2514647999999</v>
      </c>
      <c r="J1766">
        <v>1244.4393310999999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1110.6126750000001</v>
      </c>
      <c r="B1767" s="1">
        <f>DATE(2013,5,15) + TIME(14,42,15)</f>
        <v>41409.612673611111</v>
      </c>
      <c r="C1767">
        <v>90</v>
      </c>
      <c r="D1767">
        <v>89.954574585000003</v>
      </c>
      <c r="E1767">
        <v>30</v>
      </c>
      <c r="F1767">
        <v>29.566837311</v>
      </c>
      <c r="G1767">
        <v>1384.661499</v>
      </c>
      <c r="H1767">
        <v>1370.932251</v>
      </c>
      <c r="I1767">
        <v>1272.2512207</v>
      </c>
      <c r="J1767">
        <v>1244.4372559000001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1110.960296</v>
      </c>
      <c r="B1768" s="1">
        <f>DATE(2013,5,15) + TIME(23,2,49)</f>
        <v>41409.960289351853</v>
      </c>
      <c r="C1768">
        <v>90</v>
      </c>
      <c r="D1768">
        <v>89.954551696999999</v>
      </c>
      <c r="E1768">
        <v>30</v>
      </c>
      <c r="F1768">
        <v>29.558450699000002</v>
      </c>
      <c r="G1768">
        <v>1384.6060791</v>
      </c>
      <c r="H1768">
        <v>1370.8896483999999</v>
      </c>
      <c r="I1768">
        <v>1272.2509766000001</v>
      </c>
      <c r="J1768">
        <v>1244.4351807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1111.314545</v>
      </c>
      <c r="B1769" s="1">
        <f>DATE(2013,5,16) + TIME(7,32,56)</f>
        <v>41410.31453703704</v>
      </c>
      <c r="C1769">
        <v>90</v>
      </c>
      <c r="D1769">
        <v>89.954521178999997</v>
      </c>
      <c r="E1769">
        <v>30</v>
      </c>
      <c r="F1769">
        <v>29.549949646000002</v>
      </c>
      <c r="G1769">
        <v>1384.5504149999999</v>
      </c>
      <c r="H1769">
        <v>1370.8469238</v>
      </c>
      <c r="I1769">
        <v>1272.2507324000001</v>
      </c>
      <c r="J1769">
        <v>1244.4329834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1111.6744409999999</v>
      </c>
      <c r="B1770" s="1">
        <f>DATE(2013,5,16) + TIME(16,11,11)</f>
        <v>41410.674432870372</v>
      </c>
      <c r="C1770">
        <v>90</v>
      </c>
      <c r="D1770">
        <v>89.954490661999998</v>
      </c>
      <c r="E1770">
        <v>30</v>
      </c>
      <c r="F1770">
        <v>29.541347504000001</v>
      </c>
      <c r="G1770">
        <v>1384.494751</v>
      </c>
      <c r="H1770">
        <v>1370.8041992000001</v>
      </c>
      <c r="I1770">
        <v>1272.2504882999999</v>
      </c>
      <c r="J1770">
        <v>1244.4307861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1112.0401890000001</v>
      </c>
      <c r="B1771" s="1">
        <f>DATE(2013,5,17) + TIME(0,57,52)</f>
        <v>41411.040185185186</v>
      </c>
      <c r="C1771">
        <v>90</v>
      </c>
      <c r="D1771">
        <v>89.954467773000005</v>
      </c>
      <c r="E1771">
        <v>30</v>
      </c>
      <c r="F1771">
        <v>29.532642365000001</v>
      </c>
      <c r="G1771">
        <v>1384.4392089999999</v>
      </c>
      <c r="H1771">
        <v>1370.7614745999999</v>
      </c>
      <c r="I1771">
        <v>1272.2502440999999</v>
      </c>
      <c r="J1771">
        <v>1244.4285889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1112.412378</v>
      </c>
      <c r="B1772" s="1">
        <f>DATE(2013,5,17) + TIME(9,53,49)</f>
        <v>41411.412372685183</v>
      </c>
      <c r="C1772">
        <v>90</v>
      </c>
      <c r="D1772">
        <v>89.954437256000006</v>
      </c>
      <c r="E1772">
        <v>30</v>
      </c>
      <c r="F1772">
        <v>29.523824692000002</v>
      </c>
      <c r="G1772">
        <v>1384.3836670000001</v>
      </c>
      <c r="H1772">
        <v>1370.7188721</v>
      </c>
      <c r="I1772">
        <v>1272.25</v>
      </c>
      <c r="J1772">
        <v>1244.4263916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1112.791692</v>
      </c>
      <c r="B1773" s="1">
        <f>DATE(2013,5,17) + TIME(19,0,2)</f>
        <v>41411.791689814818</v>
      </c>
      <c r="C1773">
        <v>90</v>
      </c>
      <c r="D1773">
        <v>89.954406738000003</v>
      </c>
      <c r="E1773">
        <v>30</v>
      </c>
      <c r="F1773">
        <v>29.514886856</v>
      </c>
      <c r="G1773">
        <v>1384.328125</v>
      </c>
      <c r="H1773">
        <v>1370.6761475000001</v>
      </c>
      <c r="I1773">
        <v>1272.2497559000001</v>
      </c>
      <c r="J1773">
        <v>1244.4240723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1113.178926</v>
      </c>
      <c r="B1774" s="1">
        <f>DATE(2013,5,18) + TIME(4,17,39)</f>
        <v>41412.178923611114</v>
      </c>
      <c r="C1774">
        <v>90</v>
      </c>
      <c r="D1774">
        <v>89.954383849999999</v>
      </c>
      <c r="E1774">
        <v>30</v>
      </c>
      <c r="F1774">
        <v>29.505809784</v>
      </c>
      <c r="G1774">
        <v>1384.2723389</v>
      </c>
      <c r="H1774">
        <v>1370.6334228999999</v>
      </c>
      <c r="I1774">
        <v>1272.2495117000001</v>
      </c>
      <c r="J1774">
        <v>1244.4217529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1113.5747819999999</v>
      </c>
      <c r="B1775" s="1">
        <f>DATE(2013,5,18) + TIME(13,47,41)</f>
        <v>41412.574780092589</v>
      </c>
      <c r="C1775">
        <v>90</v>
      </c>
      <c r="D1775">
        <v>89.954353333</v>
      </c>
      <c r="E1775">
        <v>30</v>
      </c>
      <c r="F1775">
        <v>29.496585845999999</v>
      </c>
      <c r="G1775">
        <v>1384.2164307</v>
      </c>
      <c r="H1775">
        <v>1370.5904541</v>
      </c>
      <c r="I1775">
        <v>1272.2492675999999</v>
      </c>
      <c r="J1775">
        <v>1244.4193115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1113.9773230000001</v>
      </c>
      <c r="B1776" s="1">
        <f>DATE(2013,5,18) + TIME(23,27,20)</f>
        <v>41412.977314814816</v>
      </c>
      <c r="C1776">
        <v>90</v>
      </c>
      <c r="D1776">
        <v>89.954322814999998</v>
      </c>
      <c r="E1776">
        <v>30</v>
      </c>
      <c r="F1776">
        <v>29.487239838000001</v>
      </c>
      <c r="G1776">
        <v>1384.1601562000001</v>
      </c>
      <c r="H1776">
        <v>1370.5472411999999</v>
      </c>
      <c r="I1776">
        <v>1272.2490233999999</v>
      </c>
      <c r="J1776">
        <v>1244.4168701000001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1114.3871140000001</v>
      </c>
      <c r="B1777" s="1">
        <f>DATE(2013,5,19) + TIME(9,17,26)</f>
        <v>41413.387106481481</v>
      </c>
      <c r="C1777">
        <v>90</v>
      </c>
      <c r="D1777">
        <v>89.954292296999995</v>
      </c>
      <c r="E1777">
        <v>30</v>
      </c>
      <c r="F1777">
        <v>29.477766036999999</v>
      </c>
      <c r="G1777">
        <v>1384.1040039</v>
      </c>
      <c r="H1777">
        <v>1370.5039062000001</v>
      </c>
      <c r="I1777">
        <v>1272.2487793</v>
      </c>
      <c r="J1777">
        <v>1244.4144286999999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1114.8047349999999</v>
      </c>
      <c r="B1778" s="1">
        <f>DATE(2013,5,19) + TIME(19,18,49)</f>
        <v>41413.8047337963</v>
      </c>
      <c r="C1778">
        <v>90</v>
      </c>
      <c r="D1778">
        <v>89.954261779999996</v>
      </c>
      <c r="E1778">
        <v>30</v>
      </c>
      <c r="F1778">
        <v>29.468160629</v>
      </c>
      <c r="G1778">
        <v>1384.0476074000001</v>
      </c>
      <c r="H1778">
        <v>1370.4606934000001</v>
      </c>
      <c r="I1778">
        <v>1272.2485352000001</v>
      </c>
      <c r="J1778">
        <v>1244.4118652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1115.2241019999999</v>
      </c>
      <c r="B1779" s="1">
        <f>DATE(2013,5,20) + TIME(5,22,42)</f>
        <v>41414.224097222221</v>
      </c>
      <c r="C1779">
        <v>90</v>
      </c>
      <c r="D1779">
        <v>89.954231261999993</v>
      </c>
      <c r="E1779">
        <v>30</v>
      </c>
      <c r="F1779">
        <v>29.45851326</v>
      </c>
      <c r="G1779">
        <v>1383.9910889</v>
      </c>
      <c r="H1779">
        <v>1370.4172363</v>
      </c>
      <c r="I1779">
        <v>1272.2481689000001</v>
      </c>
      <c r="J1779">
        <v>1244.4093018000001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1115.646033</v>
      </c>
      <c r="B1780" s="1">
        <f>DATE(2013,5,20) + TIME(15,30,17)</f>
        <v>41414.64603009259</v>
      </c>
      <c r="C1780">
        <v>90</v>
      </c>
      <c r="D1780">
        <v>89.954208374000004</v>
      </c>
      <c r="E1780">
        <v>30</v>
      </c>
      <c r="F1780">
        <v>29.448827743999999</v>
      </c>
      <c r="G1780">
        <v>1383.9353027</v>
      </c>
      <c r="H1780">
        <v>1370.3742675999999</v>
      </c>
      <c r="I1780">
        <v>1272.2479248</v>
      </c>
      <c r="J1780">
        <v>1244.4067382999999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1116.0713310000001</v>
      </c>
      <c r="B1781" s="1">
        <f>DATE(2013,5,21) + TIME(1,42,42)</f>
        <v>41415.071319444447</v>
      </c>
      <c r="C1781">
        <v>90</v>
      </c>
      <c r="D1781">
        <v>89.954177856000001</v>
      </c>
      <c r="E1781">
        <v>30</v>
      </c>
      <c r="F1781">
        <v>29.439102172999998</v>
      </c>
      <c r="G1781">
        <v>1383.8800048999999</v>
      </c>
      <c r="H1781">
        <v>1370.3316649999999</v>
      </c>
      <c r="I1781">
        <v>1272.2476807</v>
      </c>
      <c r="J1781">
        <v>1244.4041748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1116.5008150000001</v>
      </c>
      <c r="B1782" s="1">
        <f>DATE(2013,5,21) + TIME(12,1,10)</f>
        <v>41415.500810185185</v>
      </c>
      <c r="C1782">
        <v>90</v>
      </c>
      <c r="D1782">
        <v>89.954147339000002</v>
      </c>
      <c r="E1782">
        <v>30</v>
      </c>
      <c r="F1782">
        <v>29.429323195999999</v>
      </c>
      <c r="G1782">
        <v>1383.8251952999999</v>
      </c>
      <c r="H1782">
        <v>1370.2894286999999</v>
      </c>
      <c r="I1782">
        <v>1272.2474365</v>
      </c>
      <c r="J1782">
        <v>1244.4014893000001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1116.935579</v>
      </c>
      <c r="B1783" s="1">
        <f>DATE(2013,5,21) + TIME(22,27,14)</f>
        <v>41415.935578703706</v>
      </c>
      <c r="C1783">
        <v>90</v>
      </c>
      <c r="D1783">
        <v>89.954116821</v>
      </c>
      <c r="E1783">
        <v>30</v>
      </c>
      <c r="F1783">
        <v>29.419479370000001</v>
      </c>
      <c r="G1783">
        <v>1383.7706298999999</v>
      </c>
      <c r="H1783">
        <v>1370.2474365</v>
      </c>
      <c r="I1783">
        <v>1272.2471923999999</v>
      </c>
      <c r="J1783">
        <v>1244.3988036999999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1117.376213</v>
      </c>
      <c r="B1784" s="1">
        <f>DATE(2013,5,22) + TIME(9,1,44)</f>
        <v>41416.376203703701</v>
      </c>
      <c r="C1784">
        <v>90</v>
      </c>
      <c r="D1784">
        <v>89.954093932999996</v>
      </c>
      <c r="E1784">
        <v>30</v>
      </c>
      <c r="F1784">
        <v>29.409559250000001</v>
      </c>
      <c r="G1784">
        <v>1383.7163086</v>
      </c>
      <c r="H1784">
        <v>1370.2055664</v>
      </c>
      <c r="I1784">
        <v>1272.2470702999999</v>
      </c>
      <c r="J1784">
        <v>1244.3961182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1117.823613</v>
      </c>
      <c r="B1785" s="1">
        <f>DATE(2013,5,22) + TIME(19,46,0)</f>
        <v>41416.823611111111</v>
      </c>
      <c r="C1785">
        <v>90</v>
      </c>
      <c r="D1785">
        <v>89.954063415999997</v>
      </c>
      <c r="E1785">
        <v>30</v>
      </c>
      <c r="F1785">
        <v>29.399545669999998</v>
      </c>
      <c r="G1785">
        <v>1383.6619873</v>
      </c>
      <c r="H1785">
        <v>1370.1636963000001</v>
      </c>
      <c r="I1785">
        <v>1272.2468262</v>
      </c>
      <c r="J1785">
        <v>1244.3933105000001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1118.2787229999999</v>
      </c>
      <c r="B1786" s="1">
        <f>DATE(2013,5,23) + TIME(6,41,21)</f>
        <v>41417.278715277775</v>
      </c>
      <c r="C1786">
        <v>90</v>
      </c>
      <c r="D1786">
        <v>89.954040527000004</v>
      </c>
      <c r="E1786">
        <v>30</v>
      </c>
      <c r="F1786">
        <v>29.389423369999999</v>
      </c>
      <c r="G1786">
        <v>1383.6076660000001</v>
      </c>
      <c r="H1786">
        <v>1370.1218262</v>
      </c>
      <c r="I1786">
        <v>1272.246582</v>
      </c>
      <c r="J1786">
        <v>1244.3905029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1118.7425499999999</v>
      </c>
      <c r="B1787" s="1">
        <f>DATE(2013,5,23) + TIME(17,49,16)</f>
        <v>41417.742546296293</v>
      </c>
      <c r="C1787">
        <v>90</v>
      </c>
      <c r="D1787">
        <v>89.954010010000005</v>
      </c>
      <c r="E1787">
        <v>30</v>
      </c>
      <c r="F1787">
        <v>29.379173279</v>
      </c>
      <c r="G1787">
        <v>1383.5532227000001</v>
      </c>
      <c r="H1787">
        <v>1370.0798339999999</v>
      </c>
      <c r="I1787">
        <v>1272.2463379000001</v>
      </c>
      <c r="J1787">
        <v>1244.3876952999999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1119.2160670000001</v>
      </c>
      <c r="B1788" s="1">
        <f>DATE(2013,5,24) + TIME(5,11,8)</f>
        <v>41418.216064814813</v>
      </c>
      <c r="C1788">
        <v>90</v>
      </c>
      <c r="D1788">
        <v>89.953987122000001</v>
      </c>
      <c r="E1788">
        <v>30</v>
      </c>
      <c r="F1788">
        <v>29.368778229</v>
      </c>
      <c r="G1788">
        <v>1383.4986572</v>
      </c>
      <c r="H1788">
        <v>1370.0375977000001</v>
      </c>
      <c r="I1788">
        <v>1272.2462158000001</v>
      </c>
      <c r="J1788">
        <v>1244.3847656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1119.6987790000001</v>
      </c>
      <c r="B1789" s="1">
        <f>DATE(2013,5,24) + TIME(16,46,14)</f>
        <v>41418.698773148149</v>
      </c>
      <c r="C1789">
        <v>90</v>
      </c>
      <c r="D1789">
        <v>89.953956603999998</v>
      </c>
      <c r="E1789">
        <v>30</v>
      </c>
      <c r="F1789">
        <v>29.358240127999998</v>
      </c>
      <c r="G1789">
        <v>1383.4436035000001</v>
      </c>
      <c r="H1789">
        <v>1369.9951172000001</v>
      </c>
      <c r="I1789">
        <v>1272.2459716999999</v>
      </c>
      <c r="J1789">
        <v>1244.3818358999999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1120.1883720000001</v>
      </c>
      <c r="B1790" s="1">
        <f>DATE(2013,5,25) + TIME(4,31,15)</f>
        <v>41419.188368055555</v>
      </c>
      <c r="C1790">
        <v>90</v>
      </c>
      <c r="D1790">
        <v>89.953933715999995</v>
      </c>
      <c r="E1790">
        <v>30</v>
      </c>
      <c r="F1790">
        <v>29.347589493000001</v>
      </c>
      <c r="G1790">
        <v>1383.3884277</v>
      </c>
      <c r="H1790">
        <v>1369.9523925999999</v>
      </c>
      <c r="I1790">
        <v>1272.2457274999999</v>
      </c>
      <c r="J1790">
        <v>1244.3787841999999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1120.6855270000001</v>
      </c>
      <c r="B1791" s="1">
        <f>DATE(2013,5,25) + TIME(16,27,9)</f>
        <v>41419.685520833336</v>
      </c>
      <c r="C1791">
        <v>90</v>
      </c>
      <c r="D1791">
        <v>89.953903198000006</v>
      </c>
      <c r="E1791">
        <v>30</v>
      </c>
      <c r="F1791">
        <v>29.336822510000001</v>
      </c>
      <c r="G1791">
        <v>1383.3331298999999</v>
      </c>
      <c r="H1791">
        <v>1369.9097899999999</v>
      </c>
      <c r="I1791">
        <v>1272.2454834</v>
      </c>
      <c r="J1791">
        <v>1244.3756103999999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1121.1912460000001</v>
      </c>
      <c r="B1792" s="1">
        <f>DATE(2013,5,26) + TIME(4,35,23)</f>
        <v>41420.191238425927</v>
      </c>
      <c r="C1792">
        <v>90</v>
      </c>
      <c r="D1792">
        <v>89.953880310000002</v>
      </c>
      <c r="E1792">
        <v>30</v>
      </c>
      <c r="F1792">
        <v>29.325929641999998</v>
      </c>
      <c r="G1792">
        <v>1383.2779541</v>
      </c>
      <c r="H1792">
        <v>1369.8669434000001</v>
      </c>
      <c r="I1792">
        <v>1272.2453613</v>
      </c>
      <c r="J1792">
        <v>1244.3724365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1121.7066030000001</v>
      </c>
      <c r="B1793" s="1">
        <f>DATE(2013,5,26) + TIME(16,57,30)</f>
        <v>41420.706597222219</v>
      </c>
      <c r="C1793">
        <v>90</v>
      </c>
      <c r="D1793">
        <v>89.953849792</v>
      </c>
      <c r="E1793">
        <v>30</v>
      </c>
      <c r="F1793">
        <v>29.314895629999999</v>
      </c>
      <c r="G1793">
        <v>1383.2225341999999</v>
      </c>
      <c r="H1793">
        <v>1369.8240966999999</v>
      </c>
      <c r="I1793">
        <v>1272.2451172000001</v>
      </c>
      <c r="J1793">
        <v>1244.3692627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1122.2327640000001</v>
      </c>
      <c r="B1794" s="1">
        <f>DATE(2013,5,27) + TIME(5,35,10)</f>
        <v>41421.232754629629</v>
      </c>
      <c r="C1794">
        <v>90</v>
      </c>
      <c r="D1794">
        <v>89.953826903999996</v>
      </c>
      <c r="E1794">
        <v>30</v>
      </c>
      <c r="F1794">
        <v>29.303703307999999</v>
      </c>
      <c r="G1794">
        <v>1383.1668701000001</v>
      </c>
      <c r="H1794">
        <v>1369.7810059000001</v>
      </c>
      <c r="I1794">
        <v>1272.2449951000001</v>
      </c>
      <c r="J1794">
        <v>1244.3659668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1122.769006</v>
      </c>
      <c r="B1795" s="1">
        <f>DATE(2013,5,27) + TIME(18,27,22)</f>
        <v>41421.769004629627</v>
      </c>
      <c r="C1795">
        <v>90</v>
      </c>
      <c r="D1795">
        <v>89.953796386999997</v>
      </c>
      <c r="E1795">
        <v>30</v>
      </c>
      <c r="F1795">
        <v>29.292356491</v>
      </c>
      <c r="G1795">
        <v>1383.1109618999999</v>
      </c>
      <c r="H1795">
        <v>1369.7375488</v>
      </c>
      <c r="I1795">
        <v>1272.244751</v>
      </c>
      <c r="J1795">
        <v>1244.3625488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1123.3070009999999</v>
      </c>
      <c r="B1796" s="1">
        <f>DATE(2013,5,28) + TIME(7,22,4)</f>
        <v>41422.306990740741</v>
      </c>
      <c r="C1796">
        <v>90</v>
      </c>
      <c r="D1796">
        <v>89.953773498999993</v>
      </c>
      <c r="E1796">
        <v>30</v>
      </c>
      <c r="F1796">
        <v>29.280967711999999</v>
      </c>
      <c r="G1796">
        <v>1383.0546875</v>
      </c>
      <c r="H1796">
        <v>1369.6938477000001</v>
      </c>
      <c r="I1796">
        <v>1272.2446289</v>
      </c>
      <c r="J1796">
        <v>1244.3591309000001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1123.8478279999999</v>
      </c>
      <c r="B1797" s="1">
        <f>DATE(2013,5,28) + TIME(20,20,52)</f>
        <v>41422.847824074073</v>
      </c>
      <c r="C1797">
        <v>90</v>
      </c>
      <c r="D1797">
        <v>89.95375061</v>
      </c>
      <c r="E1797">
        <v>30</v>
      </c>
      <c r="F1797">
        <v>29.269544601</v>
      </c>
      <c r="G1797">
        <v>1382.9990233999999</v>
      </c>
      <c r="H1797">
        <v>1369.6506348</v>
      </c>
      <c r="I1797">
        <v>1272.2443848</v>
      </c>
      <c r="J1797">
        <v>1244.3555908000001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1124.3925400000001</v>
      </c>
      <c r="B1798" s="1">
        <f>DATE(2013,5,29) + TIME(9,25,15)</f>
        <v>41423.392534722225</v>
      </c>
      <c r="C1798">
        <v>90</v>
      </c>
      <c r="D1798">
        <v>89.953727721999996</v>
      </c>
      <c r="E1798">
        <v>30</v>
      </c>
      <c r="F1798">
        <v>29.258089066</v>
      </c>
      <c r="G1798">
        <v>1382.9438477000001</v>
      </c>
      <c r="H1798">
        <v>1369.6077881000001</v>
      </c>
      <c r="I1798">
        <v>1272.2442627</v>
      </c>
      <c r="J1798">
        <v>1244.3520507999999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1124.9422959999999</v>
      </c>
      <c r="B1799" s="1">
        <f>DATE(2013,5,29) + TIME(22,36,54)</f>
        <v>41423.942291666666</v>
      </c>
      <c r="C1799">
        <v>90</v>
      </c>
      <c r="D1799">
        <v>89.953697204999997</v>
      </c>
      <c r="E1799">
        <v>30</v>
      </c>
      <c r="F1799">
        <v>29.246591567999999</v>
      </c>
      <c r="G1799">
        <v>1382.8890381000001</v>
      </c>
      <c r="H1799">
        <v>1369.5651855000001</v>
      </c>
      <c r="I1799">
        <v>1272.2440185999999</v>
      </c>
      <c r="J1799">
        <v>1244.3485106999999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1125.4983540000001</v>
      </c>
      <c r="B1800" s="1">
        <f>DATE(2013,5,30) + TIME(11,57,37)</f>
        <v>41424.498344907406</v>
      </c>
      <c r="C1800">
        <v>90</v>
      </c>
      <c r="D1800">
        <v>89.953674316000004</v>
      </c>
      <c r="E1800">
        <v>30</v>
      </c>
      <c r="F1800">
        <v>29.235033035000001</v>
      </c>
      <c r="G1800">
        <v>1382.8344727000001</v>
      </c>
      <c r="H1800">
        <v>1369.5227050999999</v>
      </c>
      <c r="I1800">
        <v>1272.2438964999999</v>
      </c>
      <c r="J1800">
        <v>1244.3448486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1126.06158</v>
      </c>
      <c r="B1801" s="1">
        <f>DATE(2013,5,31) + TIME(1,28,40)</f>
        <v>41425.061574074076</v>
      </c>
      <c r="C1801">
        <v>90</v>
      </c>
      <c r="D1801">
        <v>89.953651428000001</v>
      </c>
      <c r="E1801">
        <v>30</v>
      </c>
      <c r="F1801">
        <v>29.223403931</v>
      </c>
      <c r="G1801">
        <v>1382.7800293</v>
      </c>
      <c r="H1801">
        <v>1369.4802245999999</v>
      </c>
      <c r="I1801">
        <v>1272.2437743999999</v>
      </c>
      <c r="J1801">
        <v>1244.3411865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1126.6331479999999</v>
      </c>
      <c r="B1802" s="1">
        <f>DATE(2013,5,31) + TIME(15,11,43)</f>
        <v>41425.633136574077</v>
      </c>
      <c r="C1802">
        <v>90</v>
      </c>
      <c r="D1802">
        <v>89.953628539999997</v>
      </c>
      <c r="E1802">
        <v>30</v>
      </c>
      <c r="F1802">
        <v>29.211685181</v>
      </c>
      <c r="G1802">
        <v>1382.7255858999999</v>
      </c>
      <c r="H1802">
        <v>1369.4378661999999</v>
      </c>
      <c r="I1802">
        <v>1272.2436522999999</v>
      </c>
      <c r="J1802">
        <v>1244.3374022999999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1127</v>
      </c>
      <c r="B1803" s="1">
        <f>DATE(2013,6,1) + TIME(0,0,0)</f>
        <v>41426</v>
      </c>
      <c r="C1803">
        <v>90</v>
      </c>
      <c r="D1803">
        <v>89.953613281000003</v>
      </c>
      <c r="E1803">
        <v>30</v>
      </c>
      <c r="F1803">
        <v>29.202919005999998</v>
      </c>
      <c r="G1803">
        <v>1382.6710204999999</v>
      </c>
      <c r="H1803">
        <v>1369.3952637</v>
      </c>
      <c r="I1803">
        <v>1272.2427978999999</v>
      </c>
      <c r="J1803">
        <v>1244.3339844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1127.581144</v>
      </c>
      <c r="B1804" s="1">
        <f>DATE(2013,6,1) + TIME(13,56,50)</f>
        <v>41426.581134259257</v>
      </c>
      <c r="C1804">
        <v>90</v>
      </c>
      <c r="D1804">
        <v>89.953590392999999</v>
      </c>
      <c r="E1804">
        <v>30</v>
      </c>
      <c r="F1804">
        <v>29.191606522000001</v>
      </c>
      <c r="G1804">
        <v>1382.6362305</v>
      </c>
      <c r="H1804">
        <v>1369.3681641000001</v>
      </c>
      <c r="I1804">
        <v>1272.2435303</v>
      </c>
      <c r="J1804">
        <v>1244.3309326000001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1128.1806349999999</v>
      </c>
      <c r="B1805" s="1">
        <f>DATE(2013,6,2) + TIME(4,20,6)</f>
        <v>41427.180625000001</v>
      </c>
      <c r="C1805">
        <v>90</v>
      </c>
      <c r="D1805">
        <v>89.953567504999995</v>
      </c>
      <c r="E1805">
        <v>30</v>
      </c>
      <c r="F1805">
        <v>29.179885863999999</v>
      </c>
      <c r="G1805">
        <v>1382.5822754000001</v>
      </c>
      <c r="H1805">
        <v>1369.3259277</v>
      </c>
      <c r="I1805">
        <v>1272.2434082</v>
      </c>
      <c r="J1805">
        <v>1244.3270264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1128.790264</v>
      </c>
      <c r="B1806" s="1">
        <f>DATE(2013,6,2) + TIME(18,57,58)</f>
        <v>41427.790254629632</v>
      </c>
      <c r="C1806">
        <v>90</v>
      </c>
      <c r="D1806">
        <v>89.953552246000001</v>
      </c>
      <c r="E1806">
        <v>30</v>
      </c>
      <c r="F1806">
        <v>29.167894362999998</v>
      </c>
      <c r="G1806">
        <v>1382.5269774999999</v>
      </c>
      <c r="H1806">
        <v>1369.2827147999999</v>
      </c>
      <c r="I1806">
        <v>1272.2431641000001</v>
      </c>
      <c r="J1806">
        <v>1244.322876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1129.411507</v>
      </c>
      <c r="B1807" s="1">
        <f>DATE(2013,6,3) + TIME(9,52,34)</f>
        <v>41428.411504629628</v>
      </c>
      <c r="C1807">
        <v>90</v>
      </c>
      <c r="D1807">
        <v>89.953529357999997</v>
      </c>
      <c r="E1807">
        <v>30</v>
      </c>
      <c r="F1807">
        <v>29.155672073000002</v>
      </c>
      <c r="G1807">
        <v>1382.4715576000001</v>
      </c>
      <c r="H1807">
        <v>1369.2393798999999</v>
      </c>
      <c r="I1807">
        <v>1272.2430420000001</v>
      </c>
      <c r="J1807">
        <v>1244.3187256000001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1130.045762</v>
      </c>
      <c r="B1808" s="1">
        <f>DATE(2013,6,4) + TIME(1,5,53)</f>
        <v>41429.045752314814</v>
      </c>
      <c r="C1808">
        <v>90</v>
      </c>
      <c r="D1808">
        <v>89.953506469999994</v>
      </c>
      <c r="E1808">
        <v>30</v>
      </c>
      <c r="F1808">
        <v>29.143232346000001</v>
      </c>
      <c r="G1808">
        <v>1382.4157714999999</v>
      </c>
      <c r="H1808">
        <v>1369.1956786999999</v>
      </c>
      <c r="I1808">
        <v>1272.2429199000001</v>
      </c>
      <c r="J1808">
        <v>1244.3143310999999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1130.6917269999999</v>
      </c>
      <c r="B1809" s="1">
        <f>DATE(2013,6,4) + TIME(16,36,5)</f>
        <v>41429.691724537035</v>
      </c>
      <c r="C1809">
        <v>90</v>
      </c>
      <c r="D1809">
        <v>89.953483582000004</v>
      </c>
      <c r="E1809">
        <v>30</v>
      </c>
      <c r="F1809">
        <v>29.130605698</v>
      </c>
      <c r="G1809">
        <v>1382.3596190999999</v>
      </c>
      <c r="H1809">
        <v>1369.1516113</v>
      </c>
      <c r="I1809">
        <v>1272.2427978999999</v>
      </c>
      <c r="J1809">
        <v>1244.3098144999999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1131.3478419999999</v>
      </c>
      <c r="B1810" s="1">
        <f>DATE(2013,6,5) + TIME(8,20,53)</f>
        <v>41430.34783564815</v>
      </c>
      <c r="C1810">
        <v>90</v>
      </c>
      <c r="D1810">
        <v>89.953468322999996</v>
      </c>
      <c r="E1810">
        <v>30</v>
      </c>
      <c r="F1810">
        <v>29.117826462</v>
      </c>
      <c r="G1810">
        <v>1382.3031006000001</v>
      </c>
      <c r="H1810">
        <v>1369.1072998</v>
      </c>
      <c r="I1810">
        <v>1272.2426757999999</v>
      </c>
      <c r="J1810">
        <v>1244.3052978999999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1132.015551</v>
      </c>
      <c r="B1811" s="1">
        <f>DATE(2013,6,6) + TIME(0,22,23)</f>
        <v>41431.015543981484</v>
      </c>
      <c r="C1811">
        <v>90</v>
      </c>
      <c r="D1811">
        <v>89.953445435000006</v>
      </c>
      <c r="E1811">
        <v>30</v>
      </c>
      <c r="F1811">
        <v>29.104896544999999</v>
      </c>
      <c r="G1811">
        <v>1382.2464600000001</v>
      </c>
      <c r="H1811">
        <v>1369.0627440999999</v>
      </c>
      <c r="I1811">
        <v>1272.2426757999999</v>
      </c>
      <c r="J1811">
        <v>1244.3005370999999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1132.687007</v>
      </c>
      <c r="B1812" s="1">
        <f>DATE(2013,6,6) + TIME(16,29,17)</f>
        <v>41431.687002314815</v>
      </c>
      <c r="C1812">
        <v>90</v>
      </c>
      <c r="D1812">
        <v>89.953422545999999</v>
      </c>
      <c r="E1812">
        <v>30</v>
      </c>
      <c r="F1812">
        <v>29.091905594</v>
      </c>
      <c r="G1812">
        <v>1382.1895752</v>
      </c>
      <c r="H1812">
        <v>1369.0179443</v>
      </c>
      <c r="I1812">
        <v>1272.2425536999999</v>
      </c>
      <c r="J1812">
        <v>1244.2956543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1133.3600650000001</v>
      </c>
      <c r="B1813" s="1">
        <f>DATE(2013,6,7) + TIME(8,38,29)</f>
        <v>41432.36005787037</v>
      </c>
      <c r="C1813">
        <v>90</v>
      </c>
      <c r="D1813">
        <v>89.953407287999994</v>
      </c>
      <c r="E1813">
        <v>30</v>
      </c>
      <c r="F1813">
        <v>29.078910828000001</v>
      </c>
      <c r="G1813">
        <v>1382.1330565999999</v>
      </c>
      <c r="H1813">
        <v>1368.9735106999999</v>
      </c>
      <c r="I1813">
        <v>1272.2424315999999</v>
      </c>
      <c r="J1813">
        <v>1244.2907714999999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1134.0356099999999</v>
      </c>
      <c r="B1814" s="1">
        <f>DATE(2013,6,8) + TIME(0,51,16)</f>
        <v>41433.035601851851</v>
      </c>
      <c r="C1814">
        <v>90</v>
      </c>
      <c r="D1814">
        <v>89.953384399000001</v>
      </c>
      <c r="E1814">
        <v>30</v>
      </c>
      <c r="F1814">
        <v>29.065931320000001</v>
      </c>
      <c r="G1814">
        <v>1382.0771483999999</v>
      </c>
      <c r="H1814">
        <v>1368.9294434000001</v>
      </c>
      <c r="I1814">
        <v>1272.2423096</v>
      </c>
      <c r="J1814">
        <v>1244.2857666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1134.7148970000001</v>
      </c>
      <c r="B1815" s="1">
        <f>DATE(2013,6,8) + TIME(17,9,27)</f>
        <v>41433.714895833335</v>
      </c>
      <c r="C1815">
        <v>90</v>
      </c>
      <c r="D1815">
        <v>89.953369140999996</v>
      </c>
      <c r="E1815">
        <v>30</v>
      </c>
      <c r="F1815">
        <v>29.052963256999998</v>
      </c>
      <c r="G1815">
        <v>1382.0217285000001</v>
      </c>
      <c r="H1815">
        <v>1368.8857422000001</v>
      </c>
      <c r="I1815">
        <v>1272.2421875</v>
      </c>
      <c r="J1815">
        <v>1244.2806396000001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1135.3992020000001</v>
      </c>
      <c r="B1816" s="1">
        <f>DATE(2013,6,9) + TIME(9,34,51)</f>
        <v>41434.399201388886</v>
      </c>
      <c r="C1816">
        <v>90</v>
      </c>
      <c r="D1816">
        <v>89.953346252000003</v>
      </c>
      <c r="E1816">
        <v>30</v>
      </c>
      <c r="F1816">
        <v>29.040000916</v>
      </c>
      <c r="G1816">
        <v>1381.9666748</v>
      </c>
      <c r="H1816">
        <v>1368.8421631000001</v>
      </c>
      <c r="I1816">
        <v>1272.2421875</v>
      </c>
      <c r="J1816">
        <v>1244.2755127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1136.089806</v>
      </c>
      <c r="B1817" s="1">
        <f>DATE(2013,6,10) + TIME(2,9,19)</f>
        <v>41435.089803240742</v>
      </c>
      <c r="C1817">
        <v>90</v>
      </c>
      <c r="D1817">
        <v>89.953330993999998</v>
      </c>
      <c r="E1817">
        <v>30</v>
      </c>
      <c r="F1817">
        <v>29.02702713</v>
      </c>
      <c r="G1817">
        <v>1381.9118652</v>
      </c>
      <c r="H1817">
        <v>1368.7989502</v>
      </c>
      <c r="I1817">
        <v>1272.2420654</v>
      </c>
      <c r="J1817">
        <v>1244.2701416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1136.78835</v>
      </c>
      <c r="B1818" s="1">
        <f>DATE(2013,6,10) + TIME(18,55,13)</f>
        <v>41435.788344907407</v>
      </c>
      <c r="C1818">
        <v>90</v>
      </c>
      <c r="D1818">
        <v>89.953315735000004</v>
      </c>
      <c r="E1818">
        <v>30</v>
      </c>
      <c r="F1818">
        <v>29.01402092</v>
      </c>
      <c r="G1818">
        <v>1381.8572998</v>
      </c>
      <c r="H1818">
        <v>1368.7556152</v>
      </c>
      <c r="I1818">
        <v>1272.2420654</v>
      </c>
      <c r="J1818">
        <v>1244.2647704999999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1137.496085</v>
      </c>
      <c r="B1819" s="1">
        <f>DATE(2013,6,11) + TIME(11,54,21)</f>
        <v>41436.496076388888</v>
      </c>
      <c r="C1819">
        <v>90</v>
      </c>
      <c r="D1819">
        <v>89.953292847</v>
      </c>
      <c r="E1819">
        <v>30</v>
      </c>
      <c r="F1819">
        <v>29.000965118</v>
      </c>
      <c r="G1819">
        <v>1381.8026123</v>
      </c>
      <c r="H1819">
        <v>1368.7124022999999</v>
      </c>
      <c r="I1819">
        <v>1272.2419434000001</v>
      </c>
      <c r="J1819">
        <v>1244.2592772999999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1138.2143060000001</v>
      </c>
      <c r="B1820" s="1">
        <f>DATE(2013,6,12) + TIME(5,8,35)</f>
        <v>41437.21429398148</v>
      </c>
      <c r="C1820">
        <v>90</v>
      </c>
      <c r="D1820">
        <v>89.953277588000006</v>
      </c>
      <c r="E1820">
        <v>30</v>
      </c>
      <c r="F1820">
        <v>28.987840651999999</v>
      </c>
      <c r="G1820">
        <v>1381.7479248</v>
      </c>
      <c r="H1820">
        <v>1368.6689452999999</v>
      </c>
      <c r="I1820">
        <v>1272.2419434000001</v>
      </c>
      <c r="J1820">
        <v>1244.2535399999999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1138.9445290000001</v>
      </c>
      <c r="B1821" s="1">
        <f>DATE(2013,6,12) + TIME(22,40,7)</f>
        <v>41437.944525462961</v>
      </c>
      <c r="C1821">
        <v>90</v>
      </c>
      <c r="D1821">
        <v>89.953262328999998</v>
      </c>
      <c r="E1821">
        <v>30</v>
      </c>
      <c r="F1821">
        <v>28.974628448000001</v>
      </c>
      <c r="G1821">
        <v>1381.6931152</v>
      </c>
      <c r="H1821">
        <v>1368.6254882999999</v>
      </c>
      <c r="I1821">
        <v>1272.2419434000001</v>
      </c>
      <c r="J1821">
        <v>1244.2476807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1139.6883909999999</v>
      </c>
      <c r="B1822" s="1">
        <f>DATE(2013,6,13) + TIME(16,31,17)</f>
        <v>41438.688391203701</v>
      </c>
      <c r="C1822">
        <v>90</v>
      </c>
      <c r="D1822">
        <v>89.953247070000003</v>
      </c>
      <c r="E1822">
        <v>30</v>
      </c>
      <c r="F1822">
        <v>28.961307525999999</v>
      </c>
      <c r="G1822">
        <v>1381.6379394999999</v>
      </c>
      <c r="H1822">
        <v>1368.5816649999999</v>
      </c>
      <c r="I1822">
        <v>1272.2419434000001</v>
      </c>
      <c r="J1822">
        <v>1244.2416992000001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1140.4475600000001</v>
      </c>
      <c r="B1823" s="1">
        <f>DATE(2013,6,14) + TIME(10,44,29)</f>
        <v>41439.447557870371</v>
      </c>
      <c r="C1823">
        <v>90</v>
      </c>
      <c r="D1823">
        <v>89.953231811999999</v>
      </c>
      <c r="E1823">
        <v>30</v>
      </c>
      <c r="F1823">
        <v>28.947856903000002</v>
      </c>
      <c r="G1823">
        <v>1381.5825195</v>
      </c>
      <c r="H1823">
        <v>1368.5374756000001</v>
      </c>
      <c r="I1823">
        <v>1272.2419434000001</v>
      </c>
      <c r="J1823">
        <v>1244.2355957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1141.2239649999999</v>
      </c>
      <c r="B1824" s="1">
        <f>DATE(2013,6,15) + TIME(5,22,30)</f>
        <v>41440.223958333336</v>
      </c>
      <c r="C1824">
        <v>90</v>
      </c>
      <c r="D1824">
        <v>89.953216553000004</v>
      </c>
      <c r="E1824">
        <v>30</v>
      </c>
      <c r="F1824">
        <v>28.934253692999999</v>
      </c>
      <c r="G1824">
        <v>1381.5264893000001</v>
      </c>
      <c r="H1824">
        <v>1368.4927978999999</v>
      </c>
      <c r="I1824">
        <v>1272.2419434000001</v>
      </c>
      <c r="J1824">
        <v>1244.229126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1142.019779</v>
      </c>
      <c r="B1825" s="1">
        <f>DATE(2013,6,16) + TIME(0,28,28)</f>
        <v>41441.019768518519</v>
      </c>
      <c r="C1825">
        <v>90</v>
      </c>
      <c r="D1825">
        <v>89.953201293999996</v>
      </c>
      <c r="E1825">
        <v>30</v>
      </c>
      <c r="F1825">
        <v>28.920476913000002</v>
      </c>
      <c r="G1825">
        <v>1381.4699707</v>
      </c>
      <c r="H1825">
        <v>1368.4477539</v>
      </c>
      <c r="I1825">
        <v>1272.2419434000001</v>
      </c>
      <c r="J1825">
        <v>1244.2225341999999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1142.821927</v>
      </c>
      <c r="B1826" s="1">
        <f>DATE(2013,6,16) + TIME(19,43,34)</f>
        <v>41441.821921296294</v>
      </c>
      <c r="C1826">
        <v>90</v>
      </c>
      <c r="D1826">
        <v>89.953186035000002</v>
      </c>
      <c r="E1826">
        <v>30</v>
      </c>
      <c r="F1826">
        <v>28.906635284</v>
      </c>
      <c r="G1826">
        <v>1381.4125977000001</v>
      </c>
      <c r="H1826">
        <v>1368.4018555</v>
      </c>
      <c r="I1826">
        <v>1272.2419434000001</v>
      </c>
      <c r="J1826">
        <v>1244.2156981999999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1143.6244160000001</v>
      </c>
      <c r="B1827" s="1">
        <f>DATE(2013,6,17) + TIME(14,59,9)</f>
        <v>41442.624409722222</v>
      </c>
      <c r="C1827">
        <v>90</v>
      </c>
      <c r="D1827">
        <v>89.953178406000006</v>
      </c>
      <c r="E1827">
        <v>30</v>
      </c>
      <c r="F1827">
        <v>28.892835616999999</v>
      </c>
      <c r="G1827">
        <v>1381.3554687999999</v>
      </c>
      <c r="H1827">
        <v>1368.3562012</v>
      </c>
      <c r="I1827">
        <v>1272.2419434000001</v>
      </c>
      <c r="J1827">
        <v>1244.2086182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1144.4287979999999</v>
      </c>
      <c r="B1828" s="1">
        <f>DATE(2013,6,18) + TIME(10,17,28)</f>
        <v>41443.428796296299</v>
      </c>
      <c r="C1828">
        <v>90</v>
      </c>
      <c r="D1828">
        <v>89.953163146999998</v>
      </c>
      <c r="E1828">
        <v>30</v>
      </c>
      <c r="F1828">
        <v>28.879121779999998</v>
      </c>
      <c r="G1828">
        <v>1381.2989502</v>
      </c>
      <c r="H1828">
        <v>1368.3110352000001</v>
      </c>
      <c r="I1828">
        <v>1272.2419434000001</v>
      </c>
      <c r="J1828">
        <v>1244.2015381000001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1145.2366059999999</v>
      </c>
      <c r="B1829" s="1">
        <f>DATE(2013,6,19) + TIME(5,40,42)</f>
        <v>41444.236597222225</v>
      </c>
      <c r="C1829">
        <v>90</v>
      </c>
      <c r="D1829">
        <v>89.953147888000004</v>
      </c>
      <c r="E1829">
        <v>30</v>
      </c>
      <c r="F1829">
        <v>28.865501404</v>
      </c>
      <c r="G1829">
        <v>1381.2429199000001</v>
      </c>
      <c r="H1829">
        <v>1368.2661132999999</v>
      </c>
      <c r="I1829">
        <v>1272.2419434000001</v>
      </c>
      <c r="J1829">
        <v>1244.1942139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1146.049358</v>
      </c>
      <c r="B1830" s="1">
        <f>DATE(2013,6,20) + TIME(1,11,4)</f>
        <v>41445.049351851849</v>
      </c>
      <c r="C1830">
        <v>90</v>
      </c>
      <c r="D1830">
        <v>89.953132628999995</v>
      </c>
      <c r="E1830">
        <v>30</v>
      </c>
      <c r="F1830">
        <v>28.851972580000002</v>
      </c>
      <c r="G1830">
        <v>1381.1873779</v>
      </c>
      <c r="H1830">
        <v>1368.2214355000001</v>
      </c>
      <c r="I1830">
        <v>1272.2420654</v>
      </c>
      <c r="J1830">
        <v>1244.1868896000001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1146.8686029999999</v>
      </c>
      <c r="B1831" s="1">
        <f>DATE(2013,6,20) + TIME(20,50,47)</f>
        <v>41445.86859953704</v>
      </c>
      <c r="C1831">
        <v>90</v>
      </c>
      <c r="D1831">
        <v>89.953125</v>
      </c>
      <c r="E1831">
        <v>30</v>
      </c>
      <c r="F1831">
        <v>28.838529587</v>
      </c>
      <c r="G1831">
        <v>1381.1320800999999</v>
      </c>
      <c r="H1831">
        <v>1368.1770019999999</v>
      </c>
      <c r="I1831">
        <v>1272.2421875</v>
      </c>
      <c r="J1831">
        <v>1244.1793213000001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1147.6959549999999</v>
      </c>
      <c r="B1832" s="1">
        <f>DATE(2013,6,21) + TIME(16,42,10)</f>
        <v>41446.695949074077</v>
      </c>
      <c r="C1832">
        <v>90</v>
      </c>
      <c r="D1832">
        <v>89.953109741000006</v>
      </c>
      <c r="E1832">
        <v>30</v>
      </c>
      <c r="F1832">
        <v>28.825157166</v>
      </c>
      <c r="G1832">
        <v>1381.0769043</v>
      </c>
      <c r="H1832">
        <v>1368.1325684000001</v>
      </c>
      <c r="I1832">
        <v>1272.2423096</v>
      </c>
      <c r="J1832">
        <v>1244.1716309000001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1148.533551</v>
      </c>
      <c r="B1833" s="1">
        <f>DATE(2013,6,22) + TIME(12,48,18)</f>
        <v>41447.533541666664</v>
      </c>
      <c r="C1833">
        <v>90</v>
      </c>
      <c r="D1833">
        <v>89.953102111999996</v>
      </c>
      <c r="E1833">
        <v>30</v>
      </c>
      <c r="F1833">
        <v>28.811841964999999</v>
      </c>
      <c r="G1833">
        <v>1381.0217285000001</v>
      </c>
      <c r="H1833">
        <v>1368.0881348</v>
      </c>
      <c r="I1833">
        <v>1272.2424315999999</v>
      </c>
      <c r="J1833">
        <v>1244.1636963000001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1149.3825999999999</v>
      </c>
      <c r="B1834" s="1">
        <f>DATE(2013,6,23) + TIME(9,10,56)</f>
        <v>41448.382592592592</v>
      </c>
      <c r="C1834">
        <v>90</v>
      </c>
      <c r="D1834">
        <v>89.953086853000002</v>
      </c>
      <c r="E1834">
        <v>30</v>
      </c>
      <c r="F1834">
        <v>28.798572539999999</v>
      </c>
      <c r="G1834">
        <v>1380.9665527</v>
      </c>
      <c r="H1834">
        <v>1368.0437012</v>
      </c>
      <c r="I1834">
        <v>1272.2426757999999</v>
      </c>
      <c r="J1834">
        <v>1244.1557617000001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1150.2448959999999</v>
      </c>
      <c r="B1835" s="1">
        <f>DATE(2013,6,24) + TIME(5,52,39)</f>
        <v>41449.244895833333</v>
      </c>
      <c r="C1835">
        <v>90</v>
      </c>
      <c r="D1835">
        <v>89.953079224000007</v>
      </c>
      <c r="E1835">
        <v>30</v>
      </c>
      <c r="F1835">
        <v>28.785341262999999</v>
      </c>
      <c r="G1835">
        <v>1380.9111327999999</v>
      </c>
      <c r="H1835">
        <v>1367.9989014</v>
      </c>
      <c r="I1835">
        <v>1272.2427978999999</v>
      </c>
      <c r="J1835">
        <v>1244.1474608999999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1151.122343</v>
      </c>
      <c r="B1836" s="1">
        <f>DATE(2013,6,25) + TIME(2,56,10)</f>
        <v>41450.122337962966</v>
      </c>
      <c r="C1836">
        <v>90</v>
      </c>
      <c r="D1836">
        <v>89.953071593999994</v>
      </c>
      <c r="E1836">
        <v>30</v>
      </c>
      <c r="F1836">
        <v>28.772138596000001</v>
      </c>
      <c r="G1836">
        <v>1380.8554687999999</v>
      </c>
      <c r="H1836">
        <v>1367.9539795000001</v>
      </c>
      <c r="I1836">
        <v>1272.2431641000001</v>
      </c>
      <c r="J1836">
        <v>1244.1389160000001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1152.0170109999999</v>
      </c>
      <c r="B1837" s="1">
        <f>DATE(2013,6,26) + TIME(0,24,29)</f>
        <v>41451.017002314817</v>
      </c>
      <c r="C1837">
        <v>90</v>
      </c>
      <c r="D1837">
        <v>89.953063964999998</v>
      </c>
      <c r="E1837">
        <v>30</v>
      </c>
      <c r="F1837">
        <v>28.758958817</v>
      </c>
      <c r="G1837">
        <v>1380.7994385</v>
      </c>
      <c r="H1837">
        <v>1367.9085693</v>
      </c>
      <c r="I1837">
        <v>1272.2434082</v>
      </c>
      <c r="J1837">
        <v>1244.130249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1152.930936</v>
      </c>
      <c r="B1838" s="1">
        <f>DATE(2013,6,26) + TIME(22,20,32)</f>
        <v>41451.930925925924</v>
      </c>
      <c r="C1838">
        <v>90</v>
      </c>
      <c r="D1838">
        <v>89.953048706000004</v>
      </c>
      <c r="E1838">
        <v>30</v>
      </c>
      <c r="F1838">
        <v>28.745796204000001</v>
      </c>
      <c r="G1838">
        <v>1380.7429199000001</v>
      </c>
      <c r="H1838">
        <v>1367.862793</v>
      </c>
      <c r="I1838">
        <v>1272.2437743999999</v>
      </c>
      <c r="J1838">
        <v>1244.1212158000001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1153.86329</v>
      </c>
      <c r="B1839" s="1">
        <f>DATE(2013,6,27) + TIME(20,43,8)</f>
        <v>41452.863287037035</v>
      </c>
      <c r="C1839">
        <v>90</v>
      </c>
      <c r="D1839">
        <v>89.953041076999995</v>
      </c>
      <c r="E1839">
        <v>30</v>
      </c>
      <c r="F1839">
        <v>28.732669829999999</v>
      </c>
      <c r="G1839">
        <v>1380.6857910000001</v>
      </c>
      <c r="H1839">
        <v>1367.8164062000001</v>
      </c>
      <c r="I1839">
        <v>1272.2441406</v>
      </c>
      <c r="J1839">
        <v>1244.1119385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1154.811948</v>
      </c>
      <c r="B1840" s="1">
        <f>DATE(2013,6,28) + TIME(19,29,12)</f>
        <v>41453.811944444446</v>
      </c>
      <c r="C1840">
        <v>90</v>
      </c>
      <c r="D1840">
        <v>89.953033446999996</v>
      </c>
      <c r="E1840">
        <v>30</v>
      </c>
      <c r="F1840">
        <v>28.719621658000001</v>
      </c>
      <c r="G1840">
        <v>1380.6281738</v>
      </c>
      <c r="H1840">
        <v>1367.7695312000001</v>
      </c>
      <c r="I1840">
        <v>1272.2446289</v>
      </c>
      <c r="J1840">
        <v>1244.1024170000001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1155.760951</v>
      </c>
      <c r="B1841" s="1">
        <f>DATE(2013,6,29) + TIME(18,15,46)</f>
        <v>41454.760949074072</v>
      </c>
      <c r="C1841">
        <v>90</v>
      </c>
      <c r="D1841">
        <v>89.953025818</v>
      </c>
      <c r="E1841">
        <v>30</v>
      </c>
      <c r="F1841">
        <v>28.706789016999998</v>
      </c>
      <c r="G1841">
        <v>1380.5700684000001</v>
      </c>
      <c r="H1841">
        <v>1367.722168</v>
      </c>
      <c r="I1841">
        <v>1272.2452393000001</v>
      </c>
      <c r="J1841">
        <v>1244.0926514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1156.7121400000001</v>
      </c>
      <c r="B1842" s="1">
        <f>DATE(2013,6,30) + TIME(17,5,28)</f>
        <v>41455.712129629632</v>
      </c>
      <c r="C1842">
        <v>90</v>
      </c>
      <c r="D1842">
        <v>89.953018188000001</v>
      </c>
      <c r="E1842">
        <v>30</v>
      </c>
      <c r="F1842">
        <v>28.694248199</v>
      </c>
      <c r="G1842">
        <v>1380.5125731999999</v>
      </c>
      <c r="H1842">
        <v>1367.675293</v>
      </c>
      <c r="I1842">
        <v>1272.2458495999999</v>
      </c>
      <c r="J1842">
        <v>1244.0828856999999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1157</v>
      </c>
      <c r="B1843" s="1">
        <f>DATE(2013,7,1) + TIME(0,0,0)</f>
        <v>41456</v>
      </c>
      <c r="C1843">
        <v>90</v>
      </c>
      <c r="D1843">
        <v>89.953002929999997</v>
      </c>
      <c r="E1843">
        <v>30</v>
      </c>
      <c r="F1843">
        <v>28.688444138000001</v>
      </c>
      <c r="G1843">
        <v>1380.4561768000001</v>
      </c>
      <c r="H1843">
        <v>1367.6293945</v>
      </c>
      <c r="I1843">
        <v>1272.2463379000001</v>
      </c>
      <c r="J1843">
        <v>1244.0761719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1157.9552180000001</v>
      </c>
      <c r="B1844" s="1">
        <f>DATE(2013,7,1) + TIME(22,55,30)</f>
        <v>41456.955208333333</v>
      </c>
      <c r="C1844">
        <v>90</v>
      </c>
      <c r="D1844">
        <v>89.953010559000006</v>
      </c>
      <c r="E1844">
        <v>30</v>
      </c>
      <c r="F1844">
        <v>28.677450180000001</v>
      </c>
      <c r="G1844">
        <v>1380.4381103999999</v>
      </c>
      <c r="H1844">
        <v>1367.6143798999999</v>
      </c>
      <c r="I1844">
        <v>1272.2467041</v>
      </c>
      <c r="J1844">
        <v>1244.0692139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1158.91858</v>
      </c>
      <c r="B1845" s="1">
        <f>DATE(2013,7,2) + TIME(22,2,45)</f>
        <v>41457.918576388889</v>
      </c>
      <c r="C1845">
        <v>90</v>
      </c>
      <c r="D1845">
        <v>89.953002929999997</v>
      </c>
      <c r="E1845">
        <v>30</v>
      </c>
      <c r="F1845">
        <v>28.666217803999999</v>
      </c>
      <c r="G1845">
        <v>1380.3818358999999</v>
      </c>
      <c r="H1845">
        <v>1367.5684814000001</v>
      </c>
      <c r="I1845">
        <v>1272.2475586</v>
      </c>
      <c r="J1845">
        <v>1244.0594481999999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1159.8901969999999</v>
      </c>
      <c r="B1846" s="1">
        <f>DATE(2013,7,3) + TIME(21,21,52)</f>
        <v>41458.890185185184</v>
      </c>
      <c r="C1846">
        <v>90</v>
      </c>
      <c r="D1846">
        <v>89.952995299999998</v>
      </c>
      <c r="E1846">
        <v>30</v>
      </c>
      <c r="F1846">
        <v>28.655063629000001</v>
      </c>
      <c r="G1846">
        <v>1380.3254394999999</v>
      </c>
      <c r="H1846">
        <v>1367.5223389</v>
      </c>
      <c r="I1846">
        <v>1272.2485352000001</v>
      </c>
      <c r="J1846">
        <v>1244.0493164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1160.872079</v>
      </c>
      <c r="B1847" s="1">
        <f>DATE(2013,7,4) + TIME(20,55,47)</f>
        <v>41459.872071759259</v>
      </c>
      <c r="C1847">
        <v>90</v>
      </c>
      <c r="D1847">
        <v>89.952995299999998</v>
      </c>
      <c r="E1847">
        <v>30</v>
      </c>
      <c r="F1847">
        <v>28.644147873000001</v>
      </c>
      <c r="G1847">
        <v>1380.269043</v>
      </c>
      <c r="H1847">
        <v>1367.4760742000001</v>
      </c>
      <c r="I1847">
        <v>1272.2496338000001</v>
      </c>
      <c r="J1847">
        <v>1244.0390625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1161.866759</v>
      </c>
      <c r="B1848" s="1">
        <f>DATE(2013,7,5) + TIME(20,48,8)</f>
        <v>41460.866759259261</v>
      </c>
      <c r="C1848">
        <v>90</v>
      </c>
      <c r="D1848">
        <v>89.952987671000002</v>
      </c>
      <c r="E1848">
        <v>30</v>
      </c>
      <c r="F1848">
        <v>28.633550644</v>
      </c>
      <c r="G1848">
        <v>1380.2126464999999</v>
      </c>
      <c r="H1848">
        <v>1367.4298096</v>
      </c>
      <c r="I1848">
        <v>1272.2508545000001</v>
      </c>
      <c r="J1848">
        <v>1244.0286865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1162.8757860000001</v>
      </c>
      <c r="B1849" s="1">
        <f>DATE(2013,7,6) + TIME(21,1,7)</f>
        <v>41461.875775462962</v>
      </c>
      <c r="C1849">
        <v>90</v>
      </c>
      <c r="D1849">
        <v>89.952987671000002</v>
      </c>
      <c r="E1849">
        <v>30</v>
      </c>
      <c r="F1849">
        <v>28.623332977</v>
      </c>
      <c r="G1849">
        <v>1380.1561279</v>
      </c>
      <c r="H1849">
        <v>1367.3833007999999</v>
      </c>
      <c r="I1849">
        <v>1272.2521973</v>
      </c>
      <c r="J1849">
        <v>1244.0180664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1163.899991</v>
      </c>
      <c r="B1850" s="1">
        <f>DATE(2013,7,7) + TIME(21,35,59)</f>
        <v>41462.899988425925</v>
      </c>
      <c r="C1850">
        <v>90</v>
      </c>
      <c r="D1850">
        <v>89.952980041999993</v>
      </c>
      <c r="E1850">
        <v>30</v>
      </c>
      <c r="F1850">
        <v>28.613540649000001</v>
      </c>
      <c r="G1850">
        <v>1380.0992432</v>
      </c>
      <c r="H1850">
        <v>1367.3365478999999</v>
      </c>
      <c r="I1850">
        <v>1272.2536620999999</v>
      </c>
      <c r="J1850">
        <v>1244.0073242000001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1164.938001</v>
      </c>
      <c r="B1851" s="1">
        <f>DATE(2013,7,8) + TIME(22,30,43)</f>
        <v>41463.937997685185</v>
      </c>
      <c r="C1851">
        <v>90</v>
      </c>
      <c r="D1851">
        <v>89.952980041999993</v>
      </c>
      <c r="E1851">
        <v>30</v>
      </c>
      <c r="F1851">
        <v>28.604234694999999</v>
      </c>
      <c r="G1851">
        <v>1380.0421143000001</v>
      </c>
      <c r="H1851">
        <v>1367.2894286999999</v>
      </c>
      <c r="I1851">
        <v>1272.2553711</v>
      </c>
      <c r="J1851">
        <v>1243.9964600000001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1165.991841</v>
      </c>
      <c r="B1852" s="1">
        <f>DATE(2013,7,9) + TIME(23,48,15)</f>
        <v>41464.991840277777</v>
      </c>
      <c r="C1852">
        <v>90</v>
      </c>
      <c r="D1852">
        <v>89.952972411999994</v>
      </c>
      <c r="E1852">
        <v>30</v>
      </c>
      <c r="F1852">
        <v>28.595470427999999</v>
      </c>
      <c r="G1852">
        <v>1379.9847411999999</v>
      </c>
      <c r="H1852">
        <v>1367.2420654</v>
      </c>
      <c r="I1852">
        <v>1272.2573242000001</v>
      </c>
      <c r="J1852">
        <v>1243.9854736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1167.0635830000001</v>
      </c>
      <c r="B1853" s="1">
        <f>DATE(2013,7,11) + TIME(1,31,33)</f>
        <v>41466.063576388886</v>
      </c>
      <c r="C1853">
        <v>90</v>
      </c>
      <c r="D1853">
        <v>89.952972411999994</v>
      </c>
      <c r="E1853">
        <v>30</v>
      </c>
      <c r="F1853">
        <v>28.587299346999998</v>
      </c>
      <c r="G1853">
        <v>1379.927124</v>
      </c>
      <c r="H1853">
        <v>1367.1943358999999</v>
      </c>
      <c r="I1853">
        <v>1272.2593993999999</v>
      </c>
      <c r="J1853">
        <v>1243.9744873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1168.155696</v>
      </c>
      <c r="B1854" s="1">
        <f>DATE(2013,7,12) + TIME(3,44,12)</f>
        <v>41467.155694444446</v>
      </c>
      <c r="C1854">
        <v>90</v>
      </c>
      <c r="D1854">
        <v>89.952972411999994</v>
      </c>
      <c r="E1854">
        <v>30</v>
      </c>
      <c r="F1854">
        <v>28.579780579000001</v>
      </c>
      <c r="G1854">
        <v>1379.8690185999999</v>
      </c>
      <c r="H1854">
        <v>1367.1462402</v>
      </c>
      <c r="I1854">
        <v>1272.2618408000001</v>
      </c>
      <c r="J1854">
        <v>1243.9632568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1169.2655689999999</v>
      </c>
      <c r="B1855" s="1">
        <f>DATE(2013,7,13) + TIME(6,22,25)</f>
        <v>41468.265567129631</v>
      </c>
      <c r="C1855">
        <v>90</v>
      </c>
      <c r="D1855">
        <v>89.952972411999994</v>
      </c>
      <c r="E1855">
        <v>30</v>
      </c>
      <c r="F1855">
        <v>28.572996140000001</v>
      </c>
      <c r="G1855">
        <v>1379.8104248</v>
      </c>
      <c r="H1855">
        <v>1367.0976562000001</v>
      </c>
      <c r="I1855">
        <v>1272.2645264</v>
      </c>
      <c r="J1855">
        <v>1243.9520264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1170.3794350000001</v>
      </c>
      <c r="B1856" s="1">
        <f>DATE(2013,7,14) + TIME(9,6,23)</f>
        <v>41469.379432870373</v>
      </c>
      <c r="C1856">
        <v>90</v>
      </c>
      <c r="D1856">
        <v>89.952964782999999</v>
      </c>
      <c r="E1856">
        <v>30</v>
      </c>
      <c r="F1856">
        <v>28.567066192999999</v>
      </c>
      <c r="G1856">
        <v>1379.7513428</v>
      </c>
      <c r="H1856">
        <v>1367.0485839999999</v>
      </c>
      <c r="I1856">
        <v>1272.2674560999999</v>
      </c>
      <c r="J1856">
        <v>1243.9407959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1171.4979089999999</v>
      </c>
      <c r="B1857" s="1">
        <f>DATE(2013,7,15) + TIME(11,56,59)</f>
        <v>41470.49790509259</v>
      </c>
      <c r="C1857">
        <v>90</v>
      </c>
      <c r="D1857">
        <v>89.952964782999999</v>
      </c>
      <c r="E1857">
        <v>30</v>
      </c>
      <c r="F1857">
        <v>28.562086104999999</v>
      </c>
      <c r="G1857">
        <v>1379.6926269999999</v>
      </c>
      <c r="H1857">
        <v>1366.9997559000001</v>
      </c>
      <c r="I1857">
        <v>1272.2707519999999</v>
      </c>
      <c r="J1857">
        <v>1243.9298096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1172.623188</v>
      </c>
      <c r="B1858" s="1">
        <f>DATE(2013,7,16) + TIME(14,57,23)</f>
        <v>41471.623182870368</v>
      </c>
      <c r="C1858">
        <v>90</v>
      </c>
      <c r="D1858">
        <v>89.952964782999999</v>
      </c>
      <c r="E1858">
        <v>30</v>
      </c>
      <c r="F1858">
        <v>28.558128357000001</v>
      </c>
      <c r="G1858">
        <v>1379.6342772999999</v>
      </c>
      <c r="H1858">
        <v>1366.9511719</v>
      </c>
      <c r="I1858">
        <v>1272.2744141000001</v>
      </c>
      <c r="J1858">
        <v>1243.9188231999999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1173.757472</v>
      </c>
      <c r="B1859" s="1">
        <f>DATE(2013,7,17) + TIME(18,10,45)</f>
        <v>41472.757465277777</v>
      </c>
      <c r="C1859">
        <v>90</v>
      </c>
      <c r="D1859">
        <v>89.952964782999999</v>
      </c>
      <c r="E1859">
        <v>30</v>
      </c>
      <c r="F1859">
        <v>28.555265426999998</v>
      </c>
      <c r="G1859">
        <v>1379.5760498</v>
      </c>
      <c r="H1859">
        <v>1366.9025879000001</v>
      </c>
      <c r="I1859">
        <v>1272.2783202999999</v>
      </c>
      <c r="J1859">
        <v>1243.9082031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1174.9030359999999</v>
      </c>
      <c r="B1860" s="1">
        <f>DATE(2013,7,18) + TIME(21,40,22)</f>
        <v>41473.903032407405</v>
      </c>
      <c r="C1860">
        <v>90</v>
      </c>
      <c r="D1860">
        <v>89.952972411999994</v>
      </c>
      <c r="E1860">
        <v>30</v>
      </c>
      <c r="F1860">
        <v>28.553575515999999</v>
      </c>
      <c r="G1860">
        <v>1379.5178223</v>
      </c>
      <c r="H1860">
        <v>1366.8540039</v>
      </c>
      <c r="I1860">
        <v>1272.2825928</v>
      </c>
      <c r="J1860">
        <v>1243.8977050999999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1176.0583180000001</v>
      </c>
      <c r="B1861" s="1">
        <f>DATE(2013,7,20) + TIME(1,23,58)</f>
        <v>41475.058310185188</v>
      </c>
      <c r="C1861">
        <v>90</v>
      </c>
      <c r="D1861">
        <v>89.952972411999994</v>
      </c>
      <c r="E1861">
        <v>30</v>
      </c>
      <c r="F1861">
        <v>28.553150176999999</v>
      </c>
      <c r="G1861">
        <v>1379.4597168</v>
      </c>
      <c r="H1861">
        <v>1366.8052978999999</v>
      </c>
      <c r="I1861">
        <v>1272.2873535000001</v>
      </c>
      <c r="J1861">
        <v>1243.8874512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1177.2244209999999</v>
      </c>
      <c r="B1862" s="1">
        <f>DATE(2013,7,21) + TIME(5,23,10)</f>
        <v>41476.224421296298</v>
      </c>
      <c r="C1862">
        <v>90</v>
      </c>
      <c r="D1862">
        <v>89.952972411999994</v>
      </c>
      <c r="E1862">
        <v>30</v>
      </c>
      <c r="F1862">
        <v>28.554084778</v>
      </c>
      <c r="G1862">
        <v>1379.4014893000001</v>
      </c>
      <c r="H1862">
        <v>1366.7565918</v>
      </c>
      <c r="I1862">
        <v>1272.2926024999999</v>
      </c>
      <c r="J1862">
        <v>1243.8775635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1178.4036060000001</v>
      </c>
      <c r="B1863" s="1">
        <f>DATE(2013,7,22) + TIME(9,41,11)</f>
        <v>41477.403599537036</v>
      </c>
      <c r="C1863">
        <v>90</v>
      </c>
      <c r="D1863">
        <v>89.952972411999994</v>
      </c>
      <c r="E1863">
        <v>30</v>
      </c>
      <c r="F1863">
        <v>28.556484222000002</v>
      </c>
      <c r="G1863">
        <v>1379.3432617000001</v>
      </c>
      <c r="H1863">
        <v>1366.7077637</v>
      </c>
      <c r="I1863">
        <v>1272.2982178</v>
      </c>
      <c r="J1863">
        <v>1243.8681641000001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1179.5985800000001</v>
      </c>
      <c r="B1864" s="1">
        <f>DATE(2013,7,23) + TIME(14,21,57)</f>
        <v>41478.598576388889</v>
      </c>
      <c r="C1864">
        <v>90</v>
      </c>
      <c r="D1864">
        <v>89.952980041999993</v>
      </c>
      <c r="E1864">
        <v>30</v>
      </c>
      <c r="F1864">
        <v>28.560468673999999</v>
      </c>
      <c r="G1864">
        <v>1379.2849120999999</v>
      </c>
      <c r="H1864">
        <v>1366.6586914</v>
      </c>
      <c r="I1864">
        <v>1272.3044434000001</v>
      </c>
      <c r="J1864">
        <v>1243.8590088000001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1180.8121450000001</v>
      </c>
      <c r="B1865" s="1">
        <f>DATE(2013,7,24) + TIME(19,29,29)</f>
        <v>41479.812141203707</v>
      </c>
      <c r="C1865">
        <v>90</v>
      </c>
      <c r="D1865">
        <v>89.952980041999993</v>
      </c>
      <c r="E1865">
        <v>30</v>
      </c>
      <c r="F1865">
        <v>28.566181183000001</v>
      </c>
      <c r="G1865">
        <v>1379.2263184000001</v>
      </c>
      <c r="H1865">
        <v>1366.609375</v>
      </c>
      <c r="I1865">
        <v>1272.3112793</v>
      </c>
      <c r="J1865">
        <v>1243.8503418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1182.0465280000001</v>
      </c>
      <c r="B1866" s="1">
        <f>DATE(2013,7,26) + TIME(1,6,59)</f>
        <v>41481.046516203707</v>
      </c>
      <c r="C1866">
        <v>90</v>
      </c>
      <c r="D1866">
        <v>89.952987671000002</v>
      </c>
      <c r="E1866">
        <v>30</v>
      </c>
      <c r="F1866">
        <v>28.573789597000001</v>
      </c>
      <c r="G1866">
        <v>1379.1672363</v>
      </c>
      <c r="H1866">
        <v>1366.5595702999999</v>
      </c>
      <c r="I1866">
        <v>1272.3188477000001</v>
      </c>
      <c r="J1866">
        <v>1243.8422852000001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1183.3009529999999</v>
      </c>
      <c r="B1867" s="1">
        <f>DATE(2013,7,27) + TIME(7,13,22)</f>
        <v>41482.300949074073</v>
      </c>
      <c r="C1867">
        <v>90</v>
      </c>
      <c r="D1867">
        <v>89.952987671000002</v>
      </c>
      <c r="E1867">
        <v>30</v>
      </c>
      <c r="F1867">
        <v>28.583473206000001</v>
      </c>
      <c r="G1867">
        <v>1379.1076660000001</v>
      </c>
      <c r="H1867">
        <v>1366.5093993999999</v>
      </c>
      <c r="I1867">
        <v>1272.3270264</v>
      </c>
      <c r="J1867">
        <v>1243.8348389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1184.5714869999999</v>
      </c>
      <c r="B1868" s="1">
        <f>DATE(2013,7,28) + TIME(13,42,56)</f>
        <v>41483.571481481478</v>
      </c>
      <c r="C1868">
        <v>90</v>
      </c>
      <c r="D1868">
        <v>89.952995299999998</v>
      </c>
      <c r="E1868">
        <v>30</v>
      </c>
      <c r="F1868">
        <v>28.595407485999999</v>
      </c>
      <c r="G1868">
        <v>1379.0477295000001</v>
      </c>
      <c r="H1868">
        <v>1366.4586182</v>
      </c>
      <c r="I1868">
        <v>1272.3360596</v>
      </c>
      <c r="J1868">
        <v>1243.828125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1185.8610619999999</v>
      </c>
      <c r="B1869" s="1">
        <f>DATE(2013,7,29) + TIME(20,39,55)</f>
        <v>41484.86105324074</v>
      </c>
      <c r="C1869">
        <v>90</v>
      </c>
      <c r="D1869">
        <v>89.953002929999997</v>
      </c>
      <c r="E1869">
        <v>30</v>
      </c>
      <c r="F1869">
        <v>28.609788895000001</v>
      </c>
      <c r="G1869">
        <v>1378.9874268000001</v>
      </c>
      <c r="H1869">
        <v>1366.4075928</v>
      </c>
      <c r="I1869">
        <v>1272.3458252</v>
      </c>
      <c r="J1869">
        <v>1243.8221435999999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1187.1611359999999</v>
      </c>
      <c r="B1870" s="1">
        <f>DATE(2013,7,31) + TIME(3,52,2)</f>
        <v>41486.161134259259</v>
      </c>
      <c r="C1870">
        <v>90</v>
      </c>
      <c r="D1870">
        <v>89.953010559000006</v>
      </c>
      <c r="E1870">
        <v>30</v>
      </c>
      <c r="F1870">
        <v>28.626787186000001</v>
      </c>
      <c r="G1870">
        <v>1378.9267577999999</v>
      </c>
      <c r="H1870">
        <v>1366.3562012</v>
      </c>
      <c r="I1870">
        <v>1272.3565673999999</v>
      </c>
      <c r="J1870">
        <v>1243.8172606999999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1188</v>
      </c>
      <c r="B1871" s="1">
        <f>DATE(2013,8,1) + TIME(0,0,0)</f>
        <v>41487</v>
      </c>
      <c r="C1871">
        <v>90</v>
      </c>
      <c r="D1871">
        <v>89.953002929999997</v>
      </c>
      <c r="E1871">
        <v>30</v>
      </c>
      <c r="F1871">
        <v>28.642963409</v>
      </c>
      <c r="G1871">
        <v>1378.8662108999999</v>
      </c>
      <c r="H1871">
        <v>1366.3046875</v>
      </c>
      <c r="I1871">
        <v>1272.3703613</v>
      </c>
      <c r="J1871">
        <v>1243.8150635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1189.308788</v>
      </c>
      <c r="B1872" s="1">
        <f>DATE(2013,8,2) + TIME(7,24,39)</f>
        <v>41488.30878472222</v>
      </c>
      <c r="C1872">
        <v>90</v>
      </c>
      <c r="D1872">
        <v>89.953018188000001</v>
      </c>
      <c r="E1872">
        <v>30</v>
      </c>
      <c r="F1872">
        <v>28.662446975999998</v>
      </c>
      <c r="G1872">
        <v>1378.8271483999999</v>
      </c>
      <c r="H1872">
        <v>1366.2714844</v>
      </c>
      <c r="I1872">
        <v>1272.3753661999999</v>
      </c>
      <c r="J1872">
        <v>1243.8110352000001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1190.6276580000001</v>
      </c>
      <c r="B1873" s="1">
        <f>DATE(2013,8,3) + TIME(15,3,49)</f>
        <v>41489.627650462964</v>
      </c>
      <c r="C1873">
        <v>90</v>
      </c>
      <c r="D1873">
        <v>89.953025818</v>
      </c>
      <c r="E1873">
        <v>30</v>
      </c>
      <c r="F1873">
        <v>28.68621254</v>
      </c>
      <c r="G1873">
        <v>1378.7670897999999</v>
      </c>
      <c r="H1873">
        <v>1366.2203368999999</v>
      </c>
      <c r="I1873">
        <v>1272.3890381000001</v>
      </c>
      <c r="J1873">
        <v>1243.8096923999999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1191.956449</v>
      </c>
      <c r="B1874" s="1">
        <f>DATE(2013,8,4) + TIME(22,57,17)</f>
        <v>41490.956446759257</v>
      </c>
      <c r="C1874">
        <v>90</v>
      </c>
      <c r="D1874">
        <v>89.953033446999996</v>
      </c>
      <c r="E1874">
        <v>30</v>
      </c>
      <c r="F1874">
        <v>28.713712692000001</v>
      </c>
      <c r="G1874">
        <v>1378.7069091999999</v>
      </c>
      <c r="H1874">
        <v>1366.1690673999999</v>
      </c>
      <c r="I1874">
        <v>1272.4034423999999</v>
      </c>
      <c r="J1874">
        <v>1243.8095702999999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1193.29784</v>
      </c>
      <c r="B1875" s="1">
        <f>DATE(2013,8,6) + TIME(7,8,53)</f>
        <v>41492.297835648147</v>
      </c>
      <c r="C1875">
        <v>90</v>
      </c>
      <c r="D1875">
        <v>89.953041076999995</v>
      </c>
      <c r="E1875">
        <v>30</v>
      </c>
      <c r="F1875">
        <v>28.744886397999998</v>
      </c>
      <c r="G1875">
        <v>1378.6467285000001</v>
      </c>
      <c r="H1875">
        <v>1366.1176757999999</v>
      </c>
      <c r="I1875">
        <v>1272.4187012</v>
      </c>
      <c r="J1875">
        <v>1243.8107910000001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1194.654526</v>
      </c>
      <c r="B1876" s="1">
        <f>DATE(2013,8,7) + TIME(15,42,31)</f>
        <v>41493.65452546296</v>
      </c>
      <c r="C1876">
        <v>90</v>
      </c>
      <c r="D1876">
        <v>89.953048706000004</v>
      </c>
      <c r="E1876">
        <v>30</v>
      </c>
      <c r="F1876">
        <v>28.779895782000001</v>
      </c>
      <c r="G1876">
        <v>1378.5864257999999</v>
      </c>
      <c r="H1876">
        <v>1366.0660399999999</v>
      </c>
      <c r="I1876">
        <v>1272.4351807</v>
      </c>
      <c r="J1876">
        <v>1243.8137207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1196.0293369999999</v>
      </c>
      <c r="B1877" s="1">
        <f>DATE(2013,8,9) + TIME(0,42,14)</f>
        <v>41495.029328703706</v>
      </c>
      <c r="C1877">
        <v>90</v>
      </c>
      <c r="D1877">
        <v>89.953063964999998</v>
      </c>
      <c r="E1877">
        <v>30</v>
      </c>
      <c r="F1877">
        <v>28.819028853999999</v>
      </c>
      <c r="G1877">
        <v>1378.5258789</v>
      </c>
      <c r="H1877">
        <v>1366.0142822</v>
      </c>
      <c r="I1877">
        <v>1272.4528809000001</v>
      </c>
      <c r="J1877">
        <v>1243.8183594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1197.4260870000001</v>
      </c>
      <c r="B1878" s="1">
        <f>DATE(2013,8,10) + TIME(10,13,33)</f>
        <v>41496.426076388889</v>
      </c>
      <c r="C1878">
        <v>90</v>
      </c>
      <c r="D1878">
        <v>89.953071593999994</v>
      </c>
      <c r="E1878">
        <v>30</v>
      </c>
      <c r="F1878">
        <v>28.862661362000001</v>
      </c>
      <c r="G1878">
        <v>1378.4649658000001</v>
      </c>
      <c r="H1878">
        <v>1365.9620361</v>
      </c>
      <c r="I1878">
        <v>1272.4720459</v>
      </c>
      <c r="J1878">
        <v>1243.8251952999999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1198.8394049999999</v>
      </c>
      <c r="B1879" s="1">
        <f>DATE(2013,8,11) + TIME(20,8,44)</f>
        <v>41497.839398148149</v>
      </c>
      <c r="C1879">
        <v>90</v>
      </c>
      <c r="D1879">
        <v>89.953086853000002</v>
      </c>
      <c r="E1879">
        <v>30</v>
      </c>
      <c r="F1879">
        <v>28.911128997999999</v>
      </c>
      <c r="G1879">
        <v>1378.4036865</v>
      </c>
      <c r="H1879">
        <v>1365.9093018000001</v>
      </c>
      <c r="I1879">
        <v>1272.4927978999999</v>
      </c>
      <c r="J1879">
        <v>1243.8342285000001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1200.2717560000001</v>
      </c>
      <c r="B1880" s="1">
        <f>DATE(2013,8,13) + TIME(6,31,19)</f>
        <v>41499.271747685183</v>
      </c>
      <c r="C1880">
        <v>90</v>
      </c>
      <c r="D1880">
        <v>89.953094481999997</v>
      </c>
      <c r="E1880">
        <v>30</v>
      </c>
      <c r="F1880">
        <v>28.964776993000001</v>
      </c>
      <c r="G1880">
        <v>1378.3420410000001</v>
      </c>
      <c r="H1880">
        <v>1365.8563231999999</v>
      </c>
      <c r="I1880">
        <v>1272.5151367000001</v>
      </c>
      <c r="J1880">
        <v>1243.8457031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1201.7247850000001</v>
      </c>
      <c r="B1881" s="1">
        <f>DATE(2013,8,14) + TIME(17,23,41)</f>
        <v>41500.724780092591</v>
      </c>
      <c r="C1881">
        <v>90</v>
      </c>
      <c r="D1881">
        <v>89.953109741000006</v>
      </c>
      <c r="E1881">
        <v>30</v>
      </c>
      <c r="F1881">
        <v>29.024032593000001</v>
      </c>
      <c r="G1881">
        <v>1378.2800293</v>
      </c>
      <c r="H1881">
        <v>1365.8028564000001</v>
      </c>
      <c r="I1881">
        <v>1272.5390625</v>
      </c>
      <c r="J1881">
        <v>1243.8598632999999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1203.195129</v>
      </c>
      <c r="B1882" s="1">
        <f>DATE(2013,8,16) + TIME(4,40,59)</f>
        <v>41502.195127314815</v>
      </c>
      <c r="C1882">
        <v>90</v>
      </c>
      <c r="D1882">
        <v>89.953117371000005</v>
      </c>
      <c r="E1882">
        <v>30</v>
      </c>
      <c r="F1882">
        <v>29.08930397</v>
      </c>
      <c r="G1882">
        <v>1378.2176514</v>
      </c>
      <c r="H1882">
        <v>1365.7490233999999</v>
      </c>
      <c r="I1882">
        <v>1272.5650635</v>
      </c>
      <c r="J1882">
        <v>1243.8769531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1204.6860039999999</v>
      </c>
      <c r="B1883" s="1">
        <f>DATE(2013,8,17) + TIME(16,27,50)</f>
        <v>41503.685995370368</v>
      </c>
      <c r="C1883">
        <v>90</v>
      </c>
      <c r="D1883">
        <v>89.953132628999995</v>
      </c>
      <c r="E1883">
        <v>30</v>
      </c>
      <c r="F1883">
        <v>29.161033629999999</v>
      </c>
      <c r="G1883">
        <v>1378.1550293</v>
      </c>
      <c r="H1883">
        <v>1365.6948242000001</v>
      </c>
      <c r="I1883">
        <v>1272.5927733999999</v>
      </c>
      <c r="J1883">
        <v>1243.8973389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1206.1969389999999</v>
      </c>
      <c r="B1884" s="1">
        <f>DATE(2013,8,19) + TIME(4,43,35)</f>
        <v>41505.196932870371</v>
      </c>
      <c r="C1884">
        <v>90</v>
      </c>
      <c r="D1884">
        <v>89.953147888000004</v>
      </c>
      <c r="E1884">
        <v>30</v>
      </c>
      <c r="F1884">
        <v>29.239732742000001</v>
      </c>
      <c r="G1884">
        <v>1378.0919189000001</v>
      </c>
      <c r="H1884">
        <v>1365.6401367000001</v>
      </c>
      <c r="I1884">
        <v>1272.6226807</v>
      </c>
      <c r="J1884">
        <v>1243.9211425999999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1207.712168</v>
      </c>
      <c r="B1885" s="1">
        <f>DATE(2013,8,20) + TIME(17,5,31)</f>
        <v>41506.712164351855</v>
      </c>
      <c r="C1885">
        <v>90</v>
      </c>
      <c r="D1885">
        <v>89.953163146999998</v>
      </c>
      <c r="E1885">
        <v>30</v>
      </c>
      <c r="F1885">
        <v>29.325599669999999</v>
      </c>
      <c r="G1885">
        <v>1378.0284423999999</v>
      </c>
      <c r="H1885">
        <v>1365.5850829999999</v>
      </c>
      <c r="I1885">
        <v>1272.6547852000001</v>
      </c>
      <c r="J1885">
        <v>1243.9487305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1209.235138</v>
      </c>
      <c r="B1886" s="1">
        <f>DATE(2013,8,22) + TIME(5,38,35)</f>
        <v>41508.235127314816</v>
      </c>
      <c r="C1886">
        <v>90</v>
      </c>
      <c r="D1886">
        <v>89.953170775999993</v>
      </c>
      <c r="E1886">
        <v>30</v>
      </c>
      <c r="F1886">
        <v>29.418760299999999</v>
      </c>
      <c r="G1886">
        <v>1377.9652100000001</v>
      </c>
      <c r="H1886">
        <v>1365.5301514</v>
      </c>
      <c r="I1886">
        <v>1272.6888428</v>
      </c>
      <c r="J1886">
        <v>1243.9801024999999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1210.771585</v>
      </c>
      <c r="B1887" s="1">
        <f>DATE(2013,8,23) + TIME(18,31,4)</f>
        <v>41509.771574074075</v>
      </c>
      <c r="C1887">
        <v>90</v>
      </c>
      <c r="D1887">
        <v>89.953186035000002</v>
      </c>
      <c r="E1887">
        <v>30</v>
      </c>
      <c r="F1887">
        <v>29.519706725999999</v>
      </c>
      <c r="G1887">
        <v>1377.9020995999999</v>
      </c>
      <c r="H1887">
        <v>1365.4752197</v>
      </c>
      <c r="I1887">
        <v>1272.7249756000001</v>
      </c>
      <c r="J1887">
        <v>1244.015625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1212.319747</v>
      </c>
      <c r="B1888" s="1">
        <f>DATE(2013,8,25) + TIME(7,40,26)</f>
        <v>41511.319745370369</v>
      </c>
      <c r="C1888">
        <v>90</v>
      </c>
      <c r="D1888">
        <v>89.953201293999996</v>
      </c>
      <c r="E1888">
        <v>30</v>
      </c>
      <c r="F1888">
        <v>29.628995894999999</v>
      </c>
      <c r="G1888">
        <v>1377.8388672000001</v>
      </c>
      <c r="H1888">
        <v>1365.4201660000001</v>
      </c>
      <c r="I1888">
        <v>1272.7634277</v>
      </c>
      <c r="J1888">
        <v>1244.0556641000001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1213.8829350000001</v>
      </c>
      <c r="B1889" s="1">
        <f>DATE(2013,8,26) + TIME(21,11,25)</f>
        <v>41512.882928240739</v>
      </c>
      <c r="C1889">
        <v>90</v>
      </c>
      <c r="D1889">
        <v>89.953224182</v>
      </c>
      <c r="E1889">
        <v>30</v>
      </c>
      <c r="F1889">
        <v>29.747200012</v>
      </c>
      <c r="G1889">
        <v>1377.7756348</v>
      </c>
      <c r="H1889">
        <v>1365.3649902</v>
      </c>
      <c r="I1889">
        <v>1272.8041992000001</v>
      </c>
      <c r="J1889">
        <v>1244.1003418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1215.4652169999999</v>
      </c>
      <c r="B1890" s="1">
        <f>DATE(2013,8,28) + TIME(11,9,54)</f>
        <v>41514.465208333335</v>
      </c>
      <c r="C1890">
        <v>90</v>
      </c>
      <c r="D1890">
        <v>89.953239440999994</v>
      </c>
      <c r="E1890">
        <v>30</v>
      </c>
      <c r="F1890">
        <v>29.875072479</v>
      </c>
      <c r="G1890">
        <v>1377.7122803</v>
      </c>
      <c r="H1890">
        <v>1365.3095702999999</v>
      </c>
      <c r="I1890">
        <v>1272.8476562000001</v>
      </c>
      <c r="J1890">
        <v>1244.1502685999999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1217.0638409999999</v>
      </c>
      <c r="B1891" s="1">
        <f>DATE(2013,8,30) + TIME(1,31,55)</f>
        <v>41516.063831018517</v>
      </c>
      <c r="C1891">
        <v>90</v>
      </c>
      <c r="D1891">
        <v>89.953254700000002</v>
      </c>
      <c r="E1891">
        <v>30</v>
      </c>
      <c r="F1891">
        <v>30.01332283</v>
      </c>
      <c r="G1891">
        <v>1377.6484375</v>
      </c>
      <c r="H1891">
        <v>1365.2536620999999</v>
      </c>
      <c r="I1891">
        <v>1272.8937988</v>
      </c>
      <c r="J1891">
        <v>1244.2058105000001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1218.678484</v>
      </c>
      <c r="B1892" s="1">
        <f>DATE(2013,8,31) + TIME(16,17,1)</f>
        <v>41517.678483796299</v>
      </c>
      <c r="C1892">
        <v>90</v>
      </c>
      <c r="D1892">
        <v>89.953269958000007</v>
      </c>
      <c r="E1892">
        <v>30</v>
      </c>
      <c r="F1892">
        <v>30.16258049</v>
      </c>
      <c r="G1892">
        <v>1377.5844727000001</v>
      </c>
      <c r="H1892">
        <v>1365.1976318</v>
      </c>
      <c r="I1892">
        <v>1272.9428711</v>
      </c>
      <c r="J1892">
        <v>1244.2672118999999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1219</v>
      </c>
      <c r="B1893" s="1">
        <f>DATE(2013,9,1) + TIME(0,0,0)</f>
        <v>41518</v>
      </c>
      <c r="C1893">
        <v>90</v>
      </c>
      <c r="D1893">
        <v>89.953262328999998</v>
      </c>
      <c r="E1893">
        <v>30</v>
      </c>
      <c r="F1893">
        <v>30.230546951000001</v>
      </c>
      <c r="G1893">
        <v>1377.5218506000001</v>
      </c>
      <c r="H1893">
        <v>1365.1428223</v>
      </c>
      <c r="I1893">
        <v>1273.0224608999999</v>
      </c>
      <c r="J1893">
        <v>1244.3265381000001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1220.6342589999999</v>
      </c>
      <c r="B1894" s="1">
        <f>DATE(2013,9,2) + TIME(15,13,19)</f>
        <v>41519.634247685186</v>
      </c>
      <c r="C1894">
        <v>90</v>
      </c>
      <c r="D1894">
        <v>89.953292847</v>
      </c>
      <c r="E1894">
        <v>30</v>
      </c>
      <c r="F1894">
        <v>30.369655608999999</v>
      </c>
      <c r="G1894">
        <v>1377.5072021000001</v>
      </c>
      <c r="H1894">
        <v>1365.1296387</v>
      </c>
      <c r="I1894">
        <v>1273.0024414</v>
      </c>
      <c r="J1894">
        <v>1244.3514404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1221.4575809999999</v>
      </c>
      <c r="B1895" s="1">
        <f>DATE(2013,9,3) + TIME(10,58,55)</f>
        <v>41520.45758101852</v>
      </c>
      <c r="C1895">
        <v>90</v>
      </c>
      <c r="D1895">
        <v>89.953292847</v>
      </c>
      <c r="E1895">
        <v>30</v>
      </c>
      <c r="F1895">
        <v>30.495243073000001</v>
      </c>
      <c r="G1895">
        <v>1377.4432373</v>
      </c>
      <c r="H1895">
        <v>1365.0734863</v>
      </c>
      <c r="I1895">
        <v>1273.0726318</v>
      </c>
      <c r="J1895">
        <v>1244.421875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1222.9890620000001</v>
      </c>
      <c r="B1896" s="1">
        <f>DATE(2013,9,4) + TIME(23,44,14)</f>
        <v>41521.989050925928</v>
      </c>
      <c r="C1896">
        <v>90</v>
      </c>
      <c r="D1896">
        <v>89.953315735000004</v>
      </c>
      <c r="E1896">
        <v>30</v>
      </c>
      <c r="F1896">
        <v>30.639774323000001</v>
      </c>
      <c r="G1896">
        <v>1377.4105225000001</v>
      </c>
      <c r="H1896">
        <v>1365.0445557</v>
      </c>
      <c r="I1896">
        <v>1273.0875243999999</v>
      </c>
      <c r="J1896">
        <v>1244.4688721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1223.7960519999999</v>
      </c>
      <c r="B1897" s="1">
        <f>DATE(2013,9,5) + TIME(19,6,18)</f>
        <v>41522.796041666668</v>
      </c>
      <c r="C1897">
        <v>90</v>
      </c>
      <c r="D1897">
        <v>89.953323363999999</v>
      </c>
      <c r="E1897">
        <v>30</v>
      </c>
      <c r="F1897">
        <v>30.770324707</v>
      </c>
      <c r="G1897">
        <v>1377.3510742000001</v>
      </c>
      <c r="H1897">
        <v>1364.9921875</v>
      </c>
      <c r="I1897">
        <v>1273.1573486</v>
      </c>
      <c r="J1897">
        <v>1244.5429687999999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1225.317822</v>
      </c>
      <c r="B1898" s="1">
        <f>DATE(2013,9,7) + TIME(7,37,39)</f>
        <v>41524.317812499998</v>
      </c>
      <c r="C1898">
        <v>90</v>
      </c>
      <c r="D1898">
        <v>89.953346252000003</v>
      </c>
      <c r="E1898">
        <v>30</v>
      </c>
      <c r="F1898">
        <v>30.923458099000001</v>
      </c>
      <c r="G1898">
        <v>1377.3193358999999</v>
      </c>
      <c r="H1898">
        <v>1364.9641113</v>
      </c>
      <c r="I1898">
        <v>1273.1733397999999</v>
      </c>
      <c r="J1898">
        <v>1244.5947266000001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1226.9150729999999</v>
      </c>
      <c r="B1899" s="1">
        <f>DATE(2013,9,8) + TIME(21,57,42)</f>
        <v>41525.915069444447</v>
      </c>
      <c r="C1899">
        <v>90</v>
      </c>
      <c r="D1899">
        <v>89.953369140999996</v>
      </c>
      <c r="E1899">
        <v>30</v>
      </c>
      <c r="F1899">
        <v>31.11035347</v>
      </c>
      <c r="G1899">
        <v>1377.2607422000001</v>
      </c>
      <c r="H1899">
        <v>1364.9123535000001</v>
      </c>
      <c r="I1899">
        <v>1273.2341309000001</v>
      </c>
      <c r="J1899">
        <v>1244.6812743999999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1228.5213570000001</v>
      </c>
      <c r="B1900" s="1">
        <f>DATE(2013,9,10) + TIME(12,30,45)</f>
        <v>41527.521354166667</v>
      </c>
      <c r="C1900">
        <v>90</v>
      </c>
      <c r="D1900">
        <v>89.953384399000001</v>
      </c>
      <c r="E1900">
        <v>30</v>
      </c>
      <c r="F1900">
        <v>31.320446014000002</v>
      </c>
      <c r="G1900">
        <v>1377.1994629000001</v>
      </c>
      <c r="H1900">
        <v>1364.8580322</v>
      </c>
      <c r="I1900">
        <v>1273.2995605000001</v>
      </c>
      <c r="J1900">
        <v>1244.7791748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1230.1398770000001</v>
      </c>
      <c r="B1901" s="1">
        <f>DATE(2013,9,12) + TIME(3,21,25)</f>
        <v>41529.139872685184</v>
      </c>
      <c r="C1901">
        <v>90</v>
      </c>
      <c r="D1901">
        <v>89.953407287999994</v>
      </c>
      <c r="E1901">
        <v>30</v>
      </c>
      <c r="F1901">
        <v>31.547306061</v>
      </c>
      <c r="G1901">
        <v>1377.1380615</v>
      </c>
      <c r="H1901">
        <v>1364.8037108999999</v>
      </c>
      <c r="I1901">
        <v>1273.3670654</v>
      </c>
      <c r="J1901">
        <v>1244.8850098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1230.949392</v>
      </c>
      <c r="B1902" s="1">
        <f>DATE(2013,9,12) + TIME(22,47,7)</f>
        <v>41529.949386574073</v>
      </c>
      <c r="C1902">
        <v>90</v>
      </c>
      <c r="D1902">
        <v>89.953407287999994</v>
      </c>
      <c r="E1902">
        <v>30</v>
      </c>
      <c r="F1902">
        <v>31.728511810000001</v>
      </c>
      <c r="G1902">
        <v>1377.0769043</v>
      </c>
      <c r="H1902">
        <v>1364.7493896000001</v>
      </c>
      <c r="I1902">
        <v>1273.4536132999999</v>
      </c>
      <c r="J1902">
        <v>1244.9906006000001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1232.419146</v>
      </c>
      <c r="B1903" s="1">
        <f>DATE(2013,9,14) + TIME(10,3,34)</f>
        <v>41531.41914351852</v>
      </c>
      <c r="C1903">
        <v>90</v>
      </c>
      <c r="D1903">
        <v>89.953430175999998</v>
      </c>
      <c r="E1903">
        <v>30</v>
      </c>
      <c r="F1903">
        <v>31.929092406999999</v>
      </c>
      <c r="G1903">
        <v>1377.0457764</v>
      </c>
      <c r="H1903">
        <v>1364.7216797000001</v>
      </c>
      <c r="I1903">
        <v>1273.4713135</v>
      </c>
      <c r="J1903">
        <v>1245.0628661999999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1234.0043000000001</v>
      </c>
      <c r="B1904" s="1">
        <f>DATE(2013,9,16) + TIME(0,6,11)</f>
        <v>41533.004293981481</v>
      </c>
      <c r="C1904">
        <v>90</v>
      </c>
      <c r="D1904">
        <v>89.953453064000001</v>
      </c>
      <c r="E1904">
        <v>30</v>
      </c>
      <c r="F1904">
        <v>32.162807465</v>
      </c>
      <c r="G1904">
        <v>1376.9908447</v>
      </c>
      <c r="H1904">
        <v>1364.6728516000001</v>
      </c>
      <c r="I1904">
        <v>1273.5389404</v>
      </c>
      <c r="J1904">
        <v>1245.1746826000001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1235.594668</v>
      </c>
      <c r="B1905" s="1">
        <f>DATE(2013,9,17) + TIME(14,16,19)</f>
        <v>41534.594664351855</v>
      </c>
      <c r="C1905">
        <v>90</v>
      </c>
      <c r="D1905">
        <v>89.953475952000005</v>
      </c>
      <c r="E1905">
        <v>30</v>
      </c>
      <c r="F1905">
        <v>32.422698975000003</v>
      </c>
      <c r="G1905">
        <v>1376.9317627</v>
      </c>
      <c r="H1905">
        <v>1364.6202393000001</v>
      </c>
      <c r="I1905">
        <v>1273.6151123</v>
      </c>
      <c r="J1905">
        <v>1245.3015137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1237.195643</v>
      </c>
      <c r="B1906" s="1">
        <f>DATE(2013,9,19) + TIME(4,41,43)</f>
        <v>41536.195636574077</v>
      </c>
      <c r="C1906">
        <v>90</v>
      </c>
      <c r="D1906">
        <v>89.953498839999995</v>
      </c>
      <c r="E1906">
        <v>30</v>
      </c>
      <c r="F1906">
        <v>32.700275421000001</v>
      </c>
      <c r="G1906">
        <v>1376.8728027</v>
      </c>
      <c r="H1906">
        <v>1364.567749</v>
      </c>
      <c r="I1906">
        <v>1273.692749</v>
      </c>
      <c r="J1906">
        <v>1245.4367675999999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1237.996222</v>
      </c>
      <c r="B1907" s="1">
        <f>DATE(2013,9,19) + TIME(23,54,33)</f>
        <v>41536.996215277781</v>
      </c>
      <c r="C1907">
        <v>90</v>
      </c>
      <c r="D1907">
        <v>89.953498839999995</v>
      </c>
      <c r="E1907">
        <v>30</v>
      </c>
      <c r="F1907">
        <v>32.919914245999998</v>
      </c>
      <c r="G1907">
        <v>1376.8140868999999</v>
      </c>
      <c r="H1907">
        <v>1364.5153809000001</v>
      </c>
      <c r="I1907">
        <v>1273.7913818</v>
      </c>
      <c r="J1907">
        <v>1245.5687256000001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1239.435097</v>
      </c>
      <c r="B1908" s="1">
        <f>DATE(2013,9,21) + TIME(10,26,32)</f>
        <v>41538.43509259259</v>
      </c>
      <c r="C1908">
        <v>90</v>
      </c>
      <c r="D1908">
        <v>89.953521729000002</v>
      </c>
      <c r="E1908">
        <v>30</v>
      </c>
      <c r="F1908">
        <v>33.160167694000002</v>
      </c>
      <c r="G1908">
        <v>1376.7841797000001</v>
      </c>
      <c r="H1908">
        <v>1364.4886475000001</v>
      </c>
      <c r="I1908">
        <v>1273.8121338000001</v>
      </c>
      <c r="J1908">
        <v>1245.6602783000001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1241.0008439999999</v>
      </c>
      <c r="B1909" s="1">
        <f>DATE(2013,9,23) + TIME(0,1,12)</f>
        <v>41540.000833333332</v>
      </c>
      <c r="C1909">
        <v>90</v>
      </c>
      <c r="D1909">
        <v>89.953544617000006</v>
      </c>
      <c r="E1909">
        <v>30</v>
      </c>
      <c r="F1909">
        <v>33.437160491999997</v>
      </c>
      <c r="G1909">
        <v>1376.7319336</v>
      </c>
      <c r="H1909">
        <v>1364.4420166</v>
      </c>
      <c r="I1909">
        <v>1273.8874512</v>
      </c>
      <c r="J1909">
        <v>1245.7973632999999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1242.5769600000001</v>
      </c>
      <c r="B1910" s="1">
        <f>DATE(2013,9,24) + TIME(13,50,49)</f>
        <v>41541.576956018522</v>
      </c>
      <c r="C1910">
        <v>90</v>
      </c>
      <c r="D1910">
        <v>89.953567504999995</v>
      </c>
      <c r="E1910">
        <v>30</v>
      </c>
      <c r="F1910">
        <v>33.743438720999997</v>
      </c>
      <c r="G1910">
        <v>1376.6754149999999</v>
      </c>
      <c r="H1910">
        <v>1364.3913574000001</v>
      </c>
      <c r="I1910">
        <v>1273.9726562000001</v>
      </c>
      <c r="J1910">
        <v>1245.9517822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1244.1720330000001</v>
      </c>
      <c r="B1911" s="1">
        <f>DATE(2013,9,26) + TIME(4,7,43)</f>
        <v>41543.172025462962</v>
      </c>
      <c r="C1911">
        <v>90</v>
      </c>
      <c r="D1911">
        <v>89.953590392999999</v>
      </c>
      <c r="E1911">
        <v>30</v>
      </c>
      <c r="F1911">
        <v>34.068664550999998</v>
      </c>
      <c r="G1911">
        <v>1376.6187743999999</v>
      </c>
      <c r="H1911">
        <v>1364.3405762</v>
      </c>
      <c r="I1911">
        <v>1274.0594481999999</v>
      </c>
      <c r="J1911">
        <v>1246.1154785000001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1245.777133</v>
      </c>
      <c r="B1912" s="1">
        <f>DATE(2013,9,27) + TIME(18,39,4)</f>
        <v>41544.777129629627</v>
      </c>
      <c r="C1912">
        <v>90</v>
      </c>
      <c r="D1912">
        <v>89.953613281000003</v>
      </c>
      <c r="E1912">
        <v>30</v>
      </c>
      <c r="F1912">
        <v>34.409267426</v>
      </c>
      <c r="G1912">
        <v>1376.5618896000001</v>
      </c>
      <c r="H1912">
        <v>1364.2896728999999</v>
      </c>
      <c r="I1912">
        <v>1274.1491699000001</v>
      </c>
      <c r="J1912">
        <v>1246.2877197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1247.383505</v>
      </c>
      <c r="B1913" s="1">
        <f>DATE(2013,9,29) + TIME(9,12,14)</f>
        <v>41546.38349537037</v>
      </c>
      <c r="C1913">
        <v>90</v>
      </c>
      <c r="D1913">
        <v>89.953636169000006</v>
      </c>
      <c r="E1913">
        <v>30</v>
      </c>
      <c r="F1913">
        <v>34.762546538999999</v>
      </c>
      <c r="G1913">
        <v>1376.5050048999999</v>
      </c>
      <c r="H1913">
        <v>1364.2386475000001</v>
      </c>
      <c r="I1913">
        <v>1274.2415771000001</v>
      </c>
      <c r="J1913">
        <v>1246.4674072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1249</v>
      </c>
      <c r="B1914" s="1">
        <f>DATE(2013,10,1) + TIME(0,0,0)</f>
        <v>41548</v>
      </c>
      <c r="C1914">
        <v>90</v>
      </c>
      <c r="D1914">
        <v>89.953659058</v>
      </c>
      <c r="E1914">
        <v>30</v>
      </c>
      <c r="F1914">
        <v>35.127143859999997</v>
      </c>
      <c r="G1914">
        <v>1376.4487305</v>
      </c>
      <c r="H1914">
        <v>1364.1881103999999</v>
      </c>
      <c r="I1914">
        <v>1274.3356934000001</v>
      </c>
      <c r="J1914">
        <v>1246.6536865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1250.6158620000001</v>
      </c>
      <c r="B1915" s="1">
        <f>DATE(2013,10,2) + TIME(14,46,50)</f>
        <v>41549.615856481483</v>
      </c>
      <c r="C1915">
        <v>90</v>
      </c>
      <c r="D1915">
        <v>89.953681946000003</v>
      </c>
      <c r="E1915">
        <v>30</v>
      </c>
      <c r="F1915">
        <v>35.502124786000003</v>
      </c>
      <c r="G1915">
        <v>1376.3924560999999</v>
      </c>
      <c r="H1915">
        <v>1364.1375731999999</v>
      </c>
      <c r="I1915">
        <v>1274.4326172000001</v>
      </c>
      <c r="J1915">
        <v>1246.8466797000001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1252.2705699999999</v>
      </c>
      <c r="B1916" s="1">
        <f>DATE(2013,10,4) + TIME(6,29,37)</f>
        <v>41551.270567129628</v>
      </c>
      <c r="C1916">
        <v>90</v>
      </c>
      <c r="D1916">
        <v>89.953704834000007</v>
      </c>
      <c r="E1916">
        <v>30</v>
      </c>
      <c r="F1916">
        <v>35.888736725000001</v>
      </c>
      <c r="G1916">
        <v>1376.3366699000001</v>
      </c>
      <c r="H1916">
        <v>1364.0874022999999</v>
      </c>
      <c r="I1916">
        <v>1274.5306396000001</v>
      </c>
      <c r="J1916">
        <v>1247.0460204999999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1253.940155</v>
      </c>
      <c r="B1917" s="1">
        <f>DATE(2013,10,5) + TIME(22,33,49)</f>
        <v>41552.940150462964</v>
      </c>
      <c r="C1917">
        <v>90</v>
      </c>
      <c r="D1917">
        <v>89.953735351999995</v>
      </c>
      <c r="E1917">
        <v>30</v>
      </c>
      <c r="F1917">
        <v>36.288677216000004</v>
      </c>
      <c r="G1917">
        <v>1376.2801514</v>
      </c>
      <c r="H1917">
        <v>1364.036499</v>
      </c>
      <c r="I1917">
        <v>1274.6336670000001</v>
      </c>
      <c r="J1917">
        <v>1247.2547606999999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1255.6281690000001</v>
      </c>
      <c r="B1918" s="1">
        <f>DATE(2013,10,7) + TIME(15,4,33)</f>
        <v>41554.628159722219</v>
      </c>
      <c r="C1918">
        <v>90</v>
      </c>
      <c r="D1918">
        <v>89.953758239999999</v>
      </c>
      <c r="E1918">
        <v>30</v>
      </c>
      <c r="F1918">
        <v>36.700057983000001</v>
      </c>
      <c r="G1918">
        <v>1376.2236327999999</v>
      </c>
      <c r="H1918">
        <v>1363.9855957</v>
      </c>
      <c r="I1918">
        <v>1274.7392577999999</v>
      </c>
      <c r="J1918">
        <v>1247.4708252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1257.3410349999999</v>
      </c>
      <c r="B1919" s="1">
        <f>DATE(2013,10,9) + TIME(8,11,5)</f>
        <v>41556.34103009259</v>
      </c>
      <c r="C1919">
        <v>90</v>
      </c>
      <c r="D1919">
        <v>89.953781128000003</v>
      </c>
      <c r="E1919">
        <v>30</v>
      </c>
      <c r="F1919">
        <v>37.122493744000003</v>
      </c>
      <c r="G1919">
        <v>1376.1669922000001</v>
      </c>
      <c r="H1919">
        <v>1363.9346923999999</v>
      </c>
      <c r="I1919">
        <v>1274.8479004000001</v>
      </c>
      <c r="J1919">
        <v>1247.6943358999999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1259.0847550000001</v>
      </c>
      <c r="B1920" s="1">
        <f>DATE(2013,10,11) + TIME(2,2,2)</f>
        <v>41558.084745370368</v>
      </c>
      <c r="C1920">
        <v>90</v>
      </c>
      <c r="D1920">
        <v>89.953811646000005</v>
      </c>
      <c r="E1920">
        <v>30</v>
      </c>
      <c r="F1920">
        <v>37.556365966999998</v>
      </c>
      <c r="G1920">
        <v>1376.1102295000001</v>
      </c>
      <c r="H1920">
        <v>1363.8834228999999</v>
      </c>
      <c r="I1920">
        <v>1274.9598389</v>
      </c>
      <c r="J1920">
        <v>1247.9256591999999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1260.8651110000001</v>
      </c>
      <c r="B1921" s="1">
        <f>DATE(2013,10,12) + TIME(20,45,45)</f>
        <v>41559.865104166667</v>
      </c>
      <c r="C1921">
        <v>90</v>
      </c>
      <c r="D1921">
        <v>89.953834533999995</v>
      </c>
      <c r="E1921">
        <v>30</v>
      </c>
      <c r="F1921">
        <v>38.002170563</v>
      </c>
      <c r="G1921">
        <v>1376.0529785000001</v>
      </c>
      <c r="H1921">
        <v>1363.8317870999999</v>
      </c>
      <c r="I1921">
        <v>1275.0755615</v>
      </c>
      <c r="J1921">
        <v>1248.1654053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1262.6800780000001</v>
      </c>
      <c r="B1922" s="1">
        <f>DATE(2013,10,14) + TIME(16,19,18)</f>
        <v>41561.680069444446</v>
      </c>
      <c r="C1922">
        <v>90</v>
      </c>
      <c r="D1922">
        <v>89.953865050999994</v>
      </c>
      <c r="E1922">
        <v>30</v>
      </c>
      <c r="F1922">
        <v>38.459854126000003</v>
      </c>
      <c r="G1922">
        <v>1375.9952393000001</v>
      </c>
      <c r="H1922">
        <v>1363.7796631000001</v>
      </c>
      <c r="I1922">
        <v>1275.1954346</v>
      </c>
      <c r="J1922">
        <v>1248.4139404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1264.5253279999999</v>
      </c>
      <c r="B1923" s="1">
        <f>DATE(2013,10,16) + TIME(12,36,28)</f>
        <v>41563.525324074071</v>
      </c>
      <c r="C1923">
        <v>90</v>
      </c>
      <c r="D1923">
        <v>89.953887938999998</v>
      </c>
      <c r="E1923">
        <v>30</v>
      </c>
      <c r="F1923">
        <v>38.927856445000003</v>
      </c>
      <c r="G1923">
        <v>1375.9370117000001</v>
      </c>
      <c r="H1923">
        <v>1363.7271728999999</v>
      </c>
      <c r="I1923">
        <v>1275.3194579999999</v>
      </c>
      <c r="J1923">
        <v>1248.6705322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1266.4027699999999</v>
      </c>
      <c r="B1924" s="1">
        <f>DATE(2013,10,18) + TIME(9,39,59)</f>
        <v>41565.402766203704</v>
      </c>
      <c r="C1924">
        <v>90</v>
      </c>
      <c r="D1924">
        <v>89.953918457</v>
      </c>
      <c r="E1924">
        <v>30</v>
      </c>
      <c r="F1924">
        <v>39.404544829999999</v>
      </c>
      <c r="G1924">
        <v>1375.8786620999999</v>
      </c>
      <c r="H1924">
        <v>1363.6745605000001</v>
      </c>
      <c r="I1924">
        <v>1275.4471435999999</v>
      </c>
      <c r="J1924">
        <v>1248.9346923999999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1268.301551</v>
      </c>
      <c r="B1925" s="1">
        <f>DATE(2013,10,20) + TIME(7,14,14)</f>
        <v>41567.301550925928</v>
      </c>
      <c r="C1925">
        <v>90</v>
      </c>
      <c r="D1925">
        <v>89.953948975000003</v>
      </c>
      <c r="E1925">
        <v>30</v>
      </c>
      <c r="F1925">
        <v>39.887912749999998</v>
      </c>
      <c r="G1925">
        <v>1375.8199463000001</v>
      </c>
      <c r="H1925">
        <v>1363.621582</v>
      </c>
      <c r="I1925">
        <v>1275.5788574000001</v>
      </c>
      <c r="J1925">
        <v>1249.2058105000001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1270.2240099999999</v>
      </c>
      <c r="B1926" s="1">
        <f>DATE(2013,10,22) + TIME(5,22,34)</f>
        <v>41569.224004629628</v>
      </c>
      <c r="C1926">
        <v>90</v>
      </c>
      <c r="D1926">
        <v>89.953979492000002</v>
      </c>
      <c r="E1926">
        <v>30</v>
      </c>
      <c r="F1926">
        <v>40.375400542999998</v>
      </c>
      <c r="G1926">
        <v>1375.7614745999999</v>
      </c>
      <c r="H1926">
        <v>1363.5687256000001</v>
      </c>
      <c r="I1926">
        <v>1275.7133789</v>
      </c>
      <c r="J1926">
        <v>1249.4824219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1272.163086</v>
      </c>
      <c r="B1927" s="1">
        <f>DATE(2013,10,24) + TIME(3,54,50)</f>
        <v>41571.163078703707</v>
      </c>
      <c r="C1927">
        <v>90</v>
      </c>
      <c r="D1927">
        <v>89.954010010000005</v>
      </c>
      <c r="E1927">
        <v>30</v>
      </c>
      <c r="F1927">
        <v>40.864944457999997</v>
      </c>
      <c r="G1927">
        <v>1375.7030029</v>
      </c>
      <c r="H1927">
        <v>1363.5159911999999</v>
      </c>
      <c r="I1927">
        <v>1275.8510742000001</v>
      </c>
      <c r="J1927">
        <v>1249.7639160000001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1274.1253750000001</v>
      </c>
      <c r="B1928" s="1">
        <f>DATE(2013,10,26) + TIME(3,0,32)</f>
        <v>41573.12537037037</v>
      </c>
      <c r="C1928">
        <v>90</v>
      </c>
      <c r="D1928">
        <v>89.954040527000004</v>
      </c>
      <c r="E1928">
        <v>30</v>
      </c>
      <c r="F1928">
        <v>41.354656218999999</v>
      </c>
      <c r="G1928">
        <v>1375.6450195</v>
      </c>
      <c r="H1928">
        <v>1363.463501</v>
      </c>
      <c r="I1928">
        <v>1275.9913329999999</v>
      </c>
      <c r="J1928">
        <v>1250.0490723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1276.108215</v>
      </c>
      <c r="B1929" s="1">
        <f>DATE(2013,10,28) + TIME(2,35,49)</f>
        <v>41575.108206018522</v>
      </c>
      <c r="C1929">
        <v>90</v>
      </c>
      <c r="D1929">
        <v>89.954071045000006</v>
      </c>
      <c r="E1929">
        <v>30</v>
      </c>
      <c r="F1929">
        <v>41.843696594000001</v>
      </c>
      <c r="G1929">
        <v>1375.5871582</v>
      </c>
      <c r="H1929">
        <v>1363.4112548999999</v>
      </c>
      <c r="I1929">
        <v>1276.1342772999999</v>
      </c>
      <c r="J1929">
        <v>1250.3381348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1278.110844</v>
      </c>
      <c r="B1930" s="1">
        <f>DATE(2013,10,30) + TIME(2,39,36)</f>
        <v>41577.110833333332</v>
      </c>
      <c r="C1930">
        <v>90</v>
      </c>
      <c r="D1930">
        <v>89.954101562000005</v>
      </c>
      <c r="E1930">
        <v>30</v>
      </c>
      <c r="F1930">
        <v>42.330368042000003</v>
      </c>
      <c r="G1930">
        <v>1375.5295410000001</v>
      </c>
      <c r="H1930">
        <v>1363.3592529</v>
      </c>
      <c r="I1930">
        <v>1276.2799072</v>
      </c>
      <c r="J1930">
        <v>1250.6303711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1280</v>
      </c>
      <c r="B1931" s="1">
        <f>DATE(2013,11,1) + TIME(0,0,0)</f>
        <v>41579</v>
      </c>
      <c r="C1931">
        <v>90</v>
      </c>
      <c r="D1931">
        <v>89.954132079999994</v>
      </c>
      <c r="E1931">
        <v>30</v>
      </c>
      <c r="F1931">
        <v>42.804698944000002</v>
      </c>
      <c r="G1931">
        <v>1375.4724120999999</v>
      </c>
      <c r="H1931">
        <v>1363.3076172000001</v>
      </c>
      <c r="I1931">
        <v>1276.4290771000001</v>
      </c>
      <c r="J1931">
        <v>1250.9228516000001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1280.0000010000001</v>
      </c>
      <c r="B1932" s="1">
        <f>DATE(2013,11,1) + TIME(0,0,0)</f>
        <v>41579</v>
      </c>
      <c r="C1932">
        <v>90</v>
      </c>
      <c r="D1932">
        <v>89.954002380000006</v>
      </c>
      <c r="E1932">
        <v>30</v>
      </c>
      <c r="F1932">
        <v>42.804805756</v>
      </c>
      <c r="G1932">
        <v>1362.4367675999999</v>
      </c>
      <c r="H1932">
        <v>1351.9908447</v>
      </c>
      <c r="I1932">
        <v>1303.5484618999999</v>
      </c>
      <c r="J1932">
        <v>1277.4753418</v>
      </c>
      <c r="K1932">
        <v>0</v>
      </c>
      <c r="L1932">
        <v>2400</v>
      </c>
      <c r="M1932">
        <v>2400</v>
      </c>
      <c r="N1932">
        <v>0</v>
      </c>
    </row>
    <row r="1933" spans="1:14" x14ac:dyDescent="0.25">
      <c r="A1933">
        <v>1280.000004</v>
      </c>
      <c r="B1933" s="1">
        <f>DATE(2013,11,1) + TIME(0,0,0)</f>
        <v>41579</v>
      </c>
      <c r="C1933">
        <v>90</v>
      </c>
      <c r="D1933">
        <v>89.953681946000003</v>
      </c>
      <c r="E1933">
        <v>30</v>
      </c>
      <c r="F1933">
        <v>42.805099487</v>
      </c>
      <c r="G1933">
        <v>1360.2764893000001</v>
      </c>
      <c r="H1933">
        <v>1349.8302002</v>
      </c>
      <c r="I1933">
        <v>1306.0036620999999</v>
      </c>
      <c r="J1933">
        <v>1280.2967529</v>
      </c>
      <c r="K1933">
        <v>0</v>
      </c>
      <c r="L1933">
        <v>2400</v>
      </c>
      <c r="M1933">
        <v>2400</v>
      </c>
      <c r="N1933">
        <v>0</v>
      </c>
    </row>
    <row r="1934" spans="1:14" x14ac:dyDescent="0.25">
      <c r="A1934">
        <v>1280.0000130000001</v>
      </c>
      <c r="B1934" s="1">
        <f>DATE(2013,11,1) + TIME(0,0,1)</f>
        <v>41579.000011574077</v>
      </c>
      <c r="C1934">
        <v>90</v>
      </c>
      <c r="D1934">
        <v>89.953063964999998</v>
      </c>
      <c r="E1934">
        <v>30</v>
      </c>
      <c r="F1934">
        <v>42.805740356000001</v>
      </c>
      <c r="G1934">
        <v>1356.0557861</v>
      </c>
      <c r="H1934">
        <v>1345.6090088000001</v>
      </c>
      <c r="I1934">
        <v>1311.8511963000001</v>
      </c>
      <c r="J1934">
        <v>1286.7875977000001</v>
      </c>
      <c r="K1934">
        <v>0</v>
      </c>
      <c r="L1934">
        <v>2400</v>
      </c>
      <c r="M1934">
        <v>2400</v>
      </c>
      <c r="N1934">
        <v>0</v>
      </c>
    </row>
    <row r="1935" spans="1:14" x14ac:dyDescent="0.25">
      <c r="A1935">
        <v>1280.0000399999999</v>
      </c>
      <c r="B1935" s="1">
        <f>DATE(2013,11,1) + TIME(0,0,3)</f>
        <v>41579.000034722223</v>
      </c>
      <c r="C1935">
        <v>90</v>
      </c>
      <c r="D1935">
        <v>89.952186584000003</v>
      </c>
      <c r="E1935">
        <v>30</v>
      </c>
      <c r="F1935">
        <v>42.806629180999998</v>
      </c>
      <c r="G1935">
        <v>1350.1104736</v>
      </c>
      <c r="H1935">
        <v>1339.6657714999999</v>
      </c>
      <c r="I1935">
        <v>1322.5039062000001</v>
      </c>
      <c r="J1935">
        <v>1297.9383545000001</v>
      </c>
      <c r="K1935">
        <v>0</v>
      </c>
      <c r="L1935">
        <v>2400</v>
      </c>
      <c r="M1935">
        <v>2400</v>
      </c>
      <c r="N1935">
        <v>0</v>
      </c>
    </row>
    <row r="1936" spans="1:14" x14ac:dyDescent="0.25">
      <c r="A1936">
        <v>1280.000121</v>
      </c>
      <c r="B1936" s="1">
        <f>DATE(2013,11,1) + TIME(0,0,10)</f>
        <v>41579.000115740739</v>
      </c>
      <c r="C1936">
        <v>90</v>
      </c>
      <c r="D1936">
        <v>89.951217650999993</v>
      </c>
      <c r="E1936">
        <v>30</v>
      </c>
      <c r="F1936">
        <v>42.80695343</v>
      </c>
      <c r="G1936">
        <v>1343.6292725000001</v>
      </c>
      <c r="H1936">
        <v>1333.1887207</v>
      </c>
      <c r="I1936">
        <v>1336.6043701000001</v>
      </c>
      <c r="J1936">
        <v>1312.0893555</v>
      </c>
      <c r="K1936">
        <v>0</v>
      </c>
      <c r="L1936">
        <v>2400</v>
      </c>
      <c r="M1936">
        <v>2400</v>
      </c>
      <c r="N1936">
        <v>0</v>
      </c>
    </row>
    <row r="1937" spans="1:14" x14ac:dyDescent="0.25">
      <c r="A1937">
        <v>1280.000364</v>
      </c>
      <c r="B1937" s="1">
        <f>DATE(2013,11,1) + TIME(0,0,31)</f>
        <v>41579.000358796293</v>
      </c>
      <c r="C1937">
        <v>90</v>
      </c>
      <c r="D1937">
        <v>89.950210571</v>
      </c>
      <c r="E1937">
        <v>30</v>
      </c>
      <c r="F1937">
        <v>42.804599762000002</v>
      </c>
      <c r="G1937">
        <v>1337.1346435999999</v>
      </c>
      <c r="H1937">
        <v>1326.6954346</v>
      </c>
      <c r="I1937">
        <v>1351.7434082</v>
      </c>
      <c r="J1937">
        <v>1327.2025146000001</v>
      </c>
      <c r="K1937">
        <v>0</v>
      </c>
      <c r="L1937">
        <v>2400</v>
      </c>
      <c r="M1937">
        <v>2400</v>
      </c>
      <c r="N1937">
        <v>0</v>
      </c>
    </row>
    <row r="1938" spans="1:14" x14ac:dyDescent="0.25">
      <c r="A1938">
        <v>1280.0010930000001</v>
      </c>
      <c r="B1938" s="1">
        <f>DATE(2013,11,1) + TIME(0,1,34)</f>
        <v>41579.001087962963</v>
      </c>
      <c r="C1938">
        <v>90</v>
      </c>
      <c r="D1938">
        <v>89.949096679999997</v>
      </c>
      <c r="E1938">
        <v>30</v>
      </c>
      <c r="F1938">
        <v>42.793903350999997</v>
      </c>
      <c r="G1938">
        <v>1330.5563964999999</v>
      </c>
      <c r="H1938">
        <v>1320.0692139</v>
      </c>
      <c r="I1938">
        <v>1367.0878906</v>
      </c>
      <c r="J1938">
        <v>1342.5438231999999</v>
      </c>
      <c r="K1938">
        <v>0</v>
      </c>
      <c r="L1938">
        <v>2400</v>
      </c>
      <c r="M1938">
        <v>2400</v>
      </c>
      <c r="N1938">
        <v>0</v>
      </c>
    </row>
    <row r="1939" spans="1:14" x14ac:dyDescent="0.25">
      <c r="A1939">
        <v>1280.0032799999999</v>
      </c>
      <c r="B1939" s="1">
        <f>DATE(2013,11,1) + TIME(0,4,43)</f>
        <v>41579.003275462965</v>
      </c>
      <c r="C1939">
        <v>90</v>
      </c>
      <c r="D1939">
        <v>89.947601317999997</v>
      </c>
      <c r="E1939">
        <v>30</v>
      </c>
      <c r="F1939">
        <v>42.757987976000003</v>
      </c>
      <c r="G1939">
        <v>1323.6032714999999</v>
      </c>
      <c r="H1939">
        <v>1312.9494629000001</v>
      </c>
      <c r="I1939">
        <v>1382.3234863</v>
      </c>
      <c r="J1939">
        <v>1357.6500243999999</v>
      </c>
      <c r="K1939">
        <v>0</v>
      </c>
      <c r="L1939">
        <v>2400</v>
      </c>
      <c r="M1939">
        <v>2400</v>
      </c>
      <c r="N1939">
        <v>0</v>
      </c>
    </row>
    <row r="1940" spans="1:14" x14ac:dyDescent="0.25">
      <c r="A1940">
        <v>1280.0098410000001</v>
      </c>
      <c r="B1940" s="1">
        <f>DATE(2013,11,1) + TIME(0,14,10)</f>
        <v>41579.009837962964</v>
      </c>
      <c r="C1940">
        <v>90</v>
      </c>
      <c r="D1940">
        <v>89.945121764999996</v>
      </c>
      <c r="E1940">
        <v>30</v>
      </c>
      <c r="F1940">
        <v>42.646202086999999</v>
      </c>
      <c r="G1940">
        <v>1316.4709473</v>
      </c>
      <c r="H1940">
        <v>1305.6221923999999</v>
      </c>
      <c r="I1940">
        <v>1396.0274658000001</v>
      </c>
      <c r="J1940">
        <v>1371.050293</v>
      </c>
      <c r="K1940">
        <v>0</v>
      </c>
      <c r="L1940">
        <v>2400</v>
      </c>
      <c r="M1940">
        <v>2400</v>
      </c>
      <c r="N1940">
        <v>0</v>
      </c>
    </row>
    <row r="1941" spans="1:14" x14ac:dyDescent="0.25">
      <c r="A1941">
        <v>1280.029524</v>
      </c>
      <c r="B1941" s="1">
        <f>DATE(2013,11,1) + TIME(0,42,30)</f>
        <v>41579.029513888891</v>
      </c>
      <c r="C1941">
        <v>90</v>
      </c>
      <c r="D1941">
        <v>89.940025329999997</v>
      </c>
      <c r="E1941">
        <v>30</v>
      </c>
      <c r="F1941">
        <v>42.313327788999999</v>
      </c>
      <c r="G1941">
        <v>1310.5911865</v>
      </c>
      <c r="H1941">
        <v>1299.6447754000001</v>
      </c>
      <c r="I1941">
        <v>1405.5773925999999</v>
      </c>
      <c r="J1941">
        <v>1380.2395019999999</v>
      </c>
      <c r="K1941">
        <v>0</v>
      </c>
      <c r="L1941">
        <v>2400</v>
      </c>
      <c r="M1941">
        <v>2400</v>
      </c>
      <c r="N1941">
        <v>0</v>
      </c>
    </row>
    <row r="1942" spans="1:14" x14ac:dyDescent="0.25">
      <c r="A1942">
        <v>1280.0783449999999</v>
      </c>
      <c r="B1942" s="1">
        <f>DATE(2013,11,1) + TIME(1,52,49)</f>
        <v>41579.078344907408</v>
      </c>
      <c r="C1942">
        <v>90</v>
      </c>
      <c r="D1942">
        <v>89.929473877000007</v>
      </c>
      <c r="E1942">
        <v>30</v>
      </c>
      <c r="F1942">
        <v>41.538555144999997</v>
      </c>
      <c r="G1942">
        <v>1307.7021483999999</v>
      </c>
      <c r="H1942">
        <v>1296.7285156</v>
      </c>
      <c r="I1942">
        <v>1409.5639647999999</v>
      </c>
      <c r="J1942">
        <v>1383.8895264</v>
      </c>
      <c r="K1942">
        <v>0</v>
      </c>
      <c r="L1942">
        <v>2400</v>
      </c>
      <c r="M1942">
        <v>2400</v>
      </c>
      <c r="N1942">
        <v>0</v>
      </c>
    </row>
    <row r="1943" spans="1:14" x14ac:dyDescent="0.25">
      <c r="A1943">
        <v>1280.130664</v>
      </c>
      <c r="B1943" s="1">
        <f>DATE(2013,11,1) + TIME(3,8,9)</f>
        <v>41579.130659722221</v>
      </c>
      <c r="C1943">
        <v>90</v>
      </c>
      <c r="D1943">
        <v>89.918716431000007</v>
      </c>
      <c r="E1943">
        <v>30</v>
      </c>
      <c r="F1943">
        <v>40.767990112</v>
      </c>
      <c r="G1943">
        <v>1306.9985352000001</v>
      </c>
      <c r="H1943">
        <v>1296.0197754000001</v>
      </c>
      <c r="I1943">
        <v>1410.4440918</v>
      </c>
      <c r="J1943">
        <v>1384.5383300999999</v>
      </c>
      <c r="K1943">
        <v>0</v>
      </c>
      <c r="L1943">
        <v>2400</v>
      </c>
      <c r="M1943">
        <v>2400</v>
      </c>
      <c r="N1943">
        <v>0</v>
      </c>
    </row>
    <row r="1944" spans="1:14" x14ac:dyDescent="0.25">
      <c r="A1944">
        <v>1280.187306</v>
      </c>
      <c r="B1944" s="1">
        <f>DATE(2013,11,1) + TIME(4,29,43)</f>
        <v>41579.187303240738</v>
      </c>
      <c r="C1944">
        <v>90</v>
      </c>
      <c r="D1944">
        <v>89.907386779999996</v>
      </c>
      <c r="E1944">
        <v>30</v>
      </c>
      <c r="F1944">
        <v>39.998619079999997</v>
      </c>
      <c r="G1944">
        <v>1306.8126221</v>
      </c>
      <c r="H1944">
        <v>1295.8325195</v>
      </c>
      <c r="I1944">
        <v>1410.7260742000001</v>
      </c>
      <c r="J1944">
        <v>1384.6079102000001</v>
      </c>
      <c r="K1944">
        <v>0</v>
      </c>
      <c r="L1944">
        <v>2400</v>
      </c>
      <c r="M1944">
        <v>2400</v>
      </c>
      <c r="N1944">
        <v>0</v>
      </c>
    </row>
    <row r="1945" spans="1:14" x14ac:dyDescent="0.25">
      <c r="A1945">
        <v>1280.2490110000001</v>
      </c>
      <c r="B1945" s="1">
        <f>DATE(2013,11,1) + TIME(5,58,34)</f>
        <v>41579.24900462963</v>
      </c>
      <c r="C1945">
        <v>90</v>
      </c>
      <c r="D1945">
        <v>89.895339965999995</v>
      </c>
      <c r="E1945">
        <v>30</v>
      </c>
      <c r="F1945">
        <v>39.230621337999999</v>
      </c>
      <c r="G1945">
        <v>1306.7580565999999</v>
      </c>
      <c r="H1945">
        <v>1295.7773437999999</v>
      </c>
      <c r="I1945">
        <v>1410.8972168</v>
      </c>
      <c r="J1945">
        <v>1384.5698242000001</v>
      </c>
      <c r="K1945">
        <v>0</v>
      </c>
      <c r="L1945">
        <v>2400</v>
      </c>
      <c r="M1945">
        <v>2400</v>
      </c>
      <c r="N1945">
        <v>0</v>
      </c>
    </row>
    <row r="1946" spans="1:14" x14ac:dyDescent="0.25">
      <c r="A1946">
        <v>1280.3166470000001</v>
      </c>
      <c r="B1946" s="1">
        <f>DATE(2013,11,1) + TIME(7,35,58)</f>
        <v>41579.316643518519</v>
      </c>
      <c r="C1946">
        <v>90</v>
      </c>
      <c r="D1946">
        <v>89.882453917999996</v>
      </c>
      <c r="E1946">
        <v>30</v>
      </c>
      <c r="F1946">
        <v>38.464408874999997</v>
      </c>
      <c r="G1946">
        <v>1306.7380370999999</v>
      </c>
      <c r="H1946">
        <v>1295.7570800999999</v>
      </c>
      <c r="I1946">
        <v>1411.0534668</v>
      </c>
      <c r="J1946">
        <v>1384.5167236</v>
      </c>
      <c r="K1946">
        <v>0</v>
      </c>
      <c r="L1946">
        <v>2400</v>
      </c>
      <c r="M1946">
        <v>2400</v>
      </c>
      <c r="N1946">
        <v>0</v>
      </c>
    </row>
    <row r="1947" spans="1:14" x14ac:dyDescent="0.25">
      <c r="A1947">
        <v>1280.3913030000001</v>
      </c>
      <c r="B1947" s="1">
        <f>DATE(2013,11,1) + TIME(9,23,28)</f>
        <v>41579.391296296293</v>
      </c>
      <c r="C1947">
        <v>90</v>
      </c>
      <c r="D1947">
        <v>89.868583678999997</v>
      </c>
      <c r="E1947">
        <v>30</v>
      </c>
      <c r="F1947">
        <v>37.700790404999999</v>
      </c>
      <c r="G1947">
        <v>1306.7276611</v>
      </c>
      <c r="H1947">
        <v>1295.7463379000001</v>
      </c>
      <c r="I1947">
        <v>1411.2110596</v>
      </c>
      <c r="J1947">
        <v>1384.4642334</v>
      </c>
      <c r="K1947">
        <v>0</v>
      </c>
      <c r="L1947">
        <v>2400</v>
      </c>
      <c r="M1947">
        <v>2400</v>
      </c>
      <c r="N1947">
        <v>0</v>
      </c>
    </row>
    <row r="1948" spans="1:14" x14ac:dyDescent="0.25">
      <c r="A1948">
        <v>1280.474383</v>
      </c>
      <c r="B1948" s="1">
        <f>DATE(2013,11,1) + TIME(11,23,6)</f>
        <v>41579.474374999998</v>
      </c>
      <c r="C1948">
        <v>90</v>
      </c>
      <c r="D1948">
        <v>89.853561400999993</v>
      </c>
      <c r="E1948">
        <v>30</v>
      </c>
      <c r="F1948">
        <v>36.940795897999998</v>
      </c>
      <c r="G1948">
        <v>1306.7198486</v>
      </c>
      <c r="H1948">
        <v>1295.7380370999999</v>
      </c>
      <c r="I1948">
        <v>1411.3710937999999</v>
      </c>
      <c r="J1948">
        <v>1384.4139404</v>
      </c>
      <c r="K1948">
        <v>0</v>
      </c>
      <c r="L1948">
        <v>2400</v>
      </c>
      <c r="M1948">
        <v>2400</v>
      </c>
      <c r="N1948">
        <v>0</v>
      </c>
    </row>
    <row r="1949" spans="1:14" x14ac:dyDescent="0.25">
      <c r="A1949">
        <v>1280.5677029999999</v>
      </c>
      <c r="B1949" s="1">
        <f>DATE(2013,11,1) + TIME(13,37,29)</f>
        <v>41579.567696759259</v>
      </c>
      <c r="C1949">
        <v>90</v>
      </c>
      <c r="D1949">
        <v>89.837165833</v>
      </c>
      <c r="E1949">
        <v>30</v>
      </c>
      <c r="F1949">
        <v>36.185951232999997</v>
      </c>
      <c r="G1949">
        <v>1306.7122803</v>
      </c>
      <c r="H1949">
        <v>1295.7302245999999</v>
      </c>
      <c r="I1949">
        <v>1411.5329589999999</v>
      </c>
      <c r="J1949">
        <v>1384.3658447</v>
      </c>
      <c r="K1949">
        <v>0</v>
      </c>
      <c r="L1949">
        <v>2400</v>
      </c>
      <c r="M1949">
        <v>2400</v>
      </c>
      <c r="N1949">
        <v>0</v>
      </c>
    </row>
    <row r="1950" spans="1:14" x14ac:dyDescent="0.25">
      <c r="A1950">
        <v>1280.6660400000001</v>
      </c>
      <c r="B1950" s="1">
        <f>DATE(2013,11,1) + TIME(15,59,5)</f>
        <v>41579.666030092594</v>
      </c>
      <c r="C1950">
        <v>90</v>
      </c>
      <c r="D1950">
        <v>89.820289611999996</v>
      </c>
      <c r="E1950">
        <v>30</v>
      </c>
      <c r="F1950">
        <v>35.485874176000003</v>
      </c>
      <c r="G1950">
        <v>1306.7047118999999</v>
      </c>
      <c r="H1950">
        <v>1295.7220459</v>
      </c>
      <c r="I1950">
        <v>1411.6843262</v>
      </c>
      <c r="J1950">
        <v>1384.3229980000001</v>
      </c>
      <c r="K1950">
        <v>0</v>
      </c>
      <c r="L1950">
        <v>2400</v>
      </c>
      <c r="M1950">
        <v>2400</v>
      </c>
      <c r="N1950">
        <v>0</v>
      </c>
    </row>
    <row r="1951" spans="1:14" x14ac:dyDescent="0.25">
      <c r="A1951">
        <v>1280.766316</v>
      </c>
      <c r="B1951" s="1">
        <f>DATE(2013,11,1) + TIME(18,23,29)</f>
        <v>41579.76630787037</v>
      </c>
      <c r="C1951">
        <v>90</v>
      </c>
      <c r="D1951">
        <v>89.803398131999998</v>
      </c>
      <c r="E1951">
        <v>30</v>
      </c>
      <c r="F1951">
        <v>34.858108520999998</v>
      </c>
      <c r="G1951">
        <v>1306.6968993999999</v>
      </c>
      <c r="H1951">
        <v>1295.7138672000001</v>
      </c>
      <c r="I1951">
        <v>1411.8218993999999</v>
      </c>
      <c r="J1951">
        <v>1384.2869873</v>
      </c>
      <c r="K1951">
        <v>0</v>
      </c>
      <c r="L1951">
        <v>2400</v>
      </c>
      <c r="M1951">
        <v>2400</v>
      </c>
      <c r="N1951">
        <v>0</v>
      </c>
    </row>
    <row r="1952" spans="1:14" x14ac:dyDescent="0.25">
      <c r="A1952">
        <v>1280.869146</v>
      </c>
      <c r="B1952" s="1">
        <f>DATE(2013,11,1) + TIME(20,51,34)</f>
        <v>41579.869143518517</v>
      </c>
      <c r="C1952">
        <v>90</v>
      </c>
      <c r="D1952">
        <v>89.786399841000005</v>
      </c>
      <c r="E1952">
        <v>30</v>
      </c>
      <c r="F1952">
        <v>34.292911529999998</v>
      </c>
      <c r="G1952">
        <v>1306.6892089999999</v>
      </c>
      <c r="H1952">
        <v>1295.7058105000001</v>
      </c>
      <c r="I1952">
        <v>1411.9479980000001</v>
      </c>
      <c r="J1952">
        <v>1384.2568358999999</v>
      </c>
      <c r="K1952">
        <v>0</v>
      </c>
      <c r="L1952">
        <v>2400</v>
      </c>
      <c r="M1952">
        <v>2400</v>
      </c>
      <c r="N1952">
        <v>0</v>
      </c>
    </row>
    <row r="1953" spans="1:14" x14ac:dyDescent="0.25">
      <c r="A1953">
        <v>1280.974933</v>
      </c>
      <c r="B1953" s="1">
        <f>DATE(2013,11,1) + TIME(23,23,54)</f>
        <v>41579.974930555552</v>
      </c>
      <c r="C1953">
        <v>90</v>
      </c>
      <c r="D1953">
        <v>89.769226074000002</v>
      </c>
      <c r="E1953">
        <v>30</v>
      </c>
      <c r="F1953">
        <v>33.783504485999998</v>
      </c>
      <c r="G1953">
        <v>1306.6816406</v>
      </c>
      <c r="H1953">
        <v>1295.6976318</v>
      </c>
      <c r="I1953">
        <v>1412.0635986</v>
      </c>
      <c r="J1953">
        <v>1384.2321777</v>
      </c>
      <c r="K1953">
        <v>0</v>
      </c>
      <c r="L1953">
        <v>2400</v>
      </c>
      <c r="M1953">
        <v>2400</v>
      </c>
      <c r="N1953">
        <v>0</v>
      </c>
    </row>
    <row r="1954" spans="1:14" x14ac:dyDescent="0.25">
      <c r="A1954">
        <v>1281.0841049999999</v>
      </c>
      <c r="B1954" s="1">
        <f>DATE(2013,11,2) + TIME(2,1,6)</f>
        <v>41580.084097222221</v>
      </c>
      <c r="C1954">
        <v>90</v>
      </c>
      <c r="D1954">
        <v>89.751808166999993</v>
      </c>
      <c r="E1954">
        <v>30</v>
      </c>
      <c r="F1954">
        <v>33.324153899999999</v>
      </c>
      <c r="G1954">
        <v>1306.6739502</v>
      </c>
      <c r="H1954">
        <v>1295.6894531</v>
      </c>
      <c r="I1954">
        <v>1412.1697998</v>
      </c>
      <c r="J1954">
        <v>1384.2127685999999</v>
      </c>
      <c r="K1954">
        <v>0</v>
      </c>
      <c r="L1954">
        <v>2400</v>
      </c>
      <c r="M1954">
        <v>2400</v>
      </c>
      <c r="N1954">
        <v>0</v>
      </c>
    </row>
    <row r="1955" spans="1:14" x14ac:dyDescent="0.25">
      <c r="A1955">
        <v>1281.1971149999999</v>
      </c>
      <c r="B1955" s="1">
        <f>DATE(2013,11,2) + TIME(4,43,50)</f>
        <v>41580.197106481479</v>
      </c>
      <c r="C1955">
        <v>90</v>
      </c>
      <c r="D1955">
        <v>89.734085082999997</v>
      </c>
      <c r="E1955">
        <v>30</v>
      </c>
      <c r="F1955">
        <v>32.910003662000001</v>
      </c>
      <c r="G1955">
        <v>1306.6661377</v>
      </c>
      <c r="H1955">
        <v>1295.6811522999999</v>
      </c>
      <c r="I1955">
        <v>1412.2674560999999</v>
      </c>
      <c r="J1955">
        <v>1384.1981201000001</v>
      </c>
      <c r="K1955">
        <v>0</v>
      </c>
      <c r="L1955">
        <v>2400</v>
      </c>
      <c r="M1955">
        <v>2400</v>
      </c>
      <c r="N1955">
        <v>0</v>
      </c>
    </row>
    <row r="1956" spans="1:14" x14ac:dyDescent="0.25">
      <c r="A1956">
        <v>1281.314431</v>
      </c>
      <c r="B1956" s="1">
        <f>DATE(2013,11,2) + TIME(7,32,46)</f>
        <v>41580.314421296294</v>
      </c>
      <c r="C1956">
        <v>90</v>
      </c>
      <c r="D1956">
        <v>89.715980529999996</v>
      </c>
      <c r="E1956">
        <v>30</v>
      </c>
      <c r="F1956">
        <v>32.536930083999998</v>
      </c>
      <c r="G1956">
        <v>1306.6583252</v>
      </c>
      <c r="H1956">
        <v>1295.6728516000001</v>
      </c>
      <c r="I1956">
        <v>1412.3572998</v>
      </c>
      <c r="J1956">
        <v>1384.1879882999999</v>
      </c>
      <c r="K1956">
        <v>0</v>
      </c>
      <c r="L1956">
        <v>2400</v>
      </c>
      <c r="M1956">
        <v>2400</v>
      </c>
      <c r="N1956">
        <v>0</v>
      </c>
    </row>
    <row r="1957" spans="1:14" x14ac:dyDescent="0.25">
      <c r="A1957">
        <v>1281.4365849999999</v>
      </c>
      <c r="B1957" s="1">
        <f>DATE(2013,11,2) + TIME(10,28,40)</f>
        <v>41580.436574074076</v>
      </c>
      <c r="C1957">
        <v>90</v>
      </c>
      <c r="D1957">
        <v>89.697441100999995</v>
      </c>
      <c r="E1957">
        <v>30</v>
      </c>
      <c r="F1957">
        <v>32.201305388999998</v>
      </c>
      <c r="G1957">
        <v>1306.6503906</v>
      </c>
      <c r="H1957">
        <v>1295.6643065999999</v>
      </c>
      <c r="I1957">
        <v>1412.4399414</v>
      </c>
      <c r="J1957">
        <v>1384.1823730000001</v>
      </c>
      <c r="K1957">
        <v>0</v>
      </c>
      <c r="L1957">
        <v>2400</v>
      </c>
      <c r="M1957">
        <v>2400</v>
      </c>
      <c r="N1957">
        <v>0</v>
      </c>
    </row>
    <row r="1958" spans="1:14" x14ac:dyDescent="0.25">
      <c r="A1958">
        <v>1281.5642089999999</v>
      </c>
      <c r="B1958" s="1">
        <f>DATE(2013,11,2) + TIME(13,32,27)</f>
        <v>41580.564201388886</v>
      </c>
      <c r="C1958">
        <v>90</v>
      </c>
      <c r="D1958">
        <v>89.678375243999994</v>
      </c>
      <c r="E1958">
        <v>30</v>
      </c>
      <c r="F1958">
        <v>31.899848938000002</v>
      </c>
      <c r="G1958">
        <v>1306.6423339999999</v>
      </c>
      <c r="H1958">
        <v>1295.6555175999999</v>
      </c>
      <c r="I1958">
        <v>1412.5162353999999</v>
      </c>
      <c r="J1958">
        <v>1384.1807861</v>
      </c>
      <c r="K1958">
        <v>0</v>
      </c>
      <c r="L1958">
        <v>2400</v>
      </c>
      <c r="M1958">
        <v>2400</v>
      </c>
      <c r="N1958">
        <v>0</v>
      </c>
    </row>
    <row r="1959" spans="1:14" x14ac:dyDescent="0.25">
      <c r="A1959">
        <v>1281.697987</v>
      </c>
      <c r="B1959" s="1">
        <f>DATE(2013,11,2) + TIME(16,45,6)</f>
        <v>41580.69798611111</v>
      </c>
      <c r="C1959">
        <v>90</v>
      </c>
      <c r="D1959">
        <v>89.658699036000002</v>
      </c>
      <c r="E1959">
        <v>30</v>
      </c>
      <c r="F1959">
        <v>31.629745483000001</v>
      </c>
      <c r="G1959">
        <v>1306.6339111</v>
      </c>
      <c r="H1959">
        <v>1295.6466064000001</v>
      </c>
      <c r="I1959">
        <v>1412.5865478999999</v>
      </c>
      <c r="J1959">
        <v>1384.1833495999999</v>
      </c>
      <c r="K1959">
        <v>0</v>
      </c>
      <c r="L1959">
        <v>2400</v>
      </c>
      <c r="M1959">
        <v>2400</v>
      </c>
      <c r="N1959">
        <v>0</v>
      </c>
    </row>
    <row r="1960" spans="1:14" x14ac:dyDescent="0.25">
      <c r="A1960">
        <v>1281.838706</v>
      </c>
      <c r="B1960" s="1">
        <f>DATE(2013,11,2) + TIME(20,7,44)</f>
        <v>41580.838703703703</v>
      </c>
      <c r="C1960">
        <v>90</v>
      </c>
      <c r="D1960">
        <v>89.638320922999995</v>
      </c>
      <c r="E1960">
        <v>30</v>
      </c>
      <c r="F1960">
        <v>31.388463974</v>
      </c>
      <c r="G1960">
        <v>1306.6253661999999</v>
      </c>
      <c r="H1960">
        <v>1295.6373291</v>
      </c>
      <c r="I1960">
        <v>1412.6517334</v>
      </c>
      <c r="J1960">
        <v>1384.1898193</v>
      </c>
      <c r="K1960">
        <v>0</v>
      </c>
      <c r="L1960">
        <v>2400</v>
      </c>
      <c r="M1960">
        <v>2400</v>
      </c>
      <c r="N1960">
        <v>0</v>
      </c>
    </row>
    <row r="1961" spans="1:14" x14ac:dyDescent="0.25">
      <c r="A1961">
        <v>1281.9872800000001</v>
      </c>
      <c r="B1961" s="1">
        <f>DATE(2013,11,2) + TIME(23,41,41)</f>
        <v>41580.987280092595</v>
      </c>
      <c r="C1961">
        <v>90</v>
      </c>
      <c r="D1961">
        <v>89.617126464999998</v>
      </c>
      <c r="E1961">
        <v>30</v>
      </c>
      <c r="F1961">
        <v>31.173725128000001</v>
      </c>
      <c r="G1961">
        <v>1306.6165771000001</v>
      </c>
      <c r="H1961">
        <v>1295.6276855000001</v>
      </c>
      <c r="I1961">
        <v>1412.7120361</v>
      </c>
      <c r="J1961">
        <v>1384.2001952999999</v>
      </c>
      <c r="K1961">
        <v>0</v>
      </c>
      <c r="L1961">
        <v>2400</v>
      </c>
      <c r="M1961">
        <v>2400</v>
      </c>
      <c r="N1961">
        <v>0</v>
      </c>
    </row>
    <row r="1962" spans="1:14" x14ac:dyDescent="0.25">
      <c r="A1962">
        <v>1282.1447860000001</v>
      </c>
      <c r="B1962" s="1">
        <f>DATE(2013,11,3) + TIME(3,28,29)</f>
        <v>41581.144780092596</v>
      </c>
      <c r="C1962">
        <v>90</v>
      </c>
      <c r="D1962">
        <v>89.595001221000004</v>
      </c>
      <c r="E1962">
        <v>30</v>
      </c>
      <c r="F1962">
        <v>30.983449936</v>
      </c>
      <c r="G1962">
        <v>1306.6072998</v>
      </c>
      <c r="H1962">
        <v>1295.6177978999999</v>
      </c>
      <c r="I1962">
        <v>1412.7680664</v>
      </c>
      <c r="J1962">
        <v>1384.2143555</v>
      </c>
      <c r="K1962">
        <v>0</v>
      </c>
      <c r="L1962">
        <v>2400</v>
      </c>
      <c r="M1962">
        <v>2400</v>
      </c>
      <c r="N1962">
        <v>0</v>
      </c>
    </row>
    <row r="1963" spans="1:14" x14ac:dyDescent="0.25">
      <c r="A1963">
        <v>1282.3125</v>
      </c>
      <c r="B1963" s="1">
        <f>DATE(2013,11,3) + TIME(7,30,0)</f>
        <v>41581.3125</v>
      </c>
      <c r="C1963">
        <v>90</v>
      </c>
      <c r="D1963">
        <v>89.571792603000006</v>
      </c>
      <c r="E1963">
        <v>30</v>
      </c>
      <c r="F1963">
        <v>30.815734862999999</v>
      </c>
      <c r="G1963">
        <v>1306.5976562000001</v>
      </c>
      <c r="H1963">
        <v>1295.6072998</v>
      </c>
      <c r="I1963">
        <v>1412.8204346</v>
      </c>
      <c r="J1963">
        <v>1384.2322998</v>
      </c>
      <c r="K1963">
        <v>0</v>
      </c>
      <c r="L1963">
        <v>2400</v>
      </c>
      <c r="M1963">
        <v>2400</v>
      </c>
      <c r="N1963">
        <v>0</v>
      </c>
    </row>
    <row r="1964" spans="1:14" x14ac:dyDescent="0.25">
      <c r="A1964">
        <v>1282.4919640000001</v>
      </c>
      <c r="B1964" s="1">
        <f>DATE(2013,11,3) + TIME(11,48,25)</f>
        <v>41581.491956018515</v>
      </c>
      <c r="C1964">
        <v>90</v>
      </c>
      <c r="D1964">
        <v>89.547332764000004</v>
      </c>
      <c r="E1964">
        <v>30</v>
      </c>
      <c r="F1964">
        <v>30.668817520000001</v>
      </c>
      <c r="G1964">
        <v>1306.5876464999999</v>
      </c>
      <c r="H1964">
        <v>1295.5963135</v>
      </c>
      <c r="I1964">
        <v>1412.8693848</v>
      </c>
      <c r="J1964">
        <v>1384.2540283000001</v>
      </c>
      <c r="K1964">
        <v>0</v>
      </c>
      <c r="L1964">
        <v>2400</v>
      </c>
      <c r="M1964">
        <v>2400</v>
      </c>
      <c r="N1964">
        <v>0</v>
      </c>
    </row>
    <row r="1965" spans="1:14" x14ac:dyDescent="0.25">
      <c r="A1965">
        <v>1282.6850569999999</v>
      </c>
      <c r="B1965" s="1">
        <f>DATE(2013,11,3) + TIME(16,26,28)</f>
        <v>41581.685046296298</v>
      </c>
      <c r="C1965">
        <v>90</v>
      </c>
      <c r="D1965">
        <v>89.521430968999994</v>
      </c>
      <c r="E1965">
        <v>30</v>
      </c>
      <c r="F1965">
        <v>30.541057587000001</v>
      </c>
      <c r="G1965">
        <v>1306.5769043</v>
      </c>
      <c r="H1965">
        <v>1295.5847168</v>
      </c>
      <c r="I1965">
        <v>1412.9155272999999</v>
      </c>
      <c r="J1965">
        <v>1384.2796631000001</v>
      </c>
      <c r="K1965">
        <v>0</v>
      </c>
      <c r="L1965">
        <v>2400</v>
      </c>
      <c r="M1965">
        <v>2400</v>
      </c>
      <c r="N1965">
        <v>0</v>
      </c>
    </row>
    <row r="1966" spans="1:14" x14ac:dyDescent="0.25">
      <c r="A1966">
        <v>1282.891701</v>
      </c>
      <c r="B1966" s="1">
        <f>DATE(2013,11,3) + TIME(21,24,2)</f>
        <v>41581.891689814816</v>
      </c>
      <c r="C1966">
        <v>90</v>
      </c>
      <c r="D1966">
        <v>89.494087218999994</v>
      </c>
      <c r="E1966">
        <v>30</v>
      </c>
      <c r="F1966">
        <v>30.431921005</v>
      </c>
      <c r="G1966">
        <v>1306.5655518000001</v>
      </c>
      <c r="H1966">
        <v>1295.5722656</v>
      </c>
      <c r="I1966">
        <v>1412.9589844</v>
      </c>
      <c r="J1966">
        <v>1384.3093262</v>
      </c>
      <c r="K1966">
        <v>0</v>
      </c>
      <c r="L1966">
        <v>2400</v>
      </c>
      <c r="M1966">
        <v>2400</v>
      </c>
      <c r="N1966">
        <v>0</v>
      </c>
    </row>
    <row r="1967" spans="1:14" x14ac:dyDescent="0.25">
      <c r="A1967">
        <v>1283.1002550000001</v>
      </c>
      <c r="B1967" s="1">
        <f>DATE(2013,11,4) + TIME(2,24,22)</f>
        <v>41582.100254629629</v>
      </c>
      <c r="C1967">
        <v>90</v>
      </c>
      <c r="D1967">
        <v>89.466514587000006</v>
      </c>
      <c r="E1967">
        <v>30</v>
      </c>
      <c r="F1967">
        <v>30.344097136999999</v>
      </c>
      <c r="G1967">
        <v>1306.5535889</v>
      </c>
      <c r="H1967">
        <v>1295.5592041</v>
      </c>
      <c r="I1967">
        <v>1412.9992675999999</v>
      </c>
      <c r="J1967">
        <v>1384.3427733999999</v>
      </c>
      <c r="K1967">
        <v>0</v>
      </c>
      <c r="L1967">
        <v>2400</v>
      </c>
      <c r="M1967">
        <v>2400</v>
      </c>
      <c r="N1967">
        <v>0</v>
      </c>
    </row>
    <row r="1968" spans="1:14" x14ac:dyDescent="0.25">
      <c r="A1968">
        <v>1283.3116669999999</v>
      </c>
      <c r="B1968" s="1">
        <f>DATE(2013,11,4) + TIME(7,28,48)</f>
        <v>41582.311666666668</v>
      </c>
      <c r="C1968">
        <v>90</v>
      </c>
      <c r="D1968">
        <v>89.438652039000004</v>
      </c>
      <c r="E1968">
        <v>30</v>
      </c>
      <c r="F1968">
        <v>30.273252487000001</v>
      </c>
      <c r="G1968">
        <v>1306.5415039</v>
      </c>
      <c r="H1968">
        <v>1295.5461425999999</v>
      </c>
      <c r="I1968">
        <v>1413.0357666</v>
      </c>
      <c r="J1968">
        <v>1384.3773193</v>
      </c>
      <c r="K1968">
        <v>0</v>
      </c>
      <c r="L1968">
        <v>2400</v>
      </c>
      <c r="M1968">
        <v>2400</v>
      </c>
      <c r="N1968">
        <v>0</v>
      </c>
    </row>
    <row r="1969" spans="1:14" x14ac:dyDescent="0.25">
      <c r="A1969">
        <v>1283.5268060000001</v>
      </c>
      <c r="B1969" s="1">
        <f>DATE(2013,11,4) + TIME(12,38,36)</f>
        <v>41582.526805555557</v>
      </c>
      <c r="C1969">
        <v>90</v>
      </c>
      <c r="D1969">
        <v>89.410430907999995</v>
      </c>
      <c r="E1969">
        <v>30</v>
      </c>
      <c r="F1969">
        <v>30.216045380000001</v>
      </c>
      <c r="G1969">
        <v>1306.5292969</v>
      </c>
      <c r="H1969">
        <v>1295.5329589999999</v>
      </c>
      <c r="I1969">
        <v>1413.0693358999999</v>
      </c>
      <c r="J1969">
        <v>1384.4125977000001</v>
      </c>
      <c r="K1969">
        <v>0</v>
      </c>
      <c r="L1969">
        <v>2400</v>
      </c>
      <c r="M1969">
        <v>2400</v>
      </c>
      <c r="N1969">
        <v>0</v>
      </c>
    </row>
    <row r="1970" spans="1:14" x14ac:dyDescent="0.25">
      <c r="A1970">
        <v>1283.7465239999999</v>
      </c>
      <c r="B1970" s="1">
        <f>DATE(2013,11,4) + TIME(17,54,59)</f>
        <v>41582.746516203704</v>
      </c>
      <c r="C1970">
        <v>90</v>
      </c>
      <c r="D1970">
        <v>89.381774902000004</v>
      </c>
      <c r="E1970">
        <v>30</v>
      </c>
      <c r="F1970">
        <v>30.169851303000002</v>
      </c>
      <c r="G1970">
        <v>1306.5170897999999</v>
      </c>
      <c r="H1970">
        <v>1295.5196533000001</v>
      </c>
      <c r="I1970">
        <v>1413.1005858999999</v>
      </c>
      <c r="J1970">
        <v>1384.4484863</v>
      </c>
      <c r="K1970">
        <v>0</v>
      </c>
      <c r="L1970">
        <v>2400</v>
      </c>
      <c r="M1970">
        <v>2400</v>
      </c>
      <c r="N1970">
        <v>0</v>
      </c>
    </row>
    <row r="1971" spans="1:14" x14ac:dyDescent="0.25">
      <c r="A1971">
        <v>1283.9716800000001</v>
      </c>
      <c r="B1971" s="1">
        <f>DATE(2013,11,4) + TIME(23,19,13)</f>
        <v>41582.971678240741</v>
      </c>
      <c r="C1971">
        <v>90</v>
      </c>
      <c r="D1971">
        <v>89.352607727000006</v>
      </c>
      <c r="E1971">
        <v>30</v>
      </c>
      <c r="F1971">
        <v>30.132591248000001</v>
      </c>
      <c r="G1971">
        <v>1306.5046387</v>
      </c>
      <c r="H1971">
        <v>1295.5061035000001</v>
      </c>
      <c r="I1971">
        <v>1413.1298827999999</v>
      </c>
      <c r="J1971">
        <v>1384.4848632999999</v>
      </c>
      <c r="K1971">
        <v>0</v>
      </c>
      <c r="L1971">
        <v>2400</v>
      </c>
      <c r="M1971">
        <v>2400</v>
      </c>
      <c r="N1971">
        <v>0</v>
      </c>
    </row>
    <row r="1972" spans="1:14" x14ac:dyDescent="0.25">
      <c r="A1972">
        <v>1284.203168</v>
      </c>
      <c r="B1972" s="1">
        <f>DATE(2013,11,5) + TIME(4,52,33)</f>
        <v>41583.203159722223</v>
      </c>
      <c r="C1972">
        <v>90</v>
      </c>
      <c r="D1972">
        <v>89.322845459000007</v>
      </c>
      <c r="E1972">
        <v>30</v>
      </c>
      <c r="F1972">
        <v>30.102592468000001</v>
      </c>
      <c r="G1972">
        <v>1306.4920654</v>
      </c>
      <c r="H1972">
        <v>1295.4923096</v>
      </c>
      <c r="I1972">
        <v>1413.1577147999999</v>
      </c>
      <c r="J1972">
        <v>1384.5216064000001</v>
      </c>
      <c r="K1972">
        <v>0</v>
      </c>
      <c r="L1972">
        <v>2400</v>
      </c>
      <c r="M1972">
        <v>2400</v>
      </c>
      <c r="N1972">
        <v>0</v>
      </c>
    </row>
    <row r="1973" spans="1:14" x14ac:dyDescent="0.25">
      <c r="A1973">
        <v>1284.4418820000001</v>
      </c>
      <c r="B1973" s="1">
        <f>DATE(2013,11,5) + TIME(10,36,18)</f>
        <v>41583.441874999997</v>
      </c>
      <c r="C1973">
        <v>90</v>
      </c>
      <c r="D1973">
        <v>89.292396545000003</v>
      </c>
      <c r="E1973">
        <v>30</v>
      </c>
      <c r="F1973">
        <v>30.078510284</v>
      </c>
      <c r="G1973">
        <v>1306.479126</v>
      </c>
      <c r="H1973">
        <v>1295.4781493999999</v>
      </c>
      <c r="I1973">
        <v>1413.1844481999999</v>
      </c>
      <c r="J1973">
        <v>1384.5587158000001</v>
      </c>
      <c r="K1973">
        <v>0</v>
      </c>
      <c r="L1973">
        <v>2400</v>
      </c>
      <c r="M1973">
        <v>2400</v>
      </c>
      <c r="N1973">
        <v>0</v>
      </c>
    </row>
    <row r="1974" spans="1:14" x14ac:dyDescent="0.25">
      <c r="A1974">
        <v>1284.688856</v>
      </c>
      <c r="B1974" s="1">
        <f>DATE(2013,11,5) + TIME(16,31,57)</f>
        <v>41583.688854166663</v>
      </c>
      <c r="C1974">
        <v>90</v>
      </c>
      <c r="D1974">
        <v>89.261169433999996</v>
      </c>
      <c r="E1974">
        <v>30</v>
      </c>
      <c r="F1974">
        <v>30.059244155999998</v>
      </c>
      <c r="G1974">
        <v>1306.4659423999999</v>
      </c>
      <c r="H1974">
        <v>1295.4636230000001</v>
      </c>
      <c r="I1974">
        <v>1413.2100829999999</v>
      </c>
      <c r="J1974">
        <v>1384.5960693</v>
      </c>
      <c r="K1974">
        <v>0</v>
      </c>
      <c r="L1974">
        <v>2400</v>
      </c>
      <c r="M1974">
        <v>2400</v>
      </c>
      <c r="N1974">
        <v>0</v>
      </c>
    </row>
    <row r="1975" spans="1:14" x14ac:dyDescent="0.25">
      <c r="A1975">
        <v>1284.9452690000001</v>
      </c>
      <c r="B1975" s="1">
        <f>DATE(2013,11,5) + TIME(22,41,11)</f>
        <v>41583.9452662037</v>
      </c>
      <c r="C1975">
        <v>90</v>
      </c>
      <c r="D1975">
        <v>89.229042053000001</v>
      </c>
      <c r="E1975">
        <v>30</v>
      </c>
      <c r="F1975">
        <v>30.043889999000001</v>
      </c>
      <c r="G1975">
        <v>1306.4522704999999</v>
      </c>
      <c r="H1975">
        <v>1295.4487305</v>
      </c>
      <c r="I1975">
        <v>1413.2351074000001</v>
      </c>
      <c r="J1975">
        <v>1384.6336670000001</v>
      </c>
      <c r="K1975">
        <v>0</v>
      </c>
      <c r="L1975">
        <v>2400</v>
      </c>
      <c r="M1975">
        <v>2400</v>
      </c>
      <c r="N1975">
        <v>0</v>
      </c>
    </row>
    <row r="1976" spans="1:14" x14ac:dyDescent="0.25">
      <c r="A1976">
        <v>1285.2124080000001</v>
      </c>
      <c r="B1976" s="1">
        <f>DATE(2013,11,6) + TIME(5,5,52)</f>
        <v>41584.212407407409</v>
      </c>
      <c r="C1976">
        <v>90</v>
      </c>
      <c r="D1976">
        <v>89.195884704999997</v>
      </c>
      <c r="E1976">
        <v>30</v>
      </c>
      <c r="F1976">
        <v>30.0317173</v>
      </c>
      <c r="G1976">
        <v>1306.4382324000001</v>
      </c>
      <c r="H1976">
        <v>1295.4332274999999</v>
      </c>
      <c r="I1976">
        <v>1413.2595214999999</v>
      </c>
      <c r="J1976">
        <v>1384.6716309000001</v>
      </c>
      <c r="K1976">
        <v>0</v>
      </c>
      <c r="L1976">
        <v>2400</v>
      </c>
      <c r="M1976">
        <v>2400</v>
      </c>
      <c r="N1976">
        <v>0</v>
      </c>
    </row>
    <row r="1977" spans="1:14" x14ac:dyDescent="0.25">
      <c r="A1977">
        <v>1285.4917359999999</v>
      </c>
      <c r="B1977" s="1">
        <f>DATE(2013,11,6) + TIME(11,48,6)</f>
        <v>41584.491736111115</v>
      </c>
      <c r="C1977">
        <v>90</v>
      </c>
      <c r="D1977">
        <v>89.161567688000005</v>
      </c>
      <c r="E1977">
        <v>30</v>
      </c>
      <c r="F1977">
        <v>30.022119522000001</v>
      </c>
      <c r="G1977">
        <v>1306.4237060999999</v>
      </c>
      <c r="H1977">
        <v>1295.4172363</v>
      </c>
      <c r="I1977">
        <v>1413.2836914</v>
      </c>
      <c r="J1977">
        <v>1384.7098389</v>
      </c>
      <c r="K1977">
        <v>0</v>
      </c>
      <c r="L1977">
        <v>2400</v>
      </c>
      <c r="M1977">
        <v>2400</v>
      </c>
      <c r="N1977">
        <v>0</v>
      </c>
    </row>
    <row r="1978" spans="1:14" x14ac:dyDescent="0.25">
      <c r="A1978">
        <v>1285.7849470000001</v>
      </c>
      <c r="B1978" s="1">
        <f>DATE(2013,11,6) + TIME(18,50,19)</f>
        <v>41584.784942129627</v>
      </c>
      <c r="C1978">
        <v>90</v>
      </c>
      <c r="D1978">
        <v>89.125915527000004</v>
      </c>
      <c r="E1978">
        <v>30</v>
      </c>
      <c r="F1978">
        <v>30.014602661000001</v>
      </c>
      <c r="G1978">
        <v>1306.4084473</v>
      </c>
      <c r="H1978">
        <v>1295.4005127</v>
      </c>
      <c r="I1978">
        <v>1413.3076172000001</v>
      </c>
      <c r="J1978">
        <v>1384.7484131000001</v>
      </c>
      <c r="K1978">
        <v>0</v>
      </c>
      <c r="L1978">
        <v>2400</v>
      </c>
      <c r="M1978">
        <v>2400</v>
      </c>
      <c r="N1978">
        <v>0</v>
      </c>
    </row>
    <row r="1979" spans="1:14" x14ac:dyDescent="0.25">
      <c r="A1979">
        <v>1286.094018</v>
      </c>
      <c r="B1979" s="1">
        <f>DATE(2013,11,7) + TIME(2,15,23)</f>
        <v>41585.0940162037</v>
      </c>
      <c r="C1979">
        <v>90</v>
      </c>
      <c r="D1979">
        <v>89.088752747000001</v>
      </c>
      <c r="E1979">
        <v>30</v>
      </c>
      <c r="F1979">
        <v>30.008756638000001</v>
      </c>
      <c r="G1979">
        <v>1306.3925781</v>
      </c>
      <c r="H1979">
        <v>1295.3830565999999</v>
      </c>
      <c r="I1979">
        <v>1413.331543</v>
      </c>
      <c r="J1979">
        <v>1384.7874756000001</v>
      </c>
      <c r="K1979">
        <v>0</v>
      </c>
      <c r="L1979">
        <v>2400</v>
      </c>
      <c r="M1979">
        <v>2400</v>
      </c>
      <c r="N1979">
        <v>0</v>
      </c>
    </row>
    <row r="1980" spans="1:14" x14ac:dyDescent="0.25">
      <c r="A1980">
        <v>1286.4212970000001</v>
      </c>
      <c r="B1980" s="1">
        <f>DATE(2013,11,7) + TIME(10,6,40)</f>
        <v>41585.421296296299</v>
      </c>
      <c r="C1980">
        <v>90</v>
      </c>
      <c r="D1980">
        <v>89.049850464000002</v>
      </c>
      <c r="E1980">
        <v>30</v>
      </c>
      <c r="F1980">
        <v>30.004245758</v>
      </c>
      <c r="G1980">
        <v>1306.3759766000001</v>
      </c>
      <c r="H1980">
        <v>1295.364624</v>
      </c>
      <c r="I1980">
        <v>1413.3555908000001</v>
      </c>
      <c r="J1980">
        <v>1384.8270264</v>
      </c>
      <c r="K1980">
        <v>0</v>
      </c>
      <c r="L1980">
        <v>2400</v>
      </c>
      <c r="M1980">
        <v>2400</v>
      </c>
      <c r="N1980">
        <v>0</v>
      </c>
    </row>
    <row r="1981" spans="1:14" x14ac:dyDescent="0.25">
      <c r="A1981">
        <v>1286.754578</v>
      </c>
      <c r="B1981" s="1">
        <f>DATE(2013,11,7) + TIME(18,6,35)</f>
        <v>41585.754571759258</v>
      </c>
      <c r="C1981">
        <v>90</v>
      </c>
      <c r="D1981">
        <v>89.010208129999995</v>
      </c>
      <c r="E1981">
        <v>30</v>
      </c>
      <c r="F1981">
        <v>30.000905991</v>
      </c>
      <c r="G1981">
        <v>1306.3582764</v>
      </c>
      <c r="H1981">
        <v>1295.3453368999999</v>
      </c>
      <c r="I1981">
        <v>1413.3797606999999</v>
      </c>
      <c r="J1981">
        <v>1384.8671875</v>
      </c>
      <c r="K1981">
        <v>0</v>
      </c>
      <c r="L1981">
        <v>2400</v>
      </c>
      <c r="M1981">
        <v>2400</v>
      </c>
      <c r="N1981">
        <v>0</v>
      </c>
    </row>
    <row r="1982" spans="1:14" x14ac:dyDescent="0.25">
      <c r="A1982">
        <v>1287.0914809999999</v>
      </c>
      <c r="B1982" s="1">
        <f>DATE(2013,11,8) + TIME(2,11,43)</f>
        <v>41586.091469907406</v>
      </c>
      <c r="C1982">
        <v>90</v>
      </c>
      <c r="D1982">
        <v>88.970115661999998</v>
      </c>
      <c r="E1982">
        <v>30</v>
      </c>
      <c r="F1982">
        <v>29.998449325999999</v>
      </c>
      <c r="G1982">
        <v>1306.340332</v>
      </c>
      <c r="H1982">
        <v>1295.3256836</v>
      </c>
      <c r="I1982">
        <v>1413.4033202999999</v>
      </c>
      <c r="J1982">
        <v>1384.90625</v>
      </c>
      <c r="K1982">
        <v>0</v>
      </c>
      <c r="L1982">
        <v>2400</v>
      </c>
      <c r="M1982">
        <v>2400</v>
      </c>
      <c r="N1982">
        <v>0</v>
      </c>
    </row>
    <row r="1983" spans="1:14" x14ac:dyDescent="0.25">
      <c r="A1983">
        <v>1287.4331830000001</v>
      </c>
      <c r="B1983" s="1">
        <f>DATE(2013,11,8) + TIME(10,23,47)</f>
        <v>41586.433182870373</v>
      </c>
      <c r="C1983">
        <v>90</v>
      </c>
      <c r="D1983">
        <v>88.929557799999998</v>
      </c>
      <c r="E1983">
        <v>30</v>
      </c>
      <c r="F1983">
        <v>29.99663353</v>
      </c>
      <c r="G1983">
        <v>1306.3222656</v>
      </c>
      <c r="H1983">
        <v>1295.3057861</v>
      </c>
      <c r="I1983">
        <v>1413.4261475000001</v>
      </c>
      <c r="J1983">
        <v>1384.9440918</v>
      </c>
      <c r="K1983">
        <v>0</v>
      </c>
      <c r="L1983">
        <v>2400</v>
      </c>
      <c r="M1983">
        <v>2400</v>
      </c>
      <c r="N1983">
        <v>0</v>
      </c>
    </row>
    <row r="1984" spans="1:14" x14ac:dyDescent="0.25">
      <c r="A1984">
        <v>1287.7808299999999</v>
      </c>
      <c r="B1984" s="1">
        <f>DATE(2013,11,8) + TIME(18,44,23)</f>
        <v>41586.780821759261</v>
      </c>
      <c r="C1984">
        <v>90</v>
      </c>
      <c r="D1984">
        <v>88.888504028</v>
      </c>
      <c r="E1984">
        <v>30</v>
      </c>
      <c r="F1984">
        <v>29.995290755999999</v>
      </c>
      <c r="G1984">
        <v>1306.3040771000001</v>
      </c>
      <c r="H1984">
        <v>1295.2856445</v>
      </c>
      <c r="I1984">
        <v>1413.4482422000001</v>
      </c>
      <c r="J1984">
        <v>1384.9808350000001</v>
      </c>
      <c r="K1984">
        <v>0</v>
      </c>
      <c r="L1984">
        <v>2400</v>
      </c>
      <c r="M1984">
        <v>2400</v>
      </c>
      <c r="N1984">
        <v>0</v>
      </c>
    </row>
    <row r="1985" spans="1:14" x14ac:dyDescent="0.25">
      <c r="A1985">
        <v>1288.1355820000001</v>
      </c>
      <c r="B1985" s="1">
        <f>DATE(2013,11,9) + TIME(3,15,14)</f>
        <v>41587.135578703703</v>
      </c>
      <c r="C1985">
        <v>90</v>
      </c>
      <c r="D1985">
        <v>88.846870421999995</v>
      </c>
      <c r="E1985">
        <v>30</v>
      </c>
      <c r="F1985">
        <v>29.994289397999999</v>
      </c>
      <c r="G1985">
        <v>1306.2855225000001</v>
      </c>
      <c r="H1985">
        <v>1295.2651367000001</v>
      </c>
      <c r="I1985">
        <v>1413.4699707</v>
      </c>
      <c r="J1985">
        <v>1385.0166016000001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1288.4986510000001</v>
      </c>
      <c r="B1986" s="1">
        <f>DATE(2013,11,9) + TIME(11,58,3)</f>
        <v>41587.498645833337</v>
      </c>
      <c r="C1986">
        <v>90</v>
      </c>
      <c r="D1986">
        <v>88.804573059000006</v>
      </c>
      <c r="E1986">
        <v>30</v>
      </c>
      <c r="F1986">
        <v>29.993543625000001</v>
      </c>
      <c r="G1986">
        <v>1306.2667236</v>
      </c>
      <c r="H1986">
        <v>1295.2442627</v>
      </c>
      <c r="I1986">
        <v>1413.4912108999999</v>
      </c>
      <c r="J1986">
        <v>1385.0516356999999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1288.871322</v>
      </c>
      <c r="B1987" s="1">
        <f>DATE(2013,11,9) + TIME(20,54,42)</f>
        <v>41587.871319444443</v>
      </c>
      <c r="C1987">
        <v>90</v>
      </c>
      <c r="D1987">
        <v>88.761520386000001</v>
      </c>
      <c r="E1987">
        <v>30</v>
      </c>
      <c r="F1987">
        <v>29.992984772</v>
      </c>
      <c r="G1987">
        <v>1306.2474365</v>
      </c>
      <c r="H1987">
        <v>1295.2229004000001</v>
      </c>
      <c r="I1987">
        <v>1413.512207</v>
      </c>
      <c r="J1987">
        <v>1385.0860596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1289.2549140000001</v>
      </c>
      <c r="B1988" s="1">
        <f>DATE(2013,11,10) + TIME(6,7,4)</f>
        <v>41588.254907407405</v>
      </c>
      <c r="C1988">
        <v>90</v>
      </c>
      <c r="D1988">
        <v>88.717597960999996</v>
      </c>
      <c r="E1988">
        <v>30</v>
      </c>
      <c r="F1988">
        <v>29.992565155000001</v>
      </c>
      <c r="G1988">
        <v>1306.2276611</v>
      </c>
      <c r="H1988">
        <v>1295.2010498</v>
      </c>
      <c r="I1988">
        <v>1413.5329589999999</v>
      </c>
      <c r="J1988">
        <v>1385.1199951000001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1289.6508920000001</v>
      </c>
      <c r="B1989" s="1">
        <f>DATE(2013,11,10) + TIME(15,37,17)</f>
        <v>41588.650891203702</v>
      </c>
      <c r="C1989">
        <v>90</v>
      </c>
      <c r="D1989">
        <v>88.672676085999996</v>
      </c>
      <c r="E1989">
        <v>30</v>
      </c>
      <c r="F1989">
        <v>29.992246628</v>
      </c>
      <c r="G1989">
        <v>1306.2073975000001</v>
      </c>
      <c r="H1989">
        <v>1295.1784668</v>
      </c>
      <c r="I1989">
        <v>1413.5535889</v>
      </c>
      <c r="J1989">
        <v>1385.1535644999999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1290.0610280000001</v>
      </c>
      <c r="B1990" s="1">
        <f>DATE(2013,11,11) + TIME(1,27,52)</f>
        <v>41589.061018518521</v>
      </c>
      <c r="C1990">
        <v>90</v>
      </c>
      <c r="D1990">
        <v>88.626609802000004</v>
      </c>
      <c r="E1990">
        <v>30</v>
      </c>
      <c r="F1990">
        <v>29.992006302</v>
      </c>
      <c r="G1990">
        <v>1306.1864014</v>
      </c>
      <c r="H1990">
        <v>1295.1552733999999</v>
      </c>
      <c r="I1990">
        <v>1413.5742187999999</v>
      </c>
      <c r="J1990">
        <v>1385.1868896000001</v>
      </c>
      <c r="K1990">
        <v>0</v>
      </c>
      <c r="L1990">
        <v>2400</v>
      </c>
      <c r="M1990">
        <v>2400</v>
      </c>
      <c r="N1990">
        <v>0</v>
      </c>
    </row>
    <row r="1991" spans="1:14" x14ac:dyDescent="0.25">
      <c r="A1991">
        <v>1290.487226</v>
      </c>
      <c r="B1991" s="1">
        <f>DATE(2013,11,11) + TIME(11,41,36)</f>
        <v>41589.487222222226</v>
      </c>
      <c r="C1991">
        <v>90</v>
      </c>
      <c r="D1991">
        <v>88.579223632999998</v>
      </c>
      <c r="E1991">
        <v>30</v>
      </c>
      <c r="F1991">
        <v>29.991821289000001</v>
      </c>
      <c r="G1991">
        <v>1306.1647949000001</v>
      </c>
      <c r="H1991">
        <v>1295.1311035000001</v>
      </c>
      <c r="I1991">
        <v>1413.5948486</v>
      </c>
      <c r="J1991">
        <v>1385.2199707</v>
      </c>
      <c r="K1991">
        <v>0</v>
      </c>
      <c r="L1991">
        <v>2400</v>
      </c>
      <c r="M1991">
        <v>2400</v>
      </c>
      <c r="N1991">
        <v>0</v>
      </c>
    </row>
    <row r="1992" spans="1:14" x14ac:dyDescent="0.25">
      <c r="A1992">
        <v>1290.931658</v>
      </c>
      <c r="B1992" s="1">
        <f>DATE(2013,11,11) + TIME(22,21,35)</f>
        <v>41589.931655092594</v>
      </c>
      <c r="C1992">
        <v>90</v>
      </c>
      <c r="D1992">
        <v>88.530326842999997</v>
      </c>
      <c r="E1992">
        <v>30</v>
      </c>
      <c r="F1992">
        <v>29.991678237999999</v>
      </c>
      <c r="G1992">
        <v>1306.1422118999999</v>
      </c>
      <c r="H1992">
        <v>1295.1060791</v>
      </c>
      <c r="I1992">
        <v>1413.6156006000001</v>
      </c>
      <c r="J1992">
        <v>1385.2530518000001</v>
      </c>
      <c r="K1992">
        <v>0</v>
      </c>
      <c r="L1992">
        <v>2400</v>
      </c>
      <c r="M1992">
        <v>2400</v>
      </c>
      <c r="N1992">
        <v>0</v>
      </c>
    </row>
    <row r="1993" spans="1:14" x14ac:dyDescent="0.25">
      <c r="A1993">
        <v>1291.3968359999999</v>
      </c>
      <c r="B1993" s="1">
        <f>DATE(2013,11,12) + TIME(9,31,26)</f>
        <v>41590.396828703706</v>
      </c>
      <c r="C1993">
        <v>90</v>
      </c>
      <c r="D1993">
        <v>88.479713439999998</v>
      </c>
      <c r="E1993">
        <v>30</v>
      </c>
      <c r="F1993">
        <v>29.991569518999999</v>
      </c>
      <c r="G1993">
        <v>1306.1187743999999</v>
      </c>
      <c r="H1993">
        <v>1295.0798339999999</v>
      </c>
      <c r="I1993">
        <v>1413.6364745999999</v>
      </c>
      <c r="J1993">
        <v>1385.2862548999999</v>
      </c>
      <c r="K1993">
        <v>0</v>
      </c>
      <c r="L1993">
        <v>2400</v>
      </c>
      <c r="M1993">
        <v>2400</v>
      </c>
      <c r="N1993">
        <v>0</v>
      </c>
    </row>
    <row r="1994" spans="1:14" x14ac:dyDescent="0.25">
      <c r="A1994">
        <v>1291.873018</v>
      </c>
      <c r="B1994" s="1">
        <f>DATE(2013,11,12) + TIME(20,57,8)</f>
        <v>41590.87300925926</v>
      </c>
      <c r="C1994">
        <v>90</v>
      </c>
      <c r="D1994">
        <v>88.428009032999995</v>
      </c>
      <c r="E1994">
        <v>30</v>
      </c>
      <c r="F1994">
        <v>29.991483687999999</v>
      </c>
      <c r="G1994">
        <v>1306.0942382999999</v>
      </c>
      <c r="H1994">
        <v>1295.0523682</v>
      </c>
      <c r="I1994">
        <v>1413.6575928</v>
      </c>
      <c r="J1994">
        <v>1385.3195800999999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1292.3538759999999</v>
      </c>
      <c r="B1995" s="1">
        <f>DATE(2013,11,13) + TIME(8,29,34)</f>
        <v>41591.353865740741</v>
      </c>
      <c r="C1995">
        <v>90</v>
      </c>
      <c r="D1995">
        <v>88.375747681000007</v>
      </c>
      <c r="E1995">
        <v>30</v>
      </c>
      <c r="F1995">
        <v>29.991420745999999</v>
      </c>
      <c r="G1995">
        <v>1306.0689697</v>
      </c>
      <c r="H1995">
        <v>1295.0242920000001</v>
      </c>
      <c r="I1995">
        <v>1413.6785889</v>
      </c>
      <c r="J1995">
        <v>1385.3524170000001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1292.8408979999999</v>
      </c>
      <c r="B1996" s="1">
        <f>DATE(2013,11,13) + TIME(20,10,53)</f>
        <v>41591.840891203705</v>
      </c>
      <c r="C1996">
        <v>90</v>
      </c>
      <c r="D1996">
        <v>88.322990417</v>
      </c>
      <c r="E1996">
        <v>30</v>
      </c>
      <c r="F1996">
        <v>29.991369247000002</v>
      </c>
      <c r="G1996">
        <v>1306.043457</v>
      </c>
      <c r="H1996">
        <v>1294.9957274999999</v>
      </c>
      <c r="I1996">
        <v>1413.6989745999999</v>
      </c>
      <c r="J1996">
        <v>1385.3842772999999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1293.335523</v>
      </c>
      <c r="B1997" s="1">
        <f>DATE(2013,11,14) + TIME(8,3,9)</f>
        <v>41592.335520833331</v>
      </c>
      <c r="C1997">
        <v>90</v>
      </c>
      <c r="D1997">
        <v>88.269721985000004</v>
      </c>
      <c r="E1997">
        <v>30</v>
      </c>
      <c r="F1997">
        <v>29.9913311</v>
      </c>
      <c r="G1997">
        <v>1306.0175781</v>
      </c>
      <c r="H1997">
        <v>1294.9667969</v>
      </c>
      <c r="I1997">
        <v>1413.7191161999999</v>
      </c>
      <c r="J1997">
        <v>1385.4152832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1293.83923</v>
      </c>
      <c r="B1998" s="1">
        <f>DATE(2013,11,14) + TIME(20,8,29)</f>
        <v>41592.839224537034</v>
      </c>
      <c r="C1998">
        <v>90</v>
      </c>
      <c r="D1998">
        <v>88.215881347999996</v>
      </c>
      <c r="E1998">
        <v>30</v>
      </c>
      <c r="F1998">
        <v>29.991298676</v>
      </c>
      <c r="G1998">
        <v>1305.9913329999999</v>
      </c>
      <c r="H1998">
        <v>1294.9372559000001</v>
      </c>
      <c r="I1998">
        <v>1413.7388916</v>
      </c>
      <c r="J1998">
        <v>1385.4458007999999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1294.353558</v>
      </c>
      <c r="B1999" s="1">
        <f>DATE(2013,11,15) + TIME(8,29,7)</f>
        <v>41593.35355324074</v>
      </c>
      <c r="C1999">
        <v>90</v>
      </c>
      <c r="D1999">
        <v>88.161376953000001</v>
      </c>
      <c r="E1999">
        <v>30</v>
      </c>
      <c r="F1999">
        <v>29.991273880000001</v>
      </c>
      <c r="G1999">
        <v>1305.9645995999999</v>
      </c>
      <c r="H1999">
        <v>1294.9069824000001</v>
      </c>
      <c r="I1999">
        <v>1413.7584228999999</v>
      </c>
      <c r="J1999">
        <v>1385.4757079999999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1294.880136</v>
      </c>
      <c r="B2000" s="1">
        <f>DATE(2013,11,15) + TIME(21,7,23)</f>
        <v>41593.880127314813</v>
      </c>
      <c r="C2000">
        <v>90</v>
      </c>
      <c r="D2000">
        <v>88.10609436</v>
      </c>
      <c r="E2000">
        <v>30</v>
      </c>
      <c r="F2000">
        <v>29.991254807000001</v>
      </c>
      <c r="G2000">
        <v>1305.9371338000001</v>
      </c>
      <c r="H2000">
        <v>1294.8760986</v>
      </c>
      <c r="I2000">
        <v>1413.777832</v>
      </c>
      <c r="J2000">
        <v>1385.5051269999999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1295.4207200000001</v>
      </c>
      <c r="B2001" s="1">
        <f>DATE(2013,11,16) + TIME(10,5,50)</f>
        <v>41594.420717592591</v>
      </c>
      <c r="C2001">
        <v>90</v>
      </c>
      <c r="D2001">
        <v>88.049903869999994</v>
      </c>
      <c r="E2001">
        <v>30</v>
      </c>
      <c r="F2001">
        <v>29.991237640000001</v>
      </c>
      <c r="G2001">
        <v>1305.9089355000001</v>
      </c>
      <c r="H2001">
        <v>1294.8442382999999</v>
      </c>
      <c r="I2001">
        <v>1413.7972411999999</v>
      </c>
      <c r="J2001">
        <v>1385.5343018000001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1295.977046</v>
      </c>
      <c r="B2002" s="1">
        <f>DATE(2013,11,16) + TIME(23,26,56)</f>
        <v>41594.977037037039</v>
      </c>
      <c r="C2002">
        <v>90</v>
      </c>
      <c r="D2002">
        <v>87.992645264000004</v>
      </c>
      <c r="E2002">
        <v>30</v>
      </c>
      <c r="F2002">
        <v>29.991224289000002</v>
      </c>
      <c r="G2002">
        <v>1305.8800048999999</v>
      </c>
      <c r="H2002">
        <v>1294.8114014</v>
      </c>
      <c r="I2002">
        <v>1413.8164062000001</v>
      </c>
      <c r="J2002">
        <v>1385.5631103999999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1296.5513000000001</v>
      </c>
      <c r="B2003" s="1">
        <f>DATE(2013,11,17) + TIME(13,13,52)</f>
        <v>41595.551296296297</v>
      </c>
      <c r="C2003">
        <v>90</v>
      </c>
      <c r="D2003">
        <v>87.934173584000007</v>
      </c>
      <c r="E2003">
        <v>30</v>
      </c>
      <c r="F2003">
        <v>29.991212845</v>
      </c>
      <c r="G2003">
        <v>1305.8500977000001</v>
      </c>
      <c r="H2003">
        <v>1294.7774658000001</v>
      </c>
      <c r="I2003">
        <v>1413.8356934000001</v>
      </c>
      <c r="J2003">
        <v>1385.5919189000001</v>
      </c>
      <c r="K2003">
        <v>0</v>
      </c>
      <c r="L2003">
        <v>2400</v>
      </c>
      <c r="M2003">
        <v>2400</v>
      </c>
      <c r="N2003">
        <v>0</v>
      </c>
    </row>
    <row r="2004" spans="1:14" x14ac:dyDescent="0.25">
      <c r="A2004">
        <v>1297.1459460000001</v>
      </c>
      <c r="B2004" s="1">
        <f>DATE(2013,11,18) + TIME(3,30,9)</f>
        <v>41596.145937499998</v>
      </c>
      <c r="C2004">
        <v>90</v>
      </c>
      <c r="D2004">
        <v>87.874275208</v>
      </c>
      <c r="E2004">
        <v>30</v>
      </c>
      <c r="F2004">
        <v>29.991203307999999</v>
      </c>
      <c r="G2004">
        <v>1305.8190918</v>
      </c>
      <c r="H2004">
        <v>1294.7421875</v>
      </c>
      <c r="I2004">
        <v>1413.8551024999999</v>
      </c>
      <c r="J2004">
        <v>1385.6207274999999</v>
      </c>
      <c r="K2004">
        <v>0</v>
      </c>
      <c r="L2004">
        <v>2400</v>
      </c>
      <c r="M2004">
        <v>2400</v>
      </c>
      <c r="N2004">
        <v>0</v>
      </c>
    </row>
    <row r="2005" spans="1:14" x14ac:dyDescent="0.25">
      <c r="A2005">
        <v>1297.7636910000001</v>
      </c>
      <c r="B2005" s="1">
        <f>DATE(2013,11,18) + TIME(18,19,42)</f>
        <v>41596.763680555552</v>
      </c>
      <c r="C2005">
        <v>90</v>
      </c>
      <c r="D2005">
        <v>87.812751770000006</v>
      </c>
      <c r="E2005">
        <v>30</v>
      </c>
      <c r="F2005">
        <v>29.991193770999999</v>
      </c>
      <c r="G2005">
        <v>1305.7868652</v>
      </c>
      <c r="H2005">
        <v>1294.7054443</v>
      </c>
      <c r="I2005">
        <v>1413.8746338000001</v>
      </c>
      <c r="J2005">
        <v>1385.6494141000001</v>
      </c>
      <c r="K2005">
        <v>0</v>
      </c>
      <c r="L2005">
        <v>2400</v>
      </c>
      <c r="M2005">
        <v>2400</v>
      </c>
      <c r="N2005">
        <v>0</v>
      </c>
    </row>
    <row r="2006" spans="1:14" x14ac:dyDescent="0.25">
      <c r="A2006">
        <v>1298.39689</v>
      </c>
      <c r="B2006" s="1">
        <f>DATE(2013,11,19) + TIME(9,31,31)</f>
        <v>41597.396886574075</v>
      </c>
      <c r="C2006">
        <v>90</v>
      </c>
      <c r="D2006">
        <v>87.749969481999997</v>
      </c>
      <c r="E2006">
        <v>30</v>
      </c>
      <c r="F2006">
        <v>29.991188049000002</v>
      </c>
      <c r="G2006">
        <v>1305.7532959</v>
      </c>
      <c r="H2006">
        <v>1294.6671143000001</v>
      </c>
      <c r="I2006">
        <v>1413.8944091999999</v>
      </c>
      <c r="J2006">
        <v>1385.6783447</v>
      </c>
      <c r="K2006">
        <v>0</v>
      </c>
      <c r="L2006">
        <v>2400</v>
      </c>
      <c r="M2006">
        <v>2400</v>
      </c>
      <c r="N2006">
        <v>0</v>
      </c>
    </row>
    <row r="2007" spans="1:14" x14ac:dyDescent="0.25">
      <c r="A2007">
        <v>1299.0359269999999</v>
      </c>
      <c r="B2007" s="1">
        <f>DATE(2013,11,20) + TIME(0,51,44)</f>
        <v>41598.035925925928</v>
      </c>
      <c r="C2007">
        <v>90</v>
      </c>
      <c r="D2007">
        <v>87.686569214000002</v>
      </c>
      <c r="E2007">
        <v>30</v>
      </c>
      <c r="F2007">
        <v>29.991180419999999</v>
      </c>
      <c r="G2007">
        <v>1305.7186279</v>
      </c>
      <c r="H2007">
        <v>1294.6274414</v>
      </c>
      <c r="I2007">
        <v>1413.9140625</v>
      </c>
      <c r="J2007">
        <v>1385.7070312000001</v>
      </c>
      <c r="K2007">
        <v>0</v>
      </c>
      <c r="L2007">
        <v>2400</v>
      </c>
      <c r="M2007">
        <v>2400</v>
      </c>
      <c r="N2007">
        <v>0</v>
      </c>
    </row>
    <row r="2008" spans="1:14" x14ac:dyDescent="0.25">
      <c r="A2008">
        <v>1299.6825940000001</v>
      </c>
      <c r="B2008" s="1">
        <f>DATE(2013,11,20) + TIME(16,22,56)</f>
        <v>41598.682592592595</v>
      </c>
      <c r="C2008">
        <v>90</v>
      </c>
      <c r="D2008">
        <v>87.622695922999995</v>
      </c>
      <c r="E2008">
        <v>30</v>
      </c>
      <c r="F2008">
        <v>29.991176605</v>
      </c>
      <c r="G2008">
        <v>1305.6834716999999</v>
      </c>
      <c r="H2008">
        <v>1294.5871582</v>
      </c>
      <c r="I2008">
        <v>1413.9333495999999</v>
      </c>
      <c r="J2008">
        <v>1385.7349853999999</v>
      </c>
      <c r="K2008">
        <v>0</v>
      </c>
      <c r="L2008">
        <v>2400</v>
      </c>
      <c r="M2008">
        <v>2400</v>
      </c>
      <c r="N2008">
        <v>0</v>
      </c>
    </row>
    <row r="2009" spans="1:14" x14ac:dyDescent="0.25">
      <c r="A2009">
        <v>1300.3386350000001</v>
      </c>
      <c r="B2009" s="1">
        <f>DATE(2013,11,21) + TIME(8,7,38)</f>
        <v>41599.338634259257</v>
      </c>
      <c r="C2009">
        <v>90</v>
      </c>
      <c r="D2009">
        <v>87.558372497999997</v>
      </c>
      <c r="E2009">
        <v>30</v>
      </c>
      <c r="F2009">
        <v>29.991170882999999</v>
      </c>
      <c r="G2009">
        <v>1305.6477050999999</v>
      </c>
      <c r="H2009">
        <v>1294.5460204999999</v>
      </c>
      <c r="I2009">
        <v>1413.9523925999999</v>
      </c>
      <c r="J2009">
        <v>1385.7623291</v>
      </c>
      <c r="K2009">
        <v>0</v>
      </c>
      <c r="L2009">
        <v>2400</v>
      </c>
      <c r="M2009">
        <v>2400</v>
      </c>
      <c r="N2009">
        <v>0</v>
      </c>
    </row>
    <row r="2010" spans="1:14" x14ac:dyDescent="0.25">
      <c r="A2010">
        <v>1301.005844</v>
      </c>
      <c r="B2010" s="1">
        <f>DATE(2013,11,22) + TIME(0,8,24)</f>
        <v>41600.005833333336</v>
      </c>
      <c r="C2010">
        <v>90</v>
      </c>
      <c r="D2010">
        <v>87.493522643999995</v>
      </c>
      <c r="E2010">
        <v>30</v>
      </c>
      <c r="F2010">
        <v>29.991167067999999</v>
      </c>
      <c r="G2010">
        <v>1305.6113281</v>
      </c>
      <c r="H2010">
        <v>1294.5039062000001</v>
      </c>
      <c r="I2010">
        <v>1413.9711914</v>
      </c>
      <c r="J2010">
        <v>1385.7893065999999</v>
      </c>
      <c r="K2010">
        <v>0</v>
      </c>
      <c r="L2010">
        <v>2400</v>
      </c>
      <c r="M2010">
        <v>2400</v>
      </c>
      <c r="N2010">
        <v>0</v>
      </c>
    </row>
    <row r="2011" spans="1:14" x14ac:dyDescent="0.25">
      <c r="A2011">
        <v>1301.686099</v>
      </c>
      <c r="B2011" s="1">
        <f>DATE(2013,11,22) + TIME(16,27,58)</f>
        <v>41600.68608796296</v>
      </c>
      <c r="C2011">
        <v>90</v>
      </c>
      <c r="D2011">
        <v>87.428047179999993</v>
      </c>
      <c r="E2011">
        <v>30</v>
      </c>
      <c r="F2011">
        <v>29.991163254</v>
      </c>
      <c r="G2011">
        <v>1305.5739745999999</v>
      </c>
      <c r="H2011">
        <v>1294.4606934000001</v>
      </c>
      <c r="I2011">
        <v>1413.9898682</v>
      </c>
      <c r="J2011">
        <v>1385.8157959</v>
      </c>
      <c r="K2011">
        <v>0</v>
      </c>
      <c r="L2011">
        <v>2400</v>
      </c>
      <c r="M2011">
        <v>2400</v>
      </c>
      <c r="N2011">
        <v>0</v>
      </c>
    </row>
    <row r="2012" spans="1:14" x14ac:dyDescent="0.25">
      <c r="A2012">
        <v>1302.3813909999999</v>
      </c>
      <c r="B2012" s="1">
        <f>DATE(2013,11,23) + TIME(9,9,12)</f>
        <v>41601.381388888891</v>
      </c>
      <c r="C2012">
        <v>90</v>
      </c>
      <c r="D2012">
        <v>87.361816406000003</v>
      </c>
      <c r="E2012">
        <v>30</v>
      </c>
      <c r="F2012">
        <v>29.991161345999998</v>
      </c>
      <c r="G2012">
        <v>1305.5356445</v>
      </c>
      <c r="H2012">
        <v>1294.4163818</v>
      </c>
      <c r="I2012">
        <v>1414.0084228999999</v>
      </c>
      <c r="J2012">
        <v>1385.8421631000001</v>
      </c>
      <c r="K2012">
        <v>0</v>
      </c>
      <c r="L2012">
        <v>2400</v>
      </c>
      <c r="M2012">
        <v>2400</v>
      </c>
      <c r="N2012">
        <v>0</v>
      </c>
    </row>
    <row r="2013" spans="1:14" x14ac:dyDescent="0.25">
      <c r="A2013">
        <v>1303.093846</v>
      </c>
      <c r="B2013" s="1">
        <f>DATE(2013,11,24) + TIME(2,15,8)</f>
        <v>41602.093842592592</v>
      </c>
      <c r="C2013">
        <v>90</v>
      </c>
      <c r="D2013">
        <v>87.294677734000004</v>
      </c>
      <c r="E2013">
        <v>30</v>
      </c>
      <c r="F2013">
        <v>29.991157531999999</v>
      </c>
      <c r="G2013">
        <v>1305.4963379000001</v>
      </c>
      <c r="H2013">
        <v>1294.3704834</v>
      </c>
      <c r="I2013">
        <v>1414.0269774999999</v>
      </c>
      <c r="J2013">
        <v>1385.8681641000001</v>
      </c>
      <c r="K2013">
        <v>0</v>
      </c>
      <c r="L2013">
        <v>2400</v>
      </c>
      <c r="M2013">
        <v>2400</v>
      </c>
      <c r="N2013">
        <v>0</v>
      </c>
    </row>
    <row r="2014" spans="1:14" x14ac:dyDescent="0.25">
      <c r="A2014">
        <v>1303.8257229999999</v>
      </c>
      <c r="B2014" s="1">
        <f>DATE(2013,11,24) + TIME(19,49,2)</f>
        <v>41602.82571759259</v>
      </c>
      <c r="C2014">
        <v>90</v>
      </c>
      <c r="D2014">
        <v>87.226455688000001</v>
      </c>
      <c r="E2014">
        <v>30</v>
      </c>
      <c r="F2014">
        <v>29.991155624000001</v>
      </c>
      <c r="G2014">
        <v>1305.4556885</v>
      </c>
      <c r="H2014">
        <v>1294.3231201000001</v>
      </c>
      <c r="I2014">
        <v>1414.0454102000001</v>
      </c>
      <c r="J2014">
        <v>1385.894043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1304.5793719999999</v>
      </c>
      <c r="B2015" s="1">
        <f>DATE(2013,11,25) + TIME(13,54,17)</f>
        <v>41603.579363425924</v>
      </c>
      <c r="C2015">
        <v>90</v>
      </c>
      <c r="D2015">
        <v>87.156982421999999</v>
      </c>
      <c r="E2015">
        <v>30</v>
      </c>
      <c r="F2015">
        <v>29.991151810000002</v>
      </c>
      <c r="G2015">
        <v>1305.4136963000001</v>
      </c>
      <c r="H2015">
        <v>1294.2739257999999</v>
      </c>
      <c r="I2015">
        <v>1414.0639647999999</v>
      </c>
      <c r="J2015">
        <v>1385.9199219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1305.357941</v>
      </c>
      <c r="B2016" s="1">
        <f>DATE(2013,11,26) + TIME(8,35,26)</f>
        <v>41604.357939814814</v>
      </c>
      <c r="C2016">
        <v>90</v>
      </c>
      <c r="D2016">
        <v>87.086044311999999</v>
      </c>
      <c r="E2016">
        <v>30</v>
      </c>
      <c r="F2016">
        <v>29.991149902</v>
      </c>
      <c r="G2016">
        <v>1305.3701172000001</v>
      </c>
      <c r="H2016">
        <v>1294.2227783000001</v>
      </c>
      <c r="I2016">
        <v>1414.0826416</v>
      </c>
      <c r="J2016">
        <v>1385.9458007999999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1306.15789</v>
      </c>
      <c r="B2017" s="1">
        <f>DATE(2013,11,27) + TIME(3,47,21)</f>
        <v>41605.157881944448</v>
      </c>
      <c r="C2017">
        <v>90</v>
      </c>
      <c r="D2017">
        <v>87.013725281000006</v>
      </c>
      <c r="E2017">
        <v>30</v>
      </c>
      <c r="F2017">
        <v>29.991147994999999</v>
      </c>
      <c r="G2017">
        <v>1305.324707</v>
      </c>
      <c r="H2017">
        <v>1294.1694336</v>
      </c>
      <c r="I2017">
        <v>1414.1014404</v>
      </c>
      <c r="J2017">
        <v>1385.9716797000001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1306.9646769999999</v>
      </c>
      <c r="B2018" s="1">
        <f>DATE(2013,11,27) + TIME(23,9,8)</f>
        <v>41605.964675925927</v>
      </c>
      <c r="C2018">
        <v>90</v>
      </c>
      <c r="D2018">
        <v>86.940742493000002</v>
      </c>
      <c r="E2018">
        <v>30</v>
      </c>
      <c r="F2018">
        <v>29.991144179999999</v>
      </c>
      <c r="G2018">
        <v>1305.2775879000001</v>
      </c>
      <c r="H2018">
        <v>1294.1138916</v>
      </c>
      <c r="I2018">
        <v>1414.1202393000001</v>
      </c>
      <c r="J2018">
        <v>1385.9975586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1307.780405</v>
      </c>
      <c r="B2019" s="1">
        <f>DATE(2013,11,28) + TIME(18,43,47)</f>
        <v>41606.780405092592</v>
      </c>
      <c r="C2019">
        <v>90</v>
      </c>
      <c r="D2019">
        <v>86.867340088000006</v>
      </c>
      <c r="E2019">
        <v>30</v>
      </c>
      <c r="F2019">
        <v>29.991142273000001</v>
      </c>
      <c r="G2019">
        <v>1305.2297363</v>
      </c>
      <c r="H2019">
        <v>1294.057251</v>
      </c>
      <c r="I2019">
        <v>1414.1387939000001</v>
      </c>
      <c r="J2019">
        <v>1386.0229492000001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1308.6071159999999</v>
      </c>
      <c r="B2020" s="1">
        <f>DATE(2013,11,29) + TIME(14,34,14)</f>
        <v>41607.607106481482</v>
      </c>
      <c r="C2020">
        <v>90</v>
      </c>
      <c r="D2020">
        <v>86.793563843000001</v>
      </c>
      <c r="E2020">
        <v>30</v>
      </c>
      <c r="F2020">
        <v>29.991140366</v>
      </c>
      <c r="G2020">
        <v>1305.1809082</v>
      </c>
      <c r="H2020">
        <v>1293.9992675999999</v>
      </c>
      <c r="I2020">
        <v>1414.1571045000001</v>
      </c>
      <c r="J2020">
        <v>1386.0477295000001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1309.4469160000001</v>
      </c>
      <c r="B2021" s="1">
        <f>DATE(2013,11,30) + TIME(10,43,33)</f>
        <v>41608.446909722225</v>
      </c>
      <c r="C2021">
        <v>90</v>
      </c>
      <c r="D2021">
        <v>86.719345093000001</v>
      </c>
      <c r="E2021">
        <v>30</v>
      </c>
      <c r="F2021">
        <v>29.991138458000002</v>
      </c>
      <c r="G2021">
        <v>1305.1308594</v>
      </c>
      <c r="H2021">
        <v>1293.9396973</v>
      </c>
      <c r="I2021">
        <v>1414.175293</v>
      </c>
      <c r="J2021">
        <v>1386.0722656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1310</v>
      </c>
      <c r="B2022" s="1">
        <f>DATE(2013,12,1) + TIME(0,0,0)</f>
        <v>41609</v>
      </c>
      <c r="C2022">
        <v>90</v>
      </c>
      <c r="D2022">
        <v>86.660545349000003</v>
      </c>
      <c r="E2022">
        <v>30</v>
      </c>
      <c r="F2022">
        <v>29.991138458000002</v>
      </c>
      <c r="G2022">
        <v>1305.0795897999999</v>
      </c>
      <c r="H2022">
        <v>1293.8801269999999</v>
      </c>
      <c r="I2022">
        <v>1414.1929932</v>
      </c>
      <c r="J2022">
        <v>1386.0961914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1310.85509</v>
      </c>
      <c r="B2023" s="1">
        <f>DATE(2013,12,1) + TIME(20,31,19)</f>
        <v>41609.855081018519</v>
      </c>
      <c r="C2023">
        <v>90</v>
      </c>
      <c r="D2023">
        <v>86.591026306000003</v>
      </c>
      <c r="E2023">
        <v>30</v>
      </c>
      <c r="F2023">
        <v>29.991134643999999</v>
      </c>
      <c r="G2023">
        <v>1305.0451660000001</v>
      </c>
      <c r="H2023">
        <v>1293.8364257999999</v>
      </c>
      <c r="I2023">
        <v>1414.2049560999999</v>
      </c>
      <c r="J2023">
        <v>1386.1120605000001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1311.740681</v>
      </c>
      <c r="B2024" s="1">
        <f>DATE(2013,12,2) + TIME(17,46,34)</f>
        <v>41610.740671296298</v>
      </c>
      <c r="C2024">
        <v>90</v>
      </c>
      <c r="D2024">
        <v>86.517875670999999</v>
      </c>
      <c r="E2024">
        <v>30</v>
      </c>
      <c r="F2024">
        <v>29.991134643999999</v>
      </c>
      <c r="G2024">
        <v>1304.9924315999999</v>
      </c>
      <c r="H2024">
        <v>1293.7734375</v>
      </c>
      <c r="I2024">
        <v>1414.2225341999999</v>
      </c>
      <c r="J2024">
        <v>1386.1356201000001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1312.6478340000001</v>
      </c>
      <c r="B2025" s="1">
        <f>DATE(2013,12,3) + TIME(15,32,52)</f>
        <v>41611.647824074076</v>
      </c>
      <c r="C2025">
        <v>90</v>
      </c>
      <c r="D2025">
        <v>86.442283630000006</v>
      </c>
      <c r="E2025">
        <v>30</v>
      </c>
      <c r="F2025">
        <v>29.991132736000001</v>
      </c>
      <c r="G2025">
        <v>1304.9371338000001</v>
      </c>
      <c r="H2025">
        <v>1293.7070312000001</v>
      </c>
      <c r="I2025">
        <v>1414.2404785000001</v>
      </c>
      <c r="J2025">
        <v>1386.1594238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1313.5795720000001</v>
      </c>
      <c r="B2026" s="1">
        <f>DATE(2013,12,4) + TIME(13,54,34)</f>
        <v>41612.579560185186</v>
      </c>
      <c r="C2026">
        <v>90</v>
      </c>
      <c r="D2026">
        <v>86.364784240999995</v>
      </c>
      <c r="E2026">
        <v>30</v>
      </c>
      <c r="F2026">
        <v>29.991130828999999</v>
      </c>
      <c r="G2026">
        <v>1304.8798827999999</v>
      </c>
      <c r="H2026">
        <v>1293.6378173999999</v>
      </c>
      <c r="I2026">
        <v>1414.2583007999999</v>
      </c>
      <c r="J2026">
        <v>1386.1831055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1314.538937</v>
      </c>
      <c r="B2027" s="1">
        <f>DATE(2013,12,5) + TIME(12,56,4)</f>
        <v>41613.538935185185</v>
      </c>
      <c r="C2027">
        <v>90</v>
      </c>
      <c r="D2027">
        <v>86.285545349000003</v>
      </c>
      <c r="E2027">
        <v>30</v>
      </c>
      <c r="F2027">
        <v>29.991128922000001</v>
      </c>
      <c r="G2027">
        <v>1304.8204346</v>
      </c>
      <c r="H2027">
        <v>1293.5657959</v>
      </c>
      <c r="I2027">
        <v>1414.2763672000001</v>
      </c>
      <c r="J2027">
        <v>1386.2067870999999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1315.515856</v>
      </c>
      <c r="B2028" s="1">
        <f>DATE(2013,12,6) + TIME(12,22,49)</f>
        <v>41614.515844907408</v>
      </c>
      <c r="C2028">
        <v>90</v>
      </c>
      <c r="D2028">
        <v>86.205047606999997</v>
      </c>
      <c r="E2028">
        <v>30</v>
      </c>
      <c r="F2028">
        <v>29.991127014</v>
      </c>
      <c r="G2028">
        <v>1304.7585449000001</v>
      </c>
      <c r="H2028">
        <v>1293.4906006000001</v>
      </c>
      <c r="I2028">
        <v>1414.2944336</v>
      </c>
      <c r="J2028">
        <v>1386.2305908000001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1316.5015880000001</v>
      </c>
      <c r="B2029" s="1">
        <f>DATE(2013,12,7) + TIME(12,2,17)</f>
        <v>41615.501585648148</v>
      </c>
      <c r="C2029">
        <v>90</v>
      </c>
      <c r="D2029">
        <v>86.123916625999996</v>
      </c>
      <c r="E2029">
        <v>30</v>
      </c>
      <c r="F2029">
        <v>29.991125106999998</v>
      </c>
      <c r="G2029">
        <v>1304.6947021000001</v>
      </c>
      <c r="H2029">
        <v>1293.4129639</v>
      </c>
      <c r="I2029">
        <v>1414.3125</v>
      </c>
      <c r="J2029">
        <v>1386.2541504000001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1317.4985039999999</v>
      </c>
      <c r="B2030" s="1">
        <f>DATE(2013,12,8) + TIME(11,57,50)</f>
        <v>41616.498495370368</v>
      </c>
      <c r="C2030">
        <v>90</v>
      </c>
      <c r="D2030">
        <v>86.042419433999996</v>
      </c>
      <c r="E2030">
        <v>30</v>
      </c>
      <c r="F2030">
        <v>29.991125106999998</v>
      </c>
      <c r="G2030">
        <v>1304.6296387</v>
      </c>
      <c r="H2030">
        <v>1293.333374</v>
      </c>
      <c r="I2030">
        <v>1414.3303223</v>
      </c>
      <c r="J2030">
        <v>1386.2773437999999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1318.5089660000001</v>
      </c>
      <c r="B2031" s="1">
        <f>DATE(2013,12,9) + TIME(12,12,54)</f>
        <v>41617.508958333332</v>
      </c>
      <c r="C2031">
        <v>90</v>
      </c>
      <c r="D2031">
        <v>85.960586547999995</v>
      </c>
      <c r="E2031">
        <v>30</v>
      </c>
      <c r="F2031">
        <v>29.991123199</v>
      </c>
      <c r="G2031">
        <v>1304.5631103999999</v>
      </c>
      <c r="H2031">
        <v>1293.2515868999999</v>
      </c>
      <c r="I2031">
        <v>1414.3480225000001</v>
      </c>
      <c r="J2031">
        <v>1386.3000488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1319.5354239999999</v>
      </c>
      <c r="B2032" s="1">
        <f>DATE(2013,12,10) + TIME(12,51,0)</f>
        <v>41618.535416666666</v>
      </c>
      <c r="C2032">
        <v>90</v>
      </c>
      <c r="D2032">
        <v>85.878311156999999</v>
      </c>
      <c r="E2032">
        <v>30</v>
      </c>
      <c r="F2032">
        <v>29.991121291999999</v>
      </c>
      <c r="G2032">
        <v>1304.494751</v>
      </c>
      <c r="H2032">
        <v>1293.1674805</v>
      </c>
      <c r="I2032">
        <v>1414.3654785000001</v>
      </c>
      <c r="J2032">
        <v>1386.3226318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1320.5804250000001</v>
      </c>
      <c r="B2033" s="1">
        <f>DATE(2013,12,11) + TIME(13,55,48)</f>
        <v>41619.580416666664</v>
      </c>
      <c r="C2033">
        <v>90</v>
      </c>
      <c r="D2033">
        <v>85.795471191000004</v>
      </c>
      <c r="E2033">
        <v>30</v>
      </c>
      <c r="F2033">
        <v>29.991121291999999</v>
      </c>
      <c r="G2033">
        <v>1304.4246826000001</v>
      </c>
      <c r="H2033">
        <v>1293.0809326000001</v>
      </c>
      <c r="I2033">
        <v>1414.3828125</v>
      </c>
      <c r="J2033">
        <v>1386.3449707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1321.6466969999999</v>
      </c>
      <c r="B2034" s="1">
        <f>DATE(2013,12,12) + TIME(15,31,14)</f>
        <v>41620.646689814814</v>
      </c>
      <c r="C2034">
        <v>90</v>
      </c>
      <c r="D2034">
        <v>85.711883545000006</v>
      </c>
      <c r="E2034">
        <v>30</v>
      </c>
      <c r="F2034">
        <v>29.991119385000001</v>
      </c>
      <c r="G2034">
        <v>1304.3524170000001</v>
      </c>
      <c r="H2034">
        <v>1292.9914550999999</v>
      </c>
      <c r="I2034">
        <v>1414.4001464999999</v>
      </c>
      <c r="J2034">
        <v>1386.3670654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1322.73723</v>
      </c>
      <c r="B2035" s="1">
        <f>DATE(2013,12,13) + TIME(17,41,36)</f>
        <v>41621.737222222226</v>
      </c>
      <c r="C2035">
        <v>90</v>
      </c>
      <c r="D2035">
        <v>85.627365112000007</v>
      </c>
      <c r="E2035">
        <v>30</v>
      </c>
      <c r="F2035">
        <v>29.991117477</v>
      </c>
      <c r="G2035">
        <v>1304.277832</v>
      </c>
      <c r="H2035">
        <v>1292.8988036999999</v>
      </c>
      <c r="I2035">
        <v>1414.4174805</v>
      </c>
      <c r="J2035">
        <v>1386.3891602000001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1323.855282</v>
      </c>
      <c r="B2036" s="1">
        <f>DATE(2013,12,14) + TIME(20,31,36)</f>
        <v>41622.85527777778</v>
      </c>
      <c r="C2036">
        <v>90</v>
      </c>
      <c r="D2036">
        <v>85.541709900000001</v>
      </c>
      <c r="E2036">
        <v>30</v>
      </c>
      <c r="F2036">
        <v>29.991117477</v>
      </c>
      <c r="G2036">
        <v>1304.2006836</v>
      </c>
      <c r="H2036">
        <v>1292.8026123</v>
      </c>
      <c r="I2036">
        <v>1414.4348144999999</v>
      </c>
      <c r="J2036">
        <v>1386.4111327999999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1325.004068</v>
      </c>
      <c r="B2037" s="1">
        <f>DATE(2013,12,16) + TIME(0,5,51)</f>
        <v>41624.004062499997</v>
      </c>
      <c r="C2037">
        <v>90</v>
      </c>
      <c r="D2037">
        <v>85.454704285000005</v>
      </c>
      <c r="E2037">
        <v>30</v>
      </c>
      <c r="F2037">
        <v>29.991115570000002</v>
      </c>
      <c r="G2037">
        <v>1304.1207274999999</v>
      </c>
      <c r="H2037">
        <v>1292.7025146000001</v>
      </c>
      <c r="I2037">
        <v>1414.4522704999999</v>
      </c>
      <c r="J2037">
        <v>1386.4331055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1326.1636559999999</v>
      </c>
      <c r="B2038" s="1">
        <f>DATE(2013,12,17) + TIME(3,55,39)</f>
        <v>41625.163645833331</v>
      </c>
      <c r="C2038">
        <v>90</v>
      </c>
      <c r="D2038">
        <v>85.366867064999994</v>
      </c>
      <c r="E2038">
        <v>30</v>
      </c>
      <c r="F2038">
        <v>29.991115570000002</v>
      </c>
      <c r="G2038">
        <v>1304.0374756000001</v>
      </c>
      <c r="H2038">
        <v>1292.5983887</v>
      </c>
      <c r="I2038">
        <v>1414.4697266000001</v>
      </c>
      <c r="J2038">
        <v>1386.4552002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1327.334382</v>
      </c>
      <c r="B2039" s="1">
        <f>DATE(2013,12,18) + TIME(8,1,30)</f>
        <v>41626.334374999999</v>
      </c>
      <c r="C2039">
        <v>90</v>
      </c>
      <c r="D2039">
        <v>85.278656006000006</v>
      </c>
      <c r="E2039">
        <v>30</v>
      </c>
      <c r="F2039">
        <v>29.991115570000002</v>
      </c>
      <c r="G2039">
        <v>1303.9523925999999</v>
      </c>
      <c r="H2039">
        <v>1292.4913329999999</v>
      </c>
      <c r="I2039">
        <v>1414.4870605000001</v>
      </c>
      <c r="J2039">
        <v>1386.4769286999999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1328.5188700000001</v>
      </c>
      <c r="B2040" s="1">
        <f>DATE(2013,12,19) + TIME(12,27,10)</f>
        <v>41627.518865740742</v>
      </c>
      <c r="C2040">
        <v>90</v>
      </c>
      <c r="D2040">
        <v>85.190177917</v>
      </c>
      <c r="E2040">
        <v>30</v>
      </c>
      <c r="F2040">
        <v>29.991113663</v>
      </c>
      <c r="G2040">
        <v>1303.8653564000001</v>
      </c>
      <c r="H2040">
        <v>1292.3815918</v>
      </c>
      <c r="I2040">
        <v>1414.5041504000001</v>
      </c>
      <c r="J2040">
        <v>1386.4982910000001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1329.7198149999999</v>
      </c>
      <c r="B2041" s="1">
        <f>DATE(2013,12,20) + TIME(17,16,31)</f>
        <v>41628.71980324074</v>
      </c>
      <c r="C2041">
        <v>90</v>
      </c>
      <c r="D2041">
        <v>85.101364136000001</v>
      </c>
      <c r="E2041">
        <v>30</v>
      </c>
      <c r="F2041">
        <v>29.991113663</v>
      </c>
      <c r="G2041">
        <v>1303.7761230000001</v>
      </c>
      <c r="H2041">
        <v>1292.2687988</v>
      </c>
      <c r="I2041">
        <v>1414.5209961</v>
      </c>
      <c r="J2041">
        <v>1386.5192870999999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1330.9399759999999</v>
      </c>
      <c r="B2042" s="1">
        <f>DATE(2013,12,21) + TIME(22,33,33)</f>
        <v>41629.939965277779</v>
      </c>
      <c r="C2042">
        <v>90</v>
      </c>
      <c r="D2042">
        <v>85.012092589999995</v>
      </c>
      <c r="E2042">
        <v>30</v>
      </c>
      <c r="F2042">
        <v>29.991111754999999</v>
      </c>
      <c r="G2042">
        <v>1303.6846923999999</v>
      </c>
      <c r="H2042">
        <v>1292.152832</v>
      </c>
      <c r="I2042">
        <v>1414.5378418</v>
      </c>
      <c r="J2042">
        <v>1386.5402832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1332.182333</v>
      </c>
      <c r="B2043" s="1">
        <f>DATE(2013,12,23) + TIME(4,22,33)</f>
        <v>41631.182326388887</v>
      </c>
      <c r="C2043">
        <v>90</v>
      </c>
      <c r="D2043">
        <v>84.922088622999993</v>
      </c>
      <c r="E2043">
        <v>30</v>
      </c>
      <c r="F2043">
        <v>29.991111754999999</v>
      </c>
      <c r="G2043">
        <v>1303.5904541</v>
      </c>
      <c r="H2043">
        <v>1292.0330810999999</v>
      </c>
      <c r="I2043">
        <v>1414.5546875</v>
      </c>
      <c r="J2043">
        <v>1386.5609131000001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1333.450102</v>
      </c>
      <c r="B2044" s="1">
        <f>DATE(2013,12,24) + TIME(10,48,8)</f>
        <v>41632.450092592589</v>
      </c>
      <c r="C2044">
        <v>90</v>
      </c>
      <c r="D2044">
        <v>84.831184386999993</v>
      </c>
      <c r="E2044">
        <v>30</v>
      </c>
      <c r="F2044">
        <v>29.991111754999999</v>
      </c>
      <c r="G2044">
        <v>1303.4935303</v>
      </c>
      <c r="H2044">
        <v>1291.9094238</v>
      </c>
      <c r="I2044">
        <v>1414.5714111</v>
      </c>
      <c r="J2044">
        <v>1386.581543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1334.7467670000001</v>
      </c>
      <c r="B2045" s="1">
        <f>DATE(2013,12,25) + TIME(17,55,20)</f>
        <v>41633.746759259258</v>
      </c>
      <c r="C2045">
        <v>90</v>
      </c>
      <c r="D2045">
        <v>84.739189147999994</v>
      </c>
      <c r="E2045">
        <v>30</v>
      </c>
      <c r="F2045">
        <v>29.991111754999999</v>
      </c>
      <c r="G2045">
        <v>1303.3933105000001</v>
      </c>
      <c r="H2045">
        <v>1291.78125</v>
      </c>
      <c r="I2045">
        <v>1414.5880127</v>
      </c>
      <c r="J2045">
        <v>1386.6020507999999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1336.076137</v>
      </c>
      <c r="B2046" s="1">
        <f>DATE(2013,12,27) + TIME(1,49,38)</f>
        <v>41635.07613425926</v>
      </c>
      <c r="C2046">
        <v>90</v>
      </c>
      <c r="D2046">
        <v>84.645851135000001</v>
      </c>
      <c r="E2046">
        <v>30</v>
      </c>
      <c r="F2046">
        <v>29.991109848000001</v>
      </c>
      <c r="G2046">
        <v>1303.2894286999999</v>
      </c>
      <c r="H2046">
        <v>1291.6483154</v>
      </c>
      <c r="I2046">
        <v>1414.6048584</v>
      </c>
      <c r="J2046">
        <v>1386.6225586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1337.4170799999999</v>
      </c>
      <c r="B2047" s="1">
        <f>DATE(2013,12,28) + TIME(10,0,35)</f>
        <v>41636.417071759257</v>
      </c>
      <c r="C2047">
        <v>90</v>
      </c>
      <c r="D2047">
        <v>84.551589965999995</v>
      </c>
      <c r="E2047">
        <v>30</v>
      </c>
      <c r="F2047">
        <v>29.991109848000001</v>
      </c>
      <c r="G2047">
        <v>1303.1818848</v>
      </c>
      <c r="H2047">
        <v>1291.5100098</v>
      </c>
      <c r="I2047">
        <v>1414.621582</v>
      </c>
      <c r="J2047">
        <v>1386.6431885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1338.770505</v>
      </c>
      <c r="B2048" s="1">
        <f>DATE(2013,12,29) + TIME(18,29,31)</f>
        <v>41637.770497685182</v>
      </c>
      <c r="C2048">
        <v>90</v>
      </c>
      <c r="D2048">
        <v>84.456878661999994</v>
      </c>
      <c r="E2048">
        <v>30</v>
      </c>
      <c r="F2048">
        <v>29.991109848000001</v>
      </c>
      <c r="G2048">
        <v>1303.0717772999999</v>
      </c>
      <c r="H2048">
        <v>1291.3681641000001</v>
      </c>
      <c r="I2048">
        <v>1414.6381836</v>
      </c>
      <c r="J2048">
        <v>1386.6633300999999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1340.1393270000001</v>
      </c>
      <c r="B2049" s="1">
        <f>DATE(2013,12,31) + TIME(3,20,37)</f>
        <v>41639.139317129629</v>
      </c>
      <c r="C2049">
        <v>90</v>
      </c>
      <c r="D2049">
        <v>84.361793517999999</v>
      </c>
      <c r="E2049">
        <v>30</v>
      </c>
      <c r="F2049">
        <v>29.991109848000001</v>
      </c>
      <c r="G2049">
        <v>1302.9591064000001</v>
      </c>
      <c r="H2049">
        <v>1291.2227783000001</v>
      </c>
      <c r="I2049">
        <v>1414.6546631000001</v>
      </c>
      <c r="J2049">
        <v>1386.6833495999999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1341</v>
      </c>
      <c r="B2050" s="1">
        <f>DATE(2014,1,1) + TIME(0,0,0)</f>
        <v>41640</v>
      </c>
      <c r="C2050">
        <v>90</v>
      </c>
      <c r="D2050">
        <v>84.284057617000002</v>
      </c>
      <c r="E2050">
        <v>30</v>
      </c>
      <c r="F2050">
        <v>29.991109848000001</v>
      </c>
      <c r="G2050">
        <v>1302.8459473</v>
      </c>
      <c r="H2050">
        <v>1291.0791016000001</v>
      </c>
      <c r="I2050">
        <v>1414.6704102000001</v>
      </c>
      <c r="J2050">
        <v>1386.7025146000001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1342.3871839999999</v>
      </c>
      <c r="B2051" s="1">
        <f>DATE(2014,1,2) + TIME(9,17,32)</f>
        <v>41641.387175925927</v>
      </c>
      <c r="C2051">
        <v>90</v>
      </c>
      <c r="D2051">
        <v>84.199913025000001</v>
      </c>
      <c r="E2051">
        <v>30</v>
      </c>
      <c r="F2051">
        <v>29.991109848000001</v>
      </c>
      <c r="G2051">
        <v>1302.7675781</v>
      </c>
      <c r="H2051">
        <v>1290.9727783000001</v>
      </c>
      <c r="I2051">
        <v>1414.6810303</v>
      </c>
      <c r="J2051">
        <v>1386.7150879000001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1343.81107</v>
      </c>
      <c r="B2052" s="1">
        <f>DATE(2014,1,3) + TIME(19,27,56)</f>
        <v>41642.811064814814</v>
      </c>
      <c r="C2052">
        <v>90</v>
      </c>
      <c r="D2052">
        <v>84.107826232999997</v>
      </c>
      <c r="E2052">
        <v>30</v>
      </c>
      <c r="F2052">
        <v>29.991109848000001</v>
      </c>
      <c r="G2052">
        <v>1302.6502685999999</v>
      </c>
      <c r="H2052">
        <v>1290.8212891000001</v>
      </c>
      <c r="I2052">
        <v>1414.6968993999999</v>
      </c>
      <c r="J2052">
        <v>1386.734375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1345.261702</v>
      </c>
      <c r="B2053" s="1">
        <f>DATE(2014,1,5) + TIME(6,16,51)</f>
        <v>41644.261701388888</v>
      </c>
      <c r="C2053">
        <v>90</v>
      </c>
      <c r="D2053">
        <v>84.011756896999998</v>
      </c>
      <c r="E2053">
        <v>30</v>
      </c>
      <c r="F2053">
        <v>29.991109848000001</v>
      </c>
      <c r="G2053">
        <v>1302.5272216999999</v>
      </c>
      <c r="H2053">
        <v>1290.6613769999999</v>
      </c>
      <c r="I2053">
        <v>1414.7128906</v>
      </c>
      <c r="J2053">
        <v>1386.7535399999999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1346.7430280000001</v>
      </c>
      <c r="B2054" s="1">
        <f>DATE(2014,1,6) + TIME(17,49,57)</f>
        <v>41645.743020833332</v>
      </c>
      <c r="C2054">
        <v>90</v>
      </c>
      <c r="D2054">
        <v>83.913307189999998</v>
      </c>
      <c r="E2054">
        <v>30</v>
      </c>
      <c r="F2054">
        <v>29.991109848000001</v>
      </c>
      <c r="G2054">
        <v>1302.3999022999999</v>
      </c>
      <c r="H2054">
        <v>1290.4952393000001</v>
      </c>
      <c r="I2054">
        <v>1414.7290039</v>
      </c>
      <c r="J2054">
        <v>1386.7728271000001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1348.2561479999999</v>
      </c>
      <c r="B2055" s="1">
        <f>DATE(2014,1,8) + TIME(6,8,51)</f>
        <v>41647.256145833337</v>
      </c>
      <c r="C2055">
        <v>90</v>
      </c>
      <c r="D2055">
        <v>83.812965392999999</v>
      </c>
      <c r="E2055">
        <v>30</v>
      </c>
      <c r="F2055">
        <v>29.991109848000001</v>
      </c>
      <c r="G2055">
        <v>1302.2680664</v>
      </c>
      <c r="H2055">
        <v>1290.322876</v>
      </c>
      <c r="I2055">
        <v>1414.7449951000001</v>
      </c>
      <c r="J2055">
        <v>1386.7919922000001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1349.7801669999999</v>
      </c>
      <c r="B2056" s="1">
        <f>DATE(2014,1,9) + TIME(18,43,26)</f>
        <v>41648.780162037037</v>
      </c>
      <c r="C2056">
        <v>90</v>
      </c>
      <c r="D2056">
        <v>83.711357117000006</v>
      </c>
      <c r="E2056">
        <v>30</v>
      </c>
      <c r="F2056">
        <v>29.991109848000001</v>
      </c>
      <c r="G2056">
        <v>1302.1318358999999</v>
      </c>
      <c r="H2056">
        <v>1290.1442870999999</v>
      </c>
      <c r="I2056">
        <v>1414.7609863</v>
      </c>
      <c r="J2056">
        <v>1386.8110352000001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1351.3184570000001</v>
      </c>
      <c r="B2057" s="1">
        <f>DATE(2014,1,11) + TIME(7,38,34)</f>
        <v>41650.318449074075</v>
      </c>
      <c r="C2057">
        <v>90</v>
      </c>
      <c r="D2057">
        <v>83.609016417999996</v>
      </c>
      <c r="E2057">
        <v>30</v>
      </c>
      <c r="F2057">
        <v>29.991109848000001</v>
      </c>
      <c r="G2057">
        <v>1301.9927978999999</v>
      </c>
      <c r="H2057">
        <v>1289.9614257999999</v>
      </c>
      <c r="I2057">
        <v>1414.7768555</v>
      </c>
      <c r="J2057">
        <v>1386.8298339999999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1352.874276</v>
      </c>
      <c r="B2058" s="1">
        <f>DATE(2014,1,12) + TIME(20,58,57)</f>
        <v>41651.87427083333</v>
      </c>
      <c r="C2058">
        <v>90</v>
      </c>
      <c r="D2058">
        <v>83.505950928000004</v>
      </c>
      <c r="E2058">
        <v>30</v>
      </c>
      <c r="F2058">
        <v>29.991111754999999</v>
      </c>
      <c r="G2058">
        <v>1301.8505858999999</v>
      </c>
      <c r="H2058">
        <v>1289.7741699000001</v>
      </c>
      <c r="I2058">
        <v>1414.7924805</v>
      </c>
      <c r="J2058">
        <v>1386.8483887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1354.4508659999999</v>
      </c>
      <c r="B2059" s="1">
        <f>DATE(2014,1,14) + TIME(10,49,14)</f>
        <v>41653.450856481482</v>
      </c>
      <c r="C2059">
        <v>90</v>
      </c>
      <c r="D2059">
        <v>83.401992797999995</v>
      </c>
      <c r="E2059">
        <v>30</v>
      </c>
      <c r="F2059">
        <v>29.991111754999999</v>
      </c>
      <c r="G2059">
        <v>1301.7052002</v>
      </c>
      <c r="H2059">
        <v>1289.5820312000001</v>
      </c>
      <c r="I2059">
        <v>1414.8078613</v>
      </c>
      <c r="J2059">
        <v>1386.8666992000001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1356.051702</v>
      </c>
      <c r="B2060" s="1">
        <f>DATE(2014,1,16) + TIME(1,14,27)</f>
        <v>41655.051701388889</v>
      </c>
      <c r="C2060">
        <v>90</v>
      </c>
      <c r="D2060">
        <v>83.296897888000004</v>
      </c>
      <c r="E2060">
        <v>30</v>
      </c>
      <c r="F2060">
        <v>29.991111754999999</v>
      </c>
      <c r="G2060">
        <v>1301.5560303</v>
      </c>
      <c r="H2060">
        <v>1289.3847656</v>
      </c>
      <c r="I2060">
        <v>1414.8232422000001</v>
      </c>
      <c r="J2060">
        <v>1386.8848877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1357.680492</v>
      </c>
      <c r="B2061" s="1">
        <f>DATE(2014,1,17) + TIME(16,19,54)</f>
        <v>41656.680486111109</v>
      </c>
      <c r="C2061">
        <v>90</v>
      </c>
      <c r="D2061">
        <v>83.190376282000003</v>
      </c>
      <c r="E2061">
        <v>30</v>
      </c>
      <c r="F2061">
        <v>29.991111754999999</v>
      </c>
      <c r="G2061">
        <v>1301.4029541</v>
      </c>
      <c r="H2061">
        <v>1289.1817627</v>
      </c>
      <c r="I2061">
        <v>1414.838501</v>
      </c>
      <c r="J2061">
        <v>1386.9029541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1359.3412060000001</v>
      </c>
      <c r="B2062" s="1">
        <f>DATE(2014,1,19) + TIME(8,11,20)</f>
        <v>41658.341203703705</v>
      </c>
      <c r="C2062">
        <v>90</v>
      </c>
      <c r="D2062">
        <v>83.082130432</v>
      </c>
      <c r="E2062">
        <v>30</v>
      </c>
      <c r="F2062">
        <v>29.991113663</v>
      </c>
      <c r="G2062">
        <v>1301.2453613</v>
      </c>
      <c r="H2062">
        <v>1288.9724120999999</v>
      </c>
      <c r="I2062">
        <v>1414.8537598</v>
      </c>
      <c r="J2062">
        <v>1386.9207764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1361.031821</v>
      </c>
      <c r="B2063" s="1">
        <f>DATE(2014,1,21) + TIME(0,45,49)</f>
        <v>41660.031817129631</v>
      </c>
      <c r="C2063">
        <v>90</v>
      </c>
      <c r="D2063">
        <v>82.971939086999996</v>
      </c>
      <c r="E2063">
        <v>30</v>
      </c>
      <c r="F2063">
        <v>29.991113663</v>
      </c>
      <c r="G2063">
        <v>1301.0830077999999</v>
      </c>
      <c r="H2063">
        <v>1288.7562256000001</v>
      </c>
      <c r="I2063">
        <v>1414.8688964999999</v>
      </c>
      <c r="J2063">
        <v>1386.9387207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1362.7345600000001</v>
      </c>
      <c r="B2064" s="1">
        <f>DATE(2014,1,22) + TIME(17,37,45)</f>
        <v>41661.734548611108</v>
      </c>
      <c r="C2064">
        <v>90</v>
      </c>
      <c r="D2064">
        <v>82.860099792</v>
      </c>
      <c r="E2064">
        <v>30</v>
      </c>
      <c r="F2064">
        <v>29.991115570000002</v>
      </c>
      <c r="G2064">
        <v>1300.9157714999999</v>
      </c>
      <c r="H2064">
        <v>1288.5334473</v>
      </c>
      <c r="I2064">
        <v>1414.8839111</v>
      </c>
      <c r="J2064">
        <v>1386.9564209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1364.4530810000001</v>
      </c>
      <c r="B2065" s="1">
        <f>DATE(2014,1,24) + TIME(10,52,26)</f>
        <v>41663.4530787037</v>
      </c>
      <c r="C2065">
        <v>90</v>
      </c>
      <c r="D2065">
        <v>82.746986389</v>
      </c>
      <c r="E2065">
        <v>30</v>
      </c>
      <c r="F2065">
        <v>29.991115570000002</v>
      </c>
      <c r="G2065">
        <v>1300.7453613</v>
      </c>
      <c r="H2065">
        <v>1288.3056641000001</v>
      </c>
      <c r="I2065">
        <v>1414.8988036999999</v>
      </c>
      <c r="J2065">
        <v>1386.9737548999999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1366.1909410000001</v>
      </c>
      <c r="B2066" s="1">
        <f>DATE(2014,1,26) + TIME(4,34,57)</f>
        <v>41665.190937500003</v>
      </c>
      <c r="C2066">
        <v>90</v>
      </c>
      <c r="D2066">
        <v>82.632476807000003</v>
      </c>
      <c r="E2066">
        <v>30</v>
      </c>
      <c r="F2066">
        <v>29.991117477</v>
      </c>
      <c r="G2066">
        <v>1300.5714111</v>
      </c>
      <c r="H2066">
        <v>1288.0727539</v>
      </c>
      <c r="I2066">
        <v>1414.9135742000001</v>
      </c>
      <c r="J2066">
        <v>1386.9909668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1367.9517330000001</v>
      </c>
      <c r="B2067" s="1">
        <f>DATE(2014,1,27) + TIME(22,50,29)</f>
        <v>41666.951724537037</v>
      </c>
      <c r="C2067">
        <v>90</v>
      </c>
      <c r="D2067">
        <v>82.516304016000007</v>
      </c>
      <c r="E2067">
        <v>30</v>
      </c>
      <c r="F2067">
        <v>29.991117477</v>
      </c>
      <c r="G2067">
        <v>1300.3936768000001</v>
      </c>
      <c r="H2067">
        <v>1287.8343506000001</v>
      </c>
      <c r="I2067">
        <v>1414.9279785000001</v>
      </c>
      <c r="J2067">
        <v>1387.0079346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1369.7392480000001</v>
      </c>
      <c r="B2068" s="1">
        <f>DATE(2014,1,29) + TIME(17,44,31)</f>
        <v>41668.739247685182</v>
      </c>
      <c r="C2068">
        <v>90</v>
      </c>
      <c r="D2068">
        <v>82.398132324000002</v>
      </c>
      <c r="E2068">
        <v>30</v>
      </c>
      <c r="F2068">
        <v>29.991119385000001</v>
      </c>
      <c r="G2068">
        <v>1300.2117920000001</v>
      </c>
      <c r="H2068">
        <v>1287.5897216999999</v>
      </c>
      <c r="I2068">
        <v>1414.9423827999999</v>
      </c>
      <c r="J2068">
        <v>1387.0247803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1371.5575349999999</v>
      </c>
      <c r="B2069" s="1">
        <f>DATE(2014,1,31) + TIME(13,22,51)</f>
        <v>41670.557534722226</v>
      </c>
      <c r="C2069">
        <v>90</v>
      </c>
      <c r="D2069">
        <v>82.277580260999997</v>
      </c>
      <c r="E2069">
        <v>30</v>
      </c>
      <c r="F2069">
        <v>29.991119385000001</v>
      </c>
      <c r="G2069">
        <v>1300.0251464999999</v>
      </c>
      <c r="H2069">
        <v>1287.338501</v>
      </c>
      <c r="I2069">
        <v>1414.9566649999999</v>
      </c>
      <c r="J2069">
        <v>1387.0413818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1372</v>
      </c>
      <c r="B2070" s="1">
        <f>DATE(2014,2,1) + TIME(0,0,0)</f>
        <v>41671</v>
      </c>
      <c r="C2070">
        <v>90</v>
      </c>
      <c r="D2070">
        <v>82.214347838999998</v>
      </c>
      <c r="E2070">
        <v>30</v>
      </c>
      <c r="F2070">
        <v>29.991121291999999</v>
      </c>
      <c r="G2070">
        <v>1299.8469238</v>
      </c>
      <c r="H2070">
        <v>1287.1112060999999</v>
      </c>
      <c r="I2070">
        <v>1414.9693603999999</v>
      </c>
      <c r="J2070">
        <v>1387.0565185999999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1373.853398</v>
      </c>
      <c r="B2071" s="1">
        <f>DATE(2014,2,2) + TIME(20,28,53)</f>
        <v>41672.853391203702</v>
      </c>
      <c r="C2071">
        <v>90</v>
      </c>
      <c r="D2071">
        <v>82.114097595000004</v>
      </c>
      <c r="E2071">
        <v>30</v>
      </c>
      <c r="F2071">
        <v>29.991121291999999</v>
      </c>
      <c r="G2071">
        <v>1299.7780762</v>
      </c>
      <c r="H2071">
        <v>1287.0013428</v>
      </c>
      <c r="I2071">
        <v>1414.9743652</v>
      </c>
      <c r="J2071">
        <v>1387.0618896000001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1375.7258449999999</v>
      </c>
      <c r="B2072" s="1">
        <f>DATE(2014,2,4) + TIME(17,25,13)</f>
        <v>41674.725844907407</v>
      </c>
      <c r="C2072">
        <v>90</v>
      </c>
      <c r="D2072">
        <v>81.994636536000002</v>
      </c>
      <c r="E2072">
        <v>30</v>
      </c>
      <c r="F2072">
        <v>29.991123199</v>
      </c>
      <c r="G2072">
        <v>1299.5861815999999</v>
      </c>
      <c r="H2072">
        <v>1286.744751</v>
      </c>
      <c r="I2072">
        <v>1414.9882812000001</v>
      </c>
      <c r="J2072">
        <v>1387.078125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1377.6146530000001</v>
      </c>
      <c r="B2073" s="1">
        <f>DATE(2014,2,6) + TIME(14,45,6)</f>
        <v>41676.614652777775</v>
      </c>
      <c r="C2073">
        <v>90</v>
      </c>
      <c r="D2073">
        <v>81.867752074999999</v>
      </c>
      <c r="E2073">
        <v>30</v>
      </c>
      <c r="F2073">
        <v>29.991125106999998</v>
      </c>
      <c r="G2073">
        <v>1299.3859863</v>
      </c>
      <c r="H2073">
        <v>1286.4744873</v>
      </c>
      <c r="I2073">
        <v>1415.0019531</v>
      </c>
      <c r="J2073">
        <v>1387.0942382999999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1379.523549</v>
      </c>
      <c r="B2074" s="1">
        <f>DATE(2014,2,8) + TIME(12,33,54)</f>
        <v>41678.523541666669</v>
      </c>
      <c r="C2074">
        <v>90</v>
      </c>
      <c r="D2074">
        <v>81.736907959000007</v>
      </c>
      <c r="E2074">
        <v>30</v>
      </c>
      <c r="F2074">
        <v>29.991125106999998</v>
      </c>
      <c r="G2074">
        <v>1299.1807861</v>
      </c>
      <c r="H2074">
        <v>1286.1965332</v>
      </c>
      <c r="I2074">
        <v>1415.015625</v>
      </c>
      <c r="J2074">
        <v>1387.1099853999999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1381.4565</v>
      </c>
      <c r="B2075" s="1">
        <f>DATE(2014,2,10) + TIME(10,57,21)</f>
        <v>41680.456493055557</v>
      </c>
      <c r="C2075">
        <v>90</v>
      </c>
      <c r="D2075">
        <v>81.602798461999996</v>
      </c>
      <c r="E2075">
        <v>30</v>
      </c>
      <c r="F2075">
        <v>29.991127014</v>
      </c>
      <c r="G2075">
        <v>1298.9710693</v>
      </c>
      <c r="H2075">
        <v>1285.9116211</v>
      </c>
      <c r="I2075">
        <v>1415.0289307</v>
      </c>
      <c r="J2075">
        <v>1387.1256103999999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1383.417535</v>
      </c>
      <c r="B2076" s="1">
        <f>DATE(2014,2,12) + TIME(10,1,15)</f>
        <v>41682.417534722219</v>
      </c>
      <c r="C2076">
        <v>90</v>
      </c>
      <c r="D2076">
        <v>81.465309142999999</v>
      </c>
      <c r="E2076">
        <v>30</v>
      </c>
      <c r="F2076">
        <v>29.991128922000001</v>
      </c>
      <c r="G2076">
        <v>1298.7568358999999</v>
      </c>
      <c r="H2076">
        <v>1285.6199951000001</v>
      </c>
      <c r="I2076">
        <v>1415.0422363</v>
      </c>
      <c r="J2076">
        <v>1387.1408690999999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1385.410948</v>
      </c>
      <c r="B2077" s="1">
        <f>DATE(2014,2,14) + TIME(9,51,45)</f>
        <v>41684.410937499997</v>
      </c>
      <c r="C2077">
        <v>90</v>
      </c>
      <c r="D2077">
        <v>81.324035644999995</v>
      </c>
      <c r="E2077">
        <v>30</v>
      </c>
      <c r="F2077">
        <v>29.991130828999999</v>
      </c>
      <c r="G2077">
        <v>1298.5374756000001</v>
      </c>
      <c r="H2077">
        <v>1285.3209228999999</v>
      </c>
      <c r="I2077">
        <v>1415.0552978999999</v>
      </c>
      <c r="J2077">
        <v>1387.1561279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1387.436238</v>
      </c>
      <c r="B2078" s="1">
        <f>DATE(2014,2,16) + TIME(10,28,10)</f>
        <v>41686.436226851853</v>
      </c>
      <c r="C2078">
        <v>90</v>
      </c>
      <c r="D2078">
        <v>81.178565978999998</v>
      </c>
      <c r="E2078">
        <v>30</v>
      </c>
      <c r="F2078">
        <v>29.991132736000001</v>
      </c>
      <c r="G2078">
        <v>1298.3125</v>
      </c>
      <c r="H2078">
        <v>1285.0139160000001</v>
      </c>
      <c r="I2078">
        <v>1415.0682373</v>
      </c>
      <c r="J2078">
        <v>1387.1711425999999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1389.4748380000001</v>
      </c>
      <c r="B2079" s="1">
        <f>DATE(2014,2,18) + TIME(11,23,46)</f>
        <v>41688.47483796296</v>
      </c>
      <c r="C2079">
        <v>90</v>
      </c>
      <c r="D2079">
        <v>81.028976439999994</v>
      </c>
      <c r="E2079">
        <v>30</v>
      </c>
      <c r="F2079">
        <v>29.991134643999999</v>
      </c>
      <c r="G2079">
        <v>1298.0822754000001</v>
      </c>
      <c r="H2079">
        <v>1284.6990966999999</v>
      </c>
      <c r="I2079">
        <v>1415.0809326000001</v>
      </c>
      <c r="J2079">
        <v>1387.1860352000001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1391.531299</v>
      </c>
      <c r="B2080" s="1">
        <f>DATE(2014,2,20) + TIME(12,45,4)</f>
        <v>41690.5312962963</v>
      </c>
      <c r="C2080">
        <v>90</v>
      </c>
      <c r="D2080">
        <v>80.875656128000003</v>
      </c>
      <c r="E2080">
        <v>30</v>
      </c>
      <c r="F2080">
        <v>29.991136551</v>
      </c>
      <c r="G2080">
        <v>1297.8482666</v>
      </c>
      <c r="H2080">
        <v>1284.3785399999999</v>
      </c>
      <c r="I2080">
        <v>1415.0935059000001</v>
      </c>
      <c r="J2080">
        <v>1387.2005615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1393.6096070000001</v>
      </c>
      <c r="B2081" s="1">
        <f>DATE(2014,2,22) + TIME(14,37,50)</f>
        <v>41692.609606481485</v>
      </c>
      <c r="C2081">
        <v>90</v>
      </c>
      <c r="D2081">
        <v>80.718307495000005</v>
      </c>
      <c r="E2081">
        <v>30</v>
      </c>
      <c r="F2081">
        <v>29.991138458000002</v>
      </c>
      <c r="G2081">
        <v>1297.6102295000001</v>
      </c>
      <c r="H2081">
        <v>1284.0518798999999</v>
      </c>
      <c r="I2081">
        <v>1415.1057129000001</v>
      </c>
      <c r="J2081">
        <v>1387.2148437999999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1395.7139520000001</v>
      </c>
      <c r="B2082" s="1">
        <f>DATE(2014,2,24) + TIME(17,8,5)</f>
        <v>41694.713946759257</v>
      </c>
      <c r="C2082">
        <v>90</v>
      </c>
      <c r="D2082">
        <v>80.556449889999996</v>
      </c>
      <c r="E2082">
        <v>30</v>
      </c>
      <c r="F2082">
        <v>29.991140366</v>
      </c>
      <c r="G2082">
        <v>1297.3679199000001</v>
      </c>
      <c r="H2082">
        <v>1283.71875</v>
      </c>
      <c r="I2082">
        <v>1415.1177978999999</v>
      </c>
      <c r="J2082">
        <v>1387.2288818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1397.848761</v>
      </c>
      <c r="B2083" s="1">
        <f>DATE(2014,2,26) + TIME(20,22,12)</f>
        <v>41696.848749999997</v>
      </c>
      <c r="C2083">
        <v>90</v>
      </c>
      <c r="D2083">
        <v>80.389503478999998</v>
      </c>
      <c r="E2083">
        <v>30</v>
      </c>
      <c r="F2083">
        <v>29.991142273000001</v>
      </c>
      <c r="G2083">
        <v>1297.1207274999999</v>
      </c>
      <c r="H2083">
        <v>1283.3785399999999</v>
      </c>
      <c r="I2083">
        <v>1415.1296387</v>
      </c>
      <c r="J2083">
        <v>1387.2425536999999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1400</v>
      </c>
      <c r="B2084" s="1">
        <f>DATE(2014,3,1) + TIME(0,0,0)</f>
        <v>41699</v>
      </c>
      <c r="C2084">
        <v>90</v>
      </c>
      <c r="D2084">
        <v>80.217247009000005</v>
      </c>
      <c r="E2084">
        <v>30</v>
      </c>
      <c r="F2084">
        <v>29.991144179999999</v>
      </c>
      <c r="G2084">
        <v>1296.8682861</v>
      </c>
      <c r="H2084">
        <v>1283.0305175999999</v>
      </c>
      <c r="I2084">
        <v>1415.1412353999999</v>
      </c>
      <c r="J2084">
        <v>1387.2562256000001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1402.169846</v>
      </c>
      <c r="B2085" s="1">
        <f>DATE(2014,3,3) + TIME(4,4,34)</f>
        <v>41701.16983796296</v>
      </c>
      <c r="C2085">
        <v>90</v>
      </c>
      <c r="D2085">
        <v>80.039863585999996</v>
      </c>
      <c r="E2085">
        <v>30</v>
      </c>
      <c r="F2085">
        <v>29.991147994999999</v>
      </c>
      <c r="G2085">
        <v>1296.6119385</v>
      </c>
      <c r="H2085">
        <v>1282.6765137</v>
      </c>
      <c r="I2085">
        <v>1415.1525879000001</v>
      </c>
      <c r="J2085">
        <v>1387.2694091999999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1404.375538</v>
      </c>
      <c r="B2086" s="1">
        <f>DATE(2014,3,5) + TIME(9,0,46)</f>
        <v>41703.375532407408</v>
      </c>
      <c r="C2086">
        <v>90</v>
      </c>
      <c r="D2086">
        <v>79.856727599999999</v>
      </c>
      <c r="E2086">
        <v>30</v>
      </c>
      <c r="F2086">
        <v>29.991149902</v>
      </c>
      <c r="G2086">
        <v>1296.3515625</v>
      </c>
      <c r="H2086">
        <v>1282.3162841999999</v>
      </c>
      <c r="I2086">
        <v>1415.1635742000001</v>
      </c>
      <c r="J2086">
        <v>1387.2823486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1406.602482</v>
      </c>
      <c r="B2087" s="1">
        <f>DATE(2014,3,7) + TIME(14,27,34)</f>
        <v>41705.602476851855</v>
      </c>
      <c r="C2087">
        <v>90</v>
      </c>
      <c r="D2087">
        <v>79.667037964000002</v>
      </c>
      <c r="E2087">
        <v>30</v>
      </c>
      <c r="F2087">
        <v>29.991151810000002</v>
      </c>
      <c r="G2087">
        <v>1296.0854492000001</v>
      </c>
      <c r="H2087">
        <v>1281.9476318</v>
      </c>
      <c r="I2087">
        <v>1415.1744385</v>
      </c>
      <c r="J2087">
        <v>1387.2951660000001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1408.855114</v>
      </c>
      <c r="B2088" s="1">
        <f>DATE(2014,3,9) + TIME(20,31,21)</f>
        <v>41707.855104166665</v>
      </c>
      <c r="C2088">
        <v>90</v>
      </c>
      <c r="D2088">
        <v>79.470901488999999</v>
      </c>
      <c r="E2088">
        <v>30</v>
      </c>
      <c r="F2088">
        <v>29.991155624000001</v>
      </c>
      <c r="G2088">
        <v>1295.8149414</v>
      </c>
      <c r="H2088">
        <v>1281.5722656</v>
      </c>
      <c r="I2088">
        <v>1415.1850586</v>
      </c>
      <c r="J2088">
        <v>1387.3076172000001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1411.1379810000001</v>
      </c>
      <c r="B2089" s="1">
        <f>DATE(2014,3,12) + TIME(3,18,41)</f>
        <v>41710.137974537036</v>
      </c>
      <c r="C2089">
        <v>90</v>
      </c>
      <c r="D2089">
        <v>79.267807007000002</v>
      </c>
      <c r="E2089">
        <v>30</v>
      </c>
      <c r="F2089">
        <v>29.991157531999999</v>
      </c>
      <c r="G2089">
        <v>1295.5397949000001</v>
      </c>
      <c r="H2089">
        <v>1281.1896973</v>
      </c>
      <c r="I2089">
        <v>1415.1954346</v>
      </c>
      <c r="J2089">
        <v>1387.3198242000001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1413.4559389999999</v>
      </c>
      <c r="B2090" s="1">
        <f>DATE(2014,3,14) + TIME(10,56,33)</f>
        <v>41712.455937500003</v>
      </c>
      <c r="C2090">
        <v>90</v>
      </c>
      <c r="D2090">
        <v>79.057037354000002</v>
      </c>
      <c r="E2090">
        <v>30</v>
      </c>
      <c r="F2090">
        <v>29.991159439</v>
      </c>
      <c r="G2090">
        <v>1295.2592772999999</v>
      </c>
      <c r="H2090">
        <v>1280.7991943</v>
      </c>
      <c r="I2090">
        <v>1415.2054443</v>
      </c>
      <c r="J2090">
        <v>1387.3317870999999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1415.793224</v>
      </c>
      <c r="B2091" s="1">
        <f>DATE(2014,3,16) + TIME(19,2,14)</f>
        <v>41714.793217592596</v>
      </c>
      <c r="C2091">
        <v>90</v>
      </c>
      <c r="D2091">
        <v>78.838226317999997</v>
      </c>
      <c r="E2091">
        <v>30</v>
      </c>
      <c r="F2091">
        <v>29.991163254</v>
      </c>
      <c r="G2091">
        <v>1294.9731445</v>
      </c>
      <c r="H2091">
        <v>1280.4001464999999</v>
      </c>
      <c r="I2091">
        <v>1415.215332</v>
      </c>
      <c r="J2091">
        <v>1387.3435059000001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1418.1488830000001</v>
      </c>
      <c r="B2092" s="1">
        <f>DATE(2014,3,19) + TIME(3,34,23)</f>
        <v>41717.148877314816</v>
      </c>
      <c r="C2092">
        <v>90</v>
      </c>
      <c r="D2092">
        <v>78.611846924000005</v>
      </c>
      <c r="E2092">
        <v>30</v>
      </c>
      <c r="F2092">
        <v>29.991165161000001</v>
      </c>
      <c r="G2092">
        <v>1294.6828613</v>
      </c>
      <c r="H2092">
        <v>1279.9946289</v>
      </c>
      <c r="I2092">
        <v>1415.2248535000001</v>
      </c>
      <c r="J2092">
        <v>1387.3548584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1420.5274979999999</v>
      </c>
      <c r="B2093" s="1">
        <f>DATE(2014,3,21) + TIME(12,39,35)</f>
        <v>41719.527488425927</v>
      </c>
      <c r="C2093">
        <v>90</v>
      </c>
      <c r="D2093">
        <v>78.377738953000005</v>
      </c>
      <c r="E2093">
        <v>30</v>
      </c>
      <c r="F2093">
        <v>29.991168976000001</v>
      </c>
      <c r="G2093">
        <v>1294.3889160000001</v>
      </c>
      <c r="H2093">
        <v>1279.5831298999999</v>
      </c>
      <c r="I2093">
        <v>1415.2341309000001</v>
      </c>
      <c r="J2093">
        <v>1387.3658447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1422.9336209999999</v>
      </c>
      <c r="B2094" s="1">
        <f>DATE(2014,3,23) + TIME(22,24,24)</f>
        <v>41721.933611111112</v>
      </c>
      <c r="C2094">
        <v>90</v>
      </c>
      <c r="D2094">
        <v>78.135284424000005</v>
      </c>
      <c r="E2094">
        <v>30</v>
      </c>
      <c r="F2094">
        <v>29.991172791</v>
      </c>
      <c r="G2094">
        <v>1294.0906981999999</v>
      </c>
      <c r="H2094">
        <v>1279.1650391000001</v>
      </c>
      <c r="I2094">
        <v>1415.2430420000001</v>
      </c>
      <c r="J2094">
        <v>1387.3765868999999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1425.372001</v>
      </c>
      <c r="B2095" s="1">
        <f>DATE(2014,3,26) + TIME(8,55,40)</f>
        <v>41724.371990740743</v>
      </c>
      <c r="C2095">
        <v>90</v>
      </c>
      <c r="D2095">
        <v>77.883735657000003</v>
      </c>
      <c r="E2095">
        <v>30</v>
      </c>
      <c r="F2095">
        <v>29.991174697999998</v>
      </c>
      <c r="G2095">
        <v>1293.7878418</v>
      </c>
      <c r="H2095">
        <v>1278.7397461</v>
      </c>
      <c r="I2095">
        <v>1415.2515868999999</v>
      </c>
      <c r="J2095">
        <v>1387.3869629000001</v>
      </c>
      <c r="K2095">
        <v>0</v>
      </c>
      <c r="L2095">
        <v>2400</v>
      </c>
      <c r="M2095">
        <v>2400</v>
      </c>
      <c r="N2095">
        <v>0</v>
      </c>
    </row>
    <row r="2096" spans="1:14" x14ac:dyDescent="0.25">
      <c r="A2096">
        <v>1427.841662</v>
      </c>
      <c r="B2096" s="1">
        <f>DATE(2014,3,28) + TIME(20,11,59)</f>
        <v>41726.84165509259</v>
      </c>
      <c r="C2096">
        <v>90</v>
      </c>
      <c r="D2096">
        <v>77.622390746999997</v>
      </c>
      <c r="E2096">
        <v>30</v>
      </c>
      <c r="F2096">
        <v>29.991178513000001</v>
      </c>
      <c r="G2096">
        <v>1293.4798584</v>
      </c>
      <c r="H2096">
        <v>1278.3063964999999</v>
      </c>
      <c r="I2096">
        <v>1415.2598877</v>
      </c>
      <c r="J2096">
        <v>1387.3969727000001</v>
      </c>
      <c r="K2096">
        <v>0</v>
      </c>
      <c r="L2096">
        <v>2400</v>
      </c>
      <c r="M2096">
        <v>2400</v>
      </c>
      <c r="N2096">
        <v>0</v>
      </c>
    </row>
    <row r="2097" spans="1:14" x14ac:dyDescent="0.25">
      <c r="A2097">
        <v>1430.3279230000001</v>
      </c>
      <c r="B2097" s="1">
        <f>DATE(2014,3,31) + TIME(7,52,12)</f>
        <v>41729.327916666669</v>
      </c>
      <c r="C2097">
        <v>90</v>
      </c>
      <c r="D2097">
        <v>77.351234435999999</v>
      </c>
      <c r="E2097">
        <v>30</v>
      </c>
      <c r="F2097">
        <v>29.991182327000001</v>
      </c>
      <c r="G2097">
        <v>1293.1668701000001</v>
      </c>
      <c r="H2097">
        <v>1277.8653564000001</v>
      </c>
      <c r="I2097">
        <v>1415.2678223</v>
      </c>
      <c r="J2097">
        <v>1387.4067382999999</v>
      </c>
      <c r="K2097">
        <v>0</v>
      </c>
      <c r="L2097">
        <v>2400</v>
      </c>
      <c r="M2097">
        <v>2400</v>
      </c>
      <c r="N2097">
        <v>0</v>
      </c>
    </row>
    <row r="2098" spans="1:14" x14ac:dyDescent="0.25">
      <c r="A2098">
        <v>1431</v>
      </c>
      <c r="B2098" s="1">
        <f>DATE(2014,4,1) + TIME(0,0,0)</f>
        <v>41730</v>
      </c>
      <c r="C2098">
        <v>90</v>
      </c>
      <c r="D2098">
        <v>77.175071716000005</v>
      </c>
      <c r="E2098">
        <v>30</v>
      </c>
      <c r="F2098">
        <v>29.991182327000001</v>
      </c>
      <c r="G2098">
        <v>1292.8679199000001</v>
      </c>
      <c r="H2098">
        <v>1277.4698486</v>
      </c>
      <c r="I2098">
        <v>1415.2742920000001</v>
      </c>
      <c r="J2098">
        <v>1387.4150391000001</v>
      </c>
      <c r="K2098">
        <v>0</v>
      </c>
      <c r="L2098">
        <v>2400</v>
      </c>
      <c r="M2098">
        <v>2400</v>
      </c>
      <c r="N2098">
        <v>0</v>
      </c>
    </row>
    <row r="2099" spans="1:14" x14ac:dyDescent="0.25">
      <c r="A2099">
        <v>1433.5084549999999</v>
      </c>
      <c r="B2099" s="1">
        <f>DATE(2014,4,3) + TIME(12,12,10)</f>
        <v>41732.508449074077</v>
      </c>
      <c r="C2099">
        <v>90</v>
      </c>
      <c r="D2099">
        <v>76.971305846999996</v>
      </c>
      <c r="E2099">
        <v>30</v>
      </c>
      <c r="F2099">
        <v>29.991186142</v>
      </c>
      <c r="G2099">
        <v>1292.7487793</v>
      </c>
      <c r="H2099">
        <v>1277.2657471</v>
      </c>
      <c r="I2099">
        <v>1415.2775879000001</v>
      </c>
      <c r="J2099">
        <v>1387.4185791</v>
      </c>
      <c r="K2099">
        <v>0</v>
      </c>
      <c r="L2099">
        <v>2400</v>
      </c>
      <c r="M2099">
        <v>2400</v>
      </c>
      <c r="N2099">
        <v>0</v>
      </c>
    </row>
    <row r="2100" spans="1:14" x14ac:dyDescent="0.25">
      <c r="A2100">
        <v>1436.0519099999999</v>
      </c>
      <c r="B2100" s="1">
        <f>DATE(2014,4,6) + TIME(1,14,45)</f>
        <v>41735.05190972222</v>
      </c>
      <c r="C2100">
        <v>90</v>
      </c>
      <c r="D2100">
        <v>76.696075438999998</v>
      </c>
      <c r="E2100">
        <v>30</v>
      </c>
      <c r="F2100">
        <v>29.991189957</v>
      </c>
      <c r="G2100">
        <v>1292.4404297000001</v>
      </c>
      <c r="H2100">
        <v>1276.8364257999999</v>
      </c>
      <c r="I2100">
        <v>1415.2845459</v>
      </c>
      <c r="J2100">
        <v>1387.4273682</v>
      </c>
      <c r="K2100">
        <v>0</v>
      </c>
      <c r="L2100">
        <v>2400</v>
      </c>
      <c r="M2100">
        <v>2400</v>
      </c>
      <c r="N2100">
        <v>0</v>
      </c>
    </row>
    <row r="2101" spans="1:14" x14ac:dyDescent="0.25">
      <c r="A2101">
        <v>1438.6286359999999</v>
      </c>
      <c r="B2101" s="1">
        <f>DATE(2014,4,8) + TIME(15,5,14)</f>
        <v>41737.628634259258</v>
      </c>
      <c r="C2101">
        <v>90</v>
      </c>
      <c r="D2101">
        <v>76.396156310999999</v>
      </c>
      <c r="E2101">
        <v>30</v>
      </c>
      <c r="F2101">
        <v>29.991193770999999</v>
      </c>
      <c r="G2101">
        <v>1292.1176757999999</v>
      </c>
      <c r="H2101">
        <v>1276.3804932</v>
      </c>
      <c r="I2101">
        <v>1415.2913818</v>
      </c>
      <c r="J2101">
        <v>1387.4359131000001</v>
      </c>
      <c r="K2101">
        <v>0</v>
      </c>
      <c r="L2101">
        <v>2400</v>
      </c>
      <c r="M2101">
        <v>2400</v>
      </c>
      <c r="N2101">
        <v>0</v>
      </c>
    </row>
    <row r="2102" spans="1:14" x14ac:dyDescent="0.25">
      <c r="A2102">
        <v>1441.2334109999999</v>
      </c>
      <c r="B2102" s="1">
        <f>DATE(2014,4,11) + TIME(5,36,6)</f>
        <v>41740.233402777776</v>
      </c>
      <c r="C2102">
        <v>90</v>
      </c>
      <c r="D2102">
        <v>76.082015991000006</v>
      </c>
      <c r="E2102">
        <v>30</v>
      </c>
      <c r="F2102">
        <v>29.991197585999998</v>
      </c>
      <c r="G2102">
        <v>1291.7878418</v>
      </c>
      <c r="H2102">
        <v>1275.9123535000001</v>
      </c>
      <c r="I2102">
        <v>1415.2978516000001</v>
      </c>
      <c r="J2102">
        <v>1387.4440918</v>
      </c>
      <c r="K2102">
        <v>0</v>
      </c>
      <c r="L2102">
        <v>2400</v>
      </c>
      <c r="M2102">
        <v>2400</v>
      </c>
      <c r="N2102">
        <v>0</v>
      </c>
    </row>
    <row r="2103" spans="1:14" x14ac:dyDescent="0.25">
      <c r="A2103">
        <v>1443.8574980000001</v>
      </c>
      <c r="B2103" s="1">
        <f>DATE(2014,4,13) + TIME(20,34,47)</f>
        <v>41742.857488425929</v>
      </c>
      <c r="C2103">
        <v>90</v>
      </c>
      <c r="D2103">
        <v>75.756370544000006</v>
      </c>
      <c r="E2103">
        <v>30</v>
      </c>
      <c r="F2103">
        <v>29.991201401000001</v>
      </c>
      <c r="G2103">
        <v>1291.453125</v>
      </c>
      <c r="H2103">
        <v>1275.4364014</v>
      </c>
      <c r="I2103">
        <v>1415.3038329999999</v>
      </c>
      <c r="J2103">
        <v>1387.4520264</v>
      </c>
      <c r="K2103">
        <v>0</v>
      </c>
      <c r="L2103">
        <v>2400</v>
      </c>
      <c r="M2103">
        <v>2400</v>
      </c>
      <c r="N2103">
        <v>0</v>
      </c>
    </row>
    <row r="2104" spans="1:14" x14ac:dyDescent="0.25">
      <c r="A2104">
        <v>1446.5065050000001</v>
      </c>
      <c r="B2104" s="1">
        <f>DATE(2014,4,16) + TIME(12,9,22)</f>
        <v>41745.506504629629</v>
      </c>
      <c r="C2104">
        <v>90</v>
      </c>
      <c r="D2104">
        <v>75.419944763000004</v>
      </c>
      <c r="E2104">
        <v>30</v>
      </c>
      <c r="F2104">
        <v>29.991205215000001</v>
      </c>
      <c r="G2104">
        <v>1291.1151123</v>
      </c>
      <c r="H2104">
        <v>1274.9545897999999</v>
      </c>
      <c r="I2104">
        <v>1415.3095702999999</v>
      </c>
      <c r="J2104">
        <v>1387.4593506000001</v>
      </c>
      <c r="K2104">
        <v>0</v>
      </c>
      <c r="L2104">
        <v>2400</v>
      </c>
      <c r="M2104">
        <v>2400</v>
      </c>
      <c r="N2104">
        <v>0</v>
      </c>
    </row>
    <row r="2105" spans="1:14" x14ac:dyDescent="0.25">
      <c r="A2105">
        <v>1449.185377</v>
      </c>
      <c r="B2105" s="1">
        <f>DATE(2014,4,19) + TIME(4,26,56)</f>
        <v>41748.185370370367</v>
      </c>
      <c r="C2105">
        <v>90</v>
      </c>
      <c r="D2105">
        <v>75.072265625</v>
      </c>
      <c r="E2105">
        <v>30</v>
      </c>
      <c r="F2105">
        <v>29.99120903</v>
      </c>
      <c r="G2105">
        <v>1290.7734375</v>
      </c>
      <c r="H2105">
        <v>1274.4666748</v>
      </c>
      <c r="I2105">
        <v>1415.3148193</v>
      </c>
      <c r="J2105">
        <v>1387.4664307</v>
      </c>
      <c r="K2105">
        <v>0</v>
      </c>
      <c r="L2105">
        <v>2400</v>
      </c>
      <c r="M2105">
        <v>2400</v>
      </c>
      <c r="N2105">
        <v>0</v>
      </c>
    </row>
    <row r="2106" spans="1:14" x14ac:dyDescent="0.25">
      <c r="A2106">
        <v>1451.8992519999999</v>
      </c>
      <c r="B2106" s="1">
        <f>DATE(2014,4,21) + TIME(21,34,55)</f>
        <v>41750.899247685185</v>
      </c>
      <c r="C2106">
        <v>90</v>
      </c>
      <c r="D2106">
        <v>74.712295531999999</v>
      </c>
      <c r="E2106">
        <v>30</v>
      </c>
      <c r="F2106">
        <v>29.991212845</v>
      </c>
      <c r="G2106">
        <v>1290.4277344</v>
      </c>
      <c r="H2106">
        <v>1273.9719238</v>
      </c>
      <c r="I2106">
        <v>1415.3198242000001</v>
      </c>
      <c r="J2106">
        <v>1387.4730225000001</v>
      </c>
      <c r="K2106">
        <v>0</v>
      </c>
      <c r="L2106">
        <v>2400</v>
      </c>
      <c r="M2106">
        <v>2400</v>
      </c>
      <c r="N2106">
        <v>0</v>
      </c>
    </row>
    <row r="2107" spans="1:14" x14ac:dyDescent="0.25">
      <c r="A2107">
        <v>1454.6359279999999</v>
      </c>
      <c r="B2107" s="1">
        <f>DATE(2014,4,24) + TIME(15,15,44)</f>
        <v>41753.635925925926</v>
      </c>
      <c r="C2107">
        <v>90</v>
      </c>
      <c r="D2107">
        <v>74.339904785000002</v>
      </c>
      <c r="E2107">
        <v>30</v>
      </c>
      <c r="F2107">
        <v>29.991216659999999</v>
      </c>
      <c r="G2107">
        <v>1290.0775146000001</v>
      </c>
      <c r="H2107">
        <v>1273.4698486</v>
      </c>
      <c r="I2107">
        <v>1415.3242187999999</v>
      </c>
      <c r="J2107">
        <v>1387.4792480000001</v>
      </c>
      <c r="K2107">
        <v>0</v>
      </c>
      <c r="L2107">
        <v>2400</v>
      </c>
      <c r="M2107">
        <v>2400</v>
      </c>
      <c r="N2107">
        <v>0</v>
      </c>
    </row>
    <row r="2108" spans="1:14" x14ac:dyDescent="0.25">
      <c r="A2108">
        <v>1457.3961899999999</v>
      </c>
      <c r="B2108" s="1">
        <f>DATE(2014,4,27) + TIME(9,30,30)</f>
        <v>41756.396180555559</v>
      </c>
      <c r="C2108">
        <v>90</v>
      </c>
      <c r="D2108">
        <v>73.956016540999997</v>
      </c>
      <c r="E2108">
        <v>30</v>
      </c>
      <c r="F2108">
        <v>29.991220473999999</v>
      </c>
      <c r="G2108">
        <v>1289.723999</v>
      </c>
      <c r="H2108">
        <v>1272.9620361</v>
      </c>
      <c r="I2108">
        <v>1415.3283690999999</v>
      </c>
      <c r="J2108">
        <v>1387.4849853999999</v>
      </c>
      <c r="K2108">
        <v>0</v>
      </c>
      <c r="L2108">
        <v>2400</v>
      </c>
      <c r="M2108">
        <v>2400</v>
      </c>
      <c r="N2108">
        <v>0</v>
      </c>
    </row>
    <row r="2109" spans="1:14" x14ac:dyDescent="0.25">
      <c r="A2109">
        <v>1460.185342</v>
      </c>
      <c r="B2109" s="1">
        <f>DATE(2014,4,30) + TIME(4,26,53)</f>
        <v>41759.185335648152</v>
      </c>
      <c r="C2109">
        <v>90</v>
      </c>
      <c r="D2109">
        <v>73.560699463000006</v>
      </c>
      <c r="E2109">
        <v>30</v>
      </c>
      <c r="F2109">
        <v>29.991226196</v>
      </c>
      <c r="G2109">
        <v>1289.3675536999999</v>
      </c>
      <c r="H2109">
        <v>1272.4489745999999</v>
      </c>
      <c r="I2109">
        <v>1415.3320312000001</v>
      </c>
      <c r="J2109">
        <v>1387.4903564000001</v>
      </c>
      <c r="K2109">
        <v>0</v>
      </c>
      <c r="L2109">
        <v>2400</v>
      </c>
      <c r="M2109">
        <v>2400</v>
      </c>
      <c r="N2109">
        <v>0</v>
      </c>
    </row>
    <row r="2110" spans="1:14" x14ac:dyDescent="0.25">
      <c r="A2110">
        <v>1461</v>
      </c>
      <c r="B2110" s="1">
        <f>DATE(2014,5,1) + TIME(0,0,0)</f>
        <v>41760</v>
      </c>
      <c r="C2110">
        <v>90</v>
      </c>
      <c r="D2110">
        <v>73.283195496000005</v>
      </c>
      <c r="E2110">
        <v>30</v>
      </c>
      <c r="F2110">
        <v>29.991226196</v>
      </c>
      <c r="G2110">
        <v>1289.0223389</v>
      </c>
      <c r="H2110">
        <v>1271.9854736</v>
      </c>
      <c r="I2110">
        <v>1415.3343506000001</v>
      </c>
      <c r="J2110">
        <v>1387.4943848</v>
      </c>
      <c r="K2110">
        <v>0</v>
      </c>
      <c r="L2110">
        <v>2400</v>
      </c>
      <c r="M2110">
        <v>2400</v>
      </c>
      <c r="N2110">
        <v>0</v>
      </c>
    </row>
    <row r="2111" spans="1:14" x14ac:dyDescent="0.25">
      <c r="A2111">
        <v>1461.0000010000001</v>
      </c>
      <c r="B2111" s="1">
        <f>DATE(2014,5,1) + TIME(0,0,0)</f>
        <v>41760</v>
      </c>
      <c r="C2111">
        <v>90</v>
      </c>
      <c r="D2111">
        <v>73.283370972</v>
      </c>
      <c r="E2111">
        <v>30</v>
      </c>
      <c r="F2111">
        <v>29.991127014</v>
      </c>
      <c r="G2111">
        <v>1307.6474608999999</v>
      </c>
      <c r="H2111">
        <v>1290.1225586</v>
      </c>
      <c r="I2111">
        <v>1386.6191406</v>
      </c>
      <c r="J2111">
        <v>1359.0396728999999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1461.000004</v>
      </c>
      <c r="B2112" s="1">
        <f>DATE(2014,5,1) + TIME(0,0,0)</f>
        <v>41760</v>
      </c>
      <c r="C2112">
        <v>90</v>
      </c>
      <c r="D2112">
        <v>73.283828735</v>
      </c>
      <c r="E2112">
        <v>30</v>
      </c>
      <c r="F2112">
        <v>29.990852356000001</v>
      </c>
      <c r="G2112">
        <v>1310.0444336</v>
      </c>
      <c r="H2112">
        <v>1292.9051514</v>
      </c>
      <c r="I2112">
        <v>1384.2028809000001</v>
      </c>
      <c r="J2112">
        <v>1356.6228027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1461.0000130000001</v>
      </c>
      <c r="B2113" s="1">
        <f>DATE(2014,5,1) + TIME(0,0,1)</f>
        <v>41760.000011574077</v>
      </c>
      <c r="C2113">
        <v>90</v>
      </c>
      <c r="D2113">
        <v>73.284835814999994</v>
      </c>
      <c r="E2113">
        <v>30</v>
      </c>
      <c r="F2113">
        <v>29.990188599</v>
      </c>
      <c r="G2113">
        <v>1315.2064209</v>
      </c>
      <c r="H2113">
        <v>1298.5594481999999</v>
      </c>
      <c r="I2113">
        <v>1378.3616943</v>
      </c>
      <c r="J2113">
        <v>1350.7807617000001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1461.0000399999999</v>
      </c>
      <c r="B2114" s="1">
        <f>DATE(2014,5,1) + TIME(0,0,3)</f>
        <v>41760.000034722223</v>
      </c>
      <c r="C2114">
        <v>90</v>
      </c>
      <c r="D2114">
        <v>73.286666870000005</v>
      </c>
      <c r="E2114">
        <v>30</v>
      </c>
      <c r="F2114">
        <v>29.988946915</v>
      </c>
      <c r="G2114">
        <v>1323.4516602000001</v>
      </c>
      <c r="H2114">
        <v>1306.9847411999999</v>
      </c>
      <c r="I2114">
        <v>1367.4265137</v>
      </c>
      <c r="J2114">
        <v>1339.8446045000001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1461.000121</v>
      </c>
      <c r="B2115" s="1">
        <f>DATE(2014,5,1) + TIME(0,0,10)</f>
        <v>41760.000115740739</v>
      </c>
      <c r="C2115">
        <v>90</v>
      </c>
      <c r="D2115">
        <v>73.290016174000002</v>
      </c>
      <c r="E2115">
        <v>30</v>
      </c>
      <c r="F2115">
        <v>29.987268447999998</v>
      </c>
      <c r="G2115">
        <v>1333.2933350000001</v>
      </c>
      <c r="H2115">
        <v>1316.6618652</v>
      </c>
      <c r="I2115">
        <v>1352.6617432</v>
      </c>
      <c r="J2115">
        <v>1325.0811768000001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1461.000364</v>
      </c>
      <c r="B2116" s="1">
        <f>DATE(2014,5,1) + TIME(0,0,31)</f>
        <v>41760.000358796293</v>
      </c>
      <c r="C2116">
        <v>90</v>
      </c>
      <c r="D2116">
        <v>73.29750061</v>
      </c>
      <c r="E2116">
        <v>30</v>
      </c>
      <c r="F2116">
        <v>29.985466002999999</v>
      </c>
      <c r="G2116">
        <v>1343.4842529</v>
      </c>
      <c r="H2116">
        <v>1326.6341553</v>
      </c>
      <c r="I2116">
        <v>1336.8480225000001</v>
      </c>
      <c r="J2116">
        <v>1309.2716064000001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1461.0010930000001</v>
      </c>
      <c r="B2117" s="1">
        <f>DATE(2014,5,1) + TIME(0,1,34)</f>
        <v>41760.001087962963</v>
      </c>
      <c r="C2117">
        <v>90</v>
      </c>
      <c r="D2117">
        <v>73.317459106000001</v>
      </c>
      <c r="E2117">
        <v>30</v>
      </c>
      <c r="F2117">
        <v>29.983644484999999</v>
      </c>
      <c r="G2117">
        <v>1353.9676514</v>
      </c>
      <c r="H2117">
        <v>1336.8800048999999</v>
      </c>
      <c r="I2117">
        <v>1321.0174560999999</v>
      </c>
      <c r="J2117">
        <v>1293.4473877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1461.0032799999999</v>
      </c>
      <c r="B2118" s="1">
        <f>DATE(2014,5,1) + TIME(0,4,43)</f>
        <v>41760.003275462965</v>
      </c>
      <c r="C2118">
        <v>90</v>
      </c>
      <c r="D2118">
        <v>73.375305175999998</v>
      </c>
      <c r="E2118">
        <v>30</v>
      </c>
      <c r="F2118">
        <v>29.981779099000001</v>
      </c>
      <c r="G2118">
        <v>1365.1335449000001</v>
      </c>
      <c r="H2118">
        <v>1347.7731934000001</v>
      </c>
      <c r="I2118">
        <v>1305.260376</v>
      </c>
      <c r="J2118">
        <v>1277.6833495999999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1461.0098410000001</v>
      </c>
      <c r="B2119" s="1">
        <f>DATE(2014,5,1) + TIME(0,14,10)</f>
        <v>41760.009837962964</v>
      </c>
      <c r="C2119">
        <v>90</v>
      </c>
      <c r="D2119">
        <v>73.546768188000001</v>
      </c>
      <c r="E2119">
        <v>30</v>
      </c>
      <c r="F2119">
        <v>29.979856491</v>
      </c>
      <c r="G2119">
        <v>1376.6623535000001</v>
      </c>
      <c r="H2119">
        <v>1359.0687256000001</v>
      </c>
      <c r="I2119">
        <v>1290.3129882999999</v>
      </c>
      <c r="J2119">
        <v>1262.6782227000001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1461.029524</v>
      </c>
      <c r="B2120" s="1">
        <f>DATE(2014,5,1) + TIME(0,42,30)</f>
        <v>41760.029513888891</v>
      </c>
      <c r="C2120">
        <v>90</v>
      </c>
      <c r="D2120">
        <v>74.046691894999995</v>
      </c>
      <c r="E2120">
        <v>30</v>
      </c>
      <c r="F2120">
        <v>29.977869034000001</v>
      </c>
      <c r="G2120">
        <v>1386.1791992000001</v>
      </c>
      <c r="H2120">
        <v>1368.5427245999999</v>
      </c>
      <c r="I2120">
        <v>1278.8123779</v>
      </c>
      <c r="J2120">
        <v>1251.0996094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1461.052666</v>
      </c>
      <c r="B2121" s="1">
        <f>DATE(2014,5,1) + TIME(1,15,50)</f>
        <v>41760.052662037036</v>
      </c>
      <c r="C2121">
        <v>90</v>
      </c>
      <c r="D2121">
        <v>74.614036560000002</v>
      </c>
      <c r="E2121">
        <v>30</v>
      </c>
      <c r="F2121">
        <v>29.976577759000001</v>
      </c>
      <c r="G2121">
        <v>1389.8936768000001</v>
      </c>
      <c r="H2121">
        <v>1372.3427733999999</v>
      </c>
      <c r="I2121">
        <v>1274.6269531</v>
      </c>
      <c r="J2121">
        <v>1246.8834228999999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1461.076335</v>
      </c>
      <c r="B2122" s="1">
        <f>DATE(2014,5,1) + TIME(1,49,55)</f>
        <v>41760.076331018521</v>
      </c>
      <c r="C2122">
        <v>90</v>
      </c>
      <c r="D2122">
        <v>75.173210143999995</v>
      </c>
      <c r="E2122">
        <v>30</v>
      </c>
      <c r="F2122">
        <v>29.975576401000001</v>
      </c>
      <c r="G2122">
        <v>1391.2827147999999</v>
      </c>
      <c r="H2122">
        <v>1373.8463135</v>
      </c>
      <c r="I2122">
        <v>1273.1697998</v>
      </c>
      <c r="J2122">
        <v>1245.4152832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1461.100453</v>
      </c>
      <c r="B2123" s="1">
        <f>DATE(2014,5,1) + TIME(2,24,39)</f>
        <v>41760.100451388891</v>
      </c>
      <c r="C2123">
        <v>90</v>
      </c>
      <c r="D2123">
        <v>75.721557617000002</v>
      </c>
      <c r="E2123">
        <v>30</v>
      </c>
      <c r="F2123">
        <v>29.974672318</v>
      </c>
      <c r="G2123">
        <v>1391.7747803</v>
      </c>
      <c r="H2123">
        <v>1374.4591064000001</v>
      </c>
      <c r="I2123">
        <v>1272.6683350000001</v>
      </c>
      <c r="J2123">
        <v>1244.9095459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1461.1249889999999</v>
      </c>
      <c r="B2124" s="1">
        <f>DATE(2014,5,1) + TIME(2,59,59)</f>
        <v>41760.124988425923</v>
      </c>
      <c r="C2124">
        <v>90</v>
      </c>
      <c r="D2124">
        <v>76.258354186999995</v>
      </c>
      <c r="E2124">
        <v>30</v>
      </c>
      <c r="F2124">
        <v>29.973794937000001</v>
      </c>
      <c r="G2124">
        <v>1391.8929443</v>
      </c>
      <c r="H2124">
        <v>1374.6976318</v>
      </c>
      <c r="I2124">
        <v>1272.512207</v>
      </c>
      <c r="J2124">
        <v>1244.7518310999999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1461.1499510000001</v>
      </c>
      <c r="B2125" s="1">
        <f>DATE(2014,5,1) + TIME(3,35,55)</f>
        <v>41760.149942129632</v>
      </c>
      <c r="C2125">
        <v>90</v>
      </c>
      <c r="D2125">
        <v>76.783477782999995</v>
      </c>
      <c r="E2125">
        <v>30</v>
      </c>
      <c r="F2125">
        <v>29.972925186000001</v>
      </c>
      <c r="G2125">
        <v>1391.8488769999999</v>
      </c>
      <c r="H2125">
        <v>1374.7707519999999</v>
      </c>
      <c r="I2125">
        <v>1272.4768065999999</v>
      </c>
      <c r="J2125">
        <v>1244.7156981999999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1461.1753570000001</v>
      </c>
      <c r="B2126" s="1">
        <f>DATE(2014,5,1) + TIME(4,12,30)</f>
        <v>41760.175347222219</v>
      </c>
      <c r="C2126">
        <v>90</v>
      </c>
      <c r="D2126">
        <v>77.297080993999998</v>
      </c>
      <c r="E2126">
        <v>30</v>
      </c>
      <c r="F2126">
        <v>29.972049713000001</v>
      </c>
      <c r="G2126">
        <v>1391.7329102000001</v>
      </c>
      <c r="H2126">
        <v>1374.7685547000001</v>
      </c>
      <c r="I2126">
        <v>1272.4792480000001</v>
      </c>
      <c r="J2126">
        <v>1244.7178954999999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1461.201229</v>
      </c>
      <c r="B2127" s="1">
        <f>DATE(2014,5,1) + TIME(4,49,46)</f>
        <v>41760.201226851852</v>
      </c>
      <c r="C2127">
        <v>90</v>
      </c>
      <c r="D2127">
        <v>77.799278259000005</v>
      </c>
      <c r="E2127">
        <v>30</v>
      </c>
      <c r="F2127">
        <v>29.971164702999999</v>
      </c>
      <c r="G2127">
        <v>1391.5855713000001</v>
      </c>
      <c r="H2127">
        <v>1374.7310791</v>
      </c>
      <c r="I2127">
        <v>1272.4904785000001</v>
      </c>
      <c r="J2127">
        <v>1244.7288818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1461.227586</v>
      </c>
      <c r="B2128" s="1">
        <f>DATE(2014,5,1) + TIME(5,27,43)</f>
        <v>41760.227581018517</v>
      </c>
      <c r="C2128">
        <v>90</v>
      </c>
      <c r="D2128">
        <v>78.290214539000004</v>
      </c>
      <c r="E2128">
        <v>30</v>
      </c>
      <c r="F2128">
        <v>29.970270157000002</v>
      </c>
      <c r="G2128">
        <v>1391.425293</v>
      </c>
      <c r="H2128">
        <v>1374.6768798999999</v>
      </c>
      <c r="I2128">
        <v>1272.5012207</v>
      </c>
      <c r="J2128">
        <v>1244.7393798999999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1461.2544519999999</v>
      </c>
      <c r="B2129" s="1">
        <f>DATE(2014,5,1) + TIME(6,6,24)</f>
        <v>41760.254444444443</v>
      </c>
      <c r="C2129">
        <v>90</v>
      </c>
      <c r="D2129">
        <v>78.770019531000003</v>
      </c>
      <c r="E2129">
        <v>30</v>
      </c>
      <c r="F2129">
        <v>29.969366074</v>
      </c>
      <c r="G2129">
        <v>1391.2609863</v>
      </c>
      <c r="H2129">
        <v>1374.6149902</v>
      </c>
      <c r="I2129">
        <v>1272.5092772999999</v>
      </c>
      <c r="J2129">
        <v>1244.7473144999999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1461.281825</v>
      </c>
      <c r="B2130" s="1">
        <f>DATE(2014,5,1) + TIME(6,45,49)</f>
        <v>41760.281817129631</v>
      </c>
      <c r="C2130">
        <v>90</v>
      </c>
      <c r="D2130">
        <v>79.238403320000003</v>
      </c>
      <c r="E2130">
        <v>30</v>
      </c>
      <c r="F2130">
        <v>29.968450546</v>
      </c>
      <c r="G2130">
        <v>1391.0972899999999</v>
      </c>
      <c r="H2130">
        <v>1374.5500488</v>
      </c>
      <c r="I2130">
        <v>1272.5148925999999</v>
      </c>
      <c r="J2130">
        <v>1244.7528076000001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1461.3097250000001</v>
      </c>
      <c r="B2131" s="1">
        <f>DATE(2014,5,1) + TIME(7,26,0)</f>
        <v>41760.30972222222</v>
      </c>
      <c r="C2131">
        <v>90</v>
      </c>
      <c r="D2131">
        <v>79.695434570000003</v>
      </c>
      <c r="E2131">
        <v>30</v>
      </c>
      <c r="F2131">
        <v>29.967523575000001</v>
      </c>
      <c r="G2131">
        <v>1390.9361572</v>
      </c>
      <c r="H2131">
        <v>1374.4840088000001</v>
      </c>
      <c r="I2131">
        <v>1272.5185547000001</v>
      </c>
      <c r="J2131">
        <v>1244.7564697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1461.3381790000001</v>
      </c>
      <c r="B2132" s="1">
        <f>DATE(2014,5,1) + TIME(8,6,58)</f>
        <v>41760.338171296295</v>
      </c>
      <c r="C2132">
        <v>90</v>
      </c>
      <c r="D2132">
        <v>80.141242981000005</v>
      </c>
      <c r="E2132">
        <v>30</v>
      </c>
      <c r="F2132">
        <v>29.966585159000001</v>
      </c>
      <c r="G2132">
        <v>1390.7788086</v>
      </c>
      <c r="H2132">
        <v>1374.4183350000001</v>
      </c>
      <c r="I2132">
        <v>1272.5211182</v>
      </c>
      <c r="J2132">
        <v>1244.7587891000001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1461.367213</v>
      </c>
      <c r="B2133" s="1">
        <f>DATE(2014,5,1) + TIME(8,48,47)</f>
        <v>41760.367210648146</v>
      </c>
      <c r="C2133">
        <v>90</v>
      </c>
      <c r="D2133">
        <v>80.575920104999994</v>
      </c>
      <c r="E2133">
        <v>30</v>
      </c>
      <c r="F2133">
        <v>29.965635299999999</v>
      </c>
      <c r="G2133">
        <v>1390.6257324000001</v>
      </c>
      <c r="H2133">
        <v>1374.3536377</v>
      </c>
      <c r="I2133">
        <v>1272.5228271000001</v>
      </c>
      <c r="J2133">
        <v>1244.760376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1461.3968580000001</v>
      </c>
      <c r="B2134" s="1">
        <f>DATE(2014,5,1) + TIME(9,31,28)</f>
        <v>41760.396851851852</v>
      </c>
      <c r="C2134">
        <v>90</v>
      </c>
      <c r="D2134">
        <v>80.999671935999999</v>
      </c>
      <c r="E2134">
        <v>30</v>
      </c>
      <c r="F2134">
        <v>29.964672089</v>
      </c>
      <c r="G2134">
        <v>1390.4769286999999</v>
      </c>
      <c r="H2134">
        <v>1374.2900391000001</v>
      </c>
      <c r="I2134">
        <v>1272.5239257999999</v>
      </c>
      <c r="J2134">
        <v>1244.7614745999999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1461.427144</v>
      </c>
      <c r="B2135" s="1">
        <f>DATE(2014,5,1) + TIME(10,15,5)</f>
        <v>41760.427141203705</v>
      </c>
      <c r="C2135">
        <v>90</v>
      </c>
      <c r="D2135">
        <v>81.412620544000006</v>
      </c>
      <c r="E2135">
        <v>30</v>
      </c>
      <c r="F2135">
        <v>29.963695525999999</v>
      </c>
      <c r="G2135">
        <v>1390.3325195</v>
      </c>
      <c r="H2135">
        <v>1374.2279053</v>
      </c>
      <c r="I2135">
        <v>1272.5249022999999</v>
      </c>
      <c r="J2135">
        <v>1244.762207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1461.458104</v>
      </c>
      <c r="B2136" s="1">
        <f>DATE(2014,5,1) + TIME(10,59,40)</f>
        <v>41760.458101851851</v>
      </c>
      <c r="C2136">
        <v>90</v>
      </c>
      <c r="D2136">
        <v>81.814880371000001</v>
      </c>
      <c r="E2136">
        <v>30</v>
      </c>
      <c r="F2136">
        <v>29.962703704999999</v>
      </c>
      <c r="G2136">
        <v>1390.1923827999999</v>
      </c>
      <c r="H2136">
        <v>1374.1671143000001</v>
      </c>
      <c r="I2136">
        <v>1272.5255127</v>
      </c>
      <c r="J2136">
        <v>1244.7626952999999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1461.4897759999999</v>
      </c>
      <c r="B2137" s="1">
        <f>DATE(2014,5,1) + TIME(11,45,16)</f>
        <v>41760.489768518521</v>
      </c>
      <c r="C2137">
        <v>90</v>
      </c>
      <c r="D2137">
        <v>82.206581115999995</v>
      </c>
      <c r="E2137">
        <v>30</v>
      </c>
      <c r="F2137">
        <v>29.961696624999998</v>
      </c>
      <c r="G2137">
        <v>1390.0563964999999</v>
      </c>
      <c r="H2137">
        <v>1374.1076660000001</v>
      </c>
      <c r="I2137">
        <v>1272.5261230000001</v>
      </c>
      <c r="J2137">
        <v>1244.7630615</v>
      </c>
      <c r="K2137">
        <v>2400</v>
      </c>
      <c r="L2137">
        <v>0</v>
      </c>
      <c r="M2137">
        <v>0</v>
      </c>
      <c r="N2137">
        <v>2400</v>
      </c>
    </row>
    <row r="2138" spans="1:14" x14ac:dyDescent="0.25">
      <c r="A2138">
        <v>1461.5222100000001</v>
      </c>
      <c r="B2138" s="1">
        <f>DATE(2014,5,1) + TIME(12,31,58)</f>
        <v>41760.522199074076</v>
      </c>
      <c r="C2138">
        <v>90</v>
      </c>
      <c r="D2138">
        <v>82.587959290000001</v>
      </c>
      <c r="E2138">
        <v>30</v>
      </c>
      <c r="F2138">
        <v>29.960674286</v>
      </c>
      <c r="G2138">
        <v>1389.9243164</v>
      </c>
      <c r="H2138">
        <v>1374.0494385</v>
      </c>
      <c r="I2138">
        <v>1272.5266113</v>
      </c>
      <c r="J2138">
        <v>1244.7634277</v>
      </c>
      <c r="K2138">
        <v>2400</v>
      </c>
      <c r="L2138">
        <v>0</v>
      </c>
      <c r="M2138">
        <v>0</v>
      </c>
      <c r="N2138">
        <v>2400</v>
      </c>
    </row>
    <row r="2139" spans="1:14" x14ac:dyDescent="0.25">
      <c r="A2139">
        <v>1461.5554340000001</v>
      </c>
      <c r="B2139" s="1">
        <f>DATE(2014,5,1) + TIME(13,19,49)</f>
        <v>41760.555428240739</v>
      </c>
      <c r="C2139">
        <v>90</v>
      </c>
      <c r="D2139">
        <v>82.958946228000002</v>
      </c>
      <c r="E2139">
        <v>30</v>
      </c>
      <c r="F2139">
        <v>29.959632874</v>
      </c>
      <c r="G2139">
        <v>1389.7960204999999</v>
      </c>
      <c r="H2139">
        <v>1373.9925536999999</v>
      </c>
      <c r="I2139">
        <v>1272.5269774999999</v>
      </c>
      <c r="J2139">
        <v>1244.7636719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1461.5894920000001</v>
      </c>
      <c r="B2140" s="1">
        <f>DATE(2014,5,1) + TIME(14,8,52)</f>
        <v>41760.589490740742</v>
      </c>
      <c r="C2140">
        <v>90</v>
      </c>
      <c r="D2140">
        <v>83.319641113000003</v>
      </c>
      <c r="E2140">
        <v>30</v>
      </c>
      <c r="F2140">
        <v>29.958574294999998</v>
      </c>
      <c r="G2140">
        <v>1389.6713867000001</v>
      </c>
      <c r="H2140">
        <v>1373.9367675999999</v>
      </c>
      <c r="I2140">
        <v>1272.5273437999999</v>
      </c>
      <c r="J2140">
        <v>1244.7637939000001</v>
      </c>
      <c r="K2140">
        <v>2400</v>
      </c>
      <c r="L2140">
        <v>0</v>
      </c>
      <c r="M2140">
        <v>0</v>
      </c>
      <c r="N2140">
        <v>2400</v>
      </c>
    </row>
    <row r="2141" spans="1:14" x14ac:dyDescent="0.25">
      <c r="A2141">
        <v>1461.6244320000001</v>
      </c>
      <c r="B2141" s="1">
        <f>DATE(2014,5,1) + TIME(14,59,10)</f>
        <v>41760.624421296299</v>
      </c>
      <c r="C2141">
        <v>90</v>
      </c>
      <c r="D2141">
        <v>83.670112610000004</v>
      </c>
      <c r="E2141">
        <v>30</v>
      </c>
      <c r="F2141">
        <v>29.957496642999999</v>
      </c>
      <c r="G2141">
        <v>1389.550293</v>
      </c>
      <c r="H2141">
        <v>1373.8820800999999</v>
      </c>
      <c r="I2141">
        <v>1272.5277100000001</v>
      </c>
      <c r="J2141">
        <v>1244.7640381000001</v>
      </c>
      <c r="K2141">
        <v>2400</v>
      </c>
      <c r="L2141">
        <v>0</v>
      </c>
      <c r="M2141">
        <v>0</v>
      </c>
      <c r="N2141">
        <v>2400</v>
      </c>
    </row>
    <row r="2142" spans="1:14" x14ac:dyDescent="0.25">
      <c r="A2142">
        <v>1461.6603050000001</v>
      </c>
      <c r="B2142" s="1">
        <f>DATE(2014,5,1) + TIME(15,50,50)</f>
        <v>41760.660300925927</v>
      </c>
      <c r="C2142">
        <v>90</v>
      </c>
      <c r="D2142">
        <v>84.010444641000007</v>
      </c>
      <c r="E2142">
        <v>30</v>
      </c>
      <c r="F2142">
        <v>29.956398010000001</v>
      </c>
      <c r="G2142">
        <v>1389.4324951000001</v>
      </c>
      <c r="H2142">
        <v>1373.8284911999999</v>
      </c>
      <c r="I2142">
        <v>1272.5280762</v>
      </c>
      <c r="J2142">
        <v>1244.7641602000001</v>
      </c>
      <c r="K2142">
        <v>2400</v>
      </c>
      <c r="L2142">
        <v>0</v>
      </c>
      <c r="M2142">
        <v>0</v>
      </c>
      <c r="N2142">
        <v>2400</v>
      </c>
    </row>
    <row r="2143" spans="1:14" x14ac:dyDescent="0.25">
      <c r="A2143">
        <v>1461.697165</v>
      </c>
      <c r="B2143" s="1">
        <f>DATE(2014,5,1) + TIME(16,43,55)</f>
        <v>41760.697164351855</v>
      </c>
      <c r="C2143">
        <v>90</v>
      </c>
      <c r="D2143">
        <v>84.340705872000001</v>
      </c>
      <c r="E2143">
        <v>30</v>
      </c>
      <c r="F2143">
        <v>29.955278397000001</v>
      </c>
      <c r="G2143">
        <v>1389.3178711</v>
      </c>
      <c r="H2143">
        <v>1373.7757568</v>
      </c>
      <c r="I2143">
        <v>1272.5283202999999</v>
      </c>
      <c r="J2143">
        <v>1244.7642822</v>
      </c>
      <c r="K2143">
        <v>2400</v>
      </c>
      <c r="L2143">
        <v>0</v>
      </c>
      <c r="M2143">
        <v>0</v>
      </c>
      <c r="N2143">
        <v>2400</v>
      </c>
    </row>
    <row r="2144" spans="1:14" x14ac:dyDescent="0.25">
      <c r="A2144">
        <v>1461.7350730000001</v>
      </c>
      <c r="B2144" s="1">
        <f>DATE(2014,5,1) + TIME(17,38,30)</f>
        <v>41760.735069444447</v>
      </c>
      <c r="C2144">
        <v>90</v>
      </c>
      <c r="D2144">
        <v>84.660964965999995</v>
      </c>
      <c r="E2144">
        <v>30</v>
      </c>
      <c r="F2144">
        <v>29.954133986999999</v>
      </c>
      <c r="G2144">
        <v>1389.2061768000001</v>
      </c>
      <c r="H2144">
        <v>1373.7237548999999</v>
      </c>
      <c r="I2144">
        <v>1272.5286865</v>
      </c>
      <c r="J2144">
        <v>1244.7642822</v>
      </c>
      <c r="K2144">
        <v>2400</v>
      </c>
      <c r="L2144">
        <v>0</v>
      </c>
      <c r="M2144">
        <v>0</v>
      </c>
      <c r="N2144">
        <v>2400</v>
      </c>
    </row>
    <row r="2145" spans="1:14" x14ac:dyDescent="0.25">
      <c r="A2145">
        <v>1461.7740940000001</v>
      </c>
      <c r="B2145" s="1">
        <f>DATE(2014,5,1) + TIME(18,34,41)</f>
        <v>41760.774085648147</v>
      </c>
      <c r="C2145">
        <v>90</v>
      </c>
      <c r="D2145">
        <v>84.971275329999997</v>
      </c>
      <c r="E2145">
        <v>30</v>
      </c>
      <c r="F2145">
        <v>29.95296669</v>
      </c>
      <c r="G2145">
        <v>1389.0972899999999</v>
      </c>
      <c r="H2145">
        <v>1373.6727295000001</v>
      </c>
      <c r="I2145">
        <v>1272.5289307</v>
      </c>
      <c r="J2145">
        <v>1244.7644043</v>
      </c>
      <c r="K2145">
        <v>2400</v>
      </c>
      <c r="L2145">
        <v>0</v>
      </c>
      <c r="M2145">
        <v>0</v>
      </c>
      <c r="N2145">
        <v>2400</v>
      </c>
    </row>
    <row r="2146" spans="1:14" x14ac:dyDescent="0.25">
      <c r="A2146">
        <v>1461.8142989999999</v>
      </c>
      <c r="B2146" s="1">
        <f>DATE(2014,5,1) + TIME(19,32,35)</f>
        <v>41760.814293981479</v>
      </c>
      <c r="C2146">
        <v>90</v>
      </c>
      <c r="D2146">
        <v>85.271499633999994</v>
      </c>
      <c r="E2146">
        <v>30</v>
      </c>
      <c r="F2146">
        <v>29.951772689999999</v>
      </c>
      <c r="G2146">
        <v>1388.9910889</v>
      </c>
      <c r="H2146">
        <v>1373.6221923999999</v>
      </c>
      <c r="I2146">
        <v>1272.5291748</v>
      </c>
      <c r="J2146">
        <v>1244.7644043</v>
      </c>
      <c r="K2146">
        <v>2400</v>
      </c>
      <c r="L2146">
        <v>0</v>
      </c>
      <c r="M2146">
        <v>0</v>
      </c>
      <c r="N2146">
        <v>2400</v>
      </c>
    </row>
    <row r="2147" spans="1:14" x14ac:dyDescent="0.25">
      <c r="A2147">
        <v>1461.8557639999999</v>
      </c>
      <c r="B2147" s="1">
        <f>DATE(2014,5,1) + TIME(20,32,18)</f>
        <v>41760.855763888889</v>
      </c>
      <c r="C2147">
        <v>90</v>
      </c>
      <c r="D2147">
        <v>85.561866760000001</v>
      </c>
      <c r="E2147">
        <v>30</v>
      </c>
      <c r="F2147">
        <v>29.950550078999999</v>
      </c>
      <c r="G2147">
        <v>1388.8874512</v>
      </c>
      <c r="H2147">
        <v>1373.5723877</v>
      </c>
      <c r="I2147">
        <v>1272.5294189000001</v>
      </c>
      <c r="J2147">
        <v>1244.7644043</v>
      </c>
      <c r="K2147">
        <v>2400</v>
      </c>
      <c r="L2147">
        <v>0</v>
      </c>
      <c r="M2147">
        <v>0</v>
      </c>
      <c r="N2147">
        <v>2400</v>
      </c>
    </row>
    <row r="2148" spans="1:14" x14ac:dyDescent="0.25">
      <c r="A2148">
        <v>1461.8986</v>
      </c>
      <c r="B2148" s="1">
        <f>DATE(2014,5,1) + TIME(21,33,59)</f>
        <v>41760.898599537039</v>
      </c>
      <c r="C2148">
        <v>90</v>
      </c>
      <c r="D2148">
        <v>85.842597960999996</v>
      </c>
      <c r="E2148">
        <v>30</v>
      </c>
      <c r="F2148">
        <v>29.949295043999999</v>
      </c>
      <c r="G2148">
        <v>1388.7860106999999</v>
      </c>
      <c r="H2148">
        <v>1373.5230713000001</v>
      </c>
      <c r="I2148">
        <v>1272.5295410000001</v>
      </c>
      <c r="J2148">
        <v>1244.7644043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1461.9428829999999</v>
      </c>
      <c r="B2149" s="1">
        <f>DATE(2014,5,1) + TIME(22,37,45)</f>
        <v>41760.942881944444</v>
      </c>
      <c r="C2149">
        <v>90</v>
      </c>
      <c r="D2149">
        <v>86.113616942999997</v>
      </c>
      <c r="E2149">
        <v>30</v>
      </c>
      <c r="F2149">
        <v>29.948009491000001</v>
      </c>
      <c r="G2149">
        <v>1388.6867675999999</v>
      </c>
      <c r="H2149">
        <v>1373.4741211</v>
      </c>
      <c r="I2149">
        <v>1272.5297852000001</v>
      </c>
      <c r="J2149">
        <v>1244.7644043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1461.988711</v>
      </c>
      <c r="B2150" s="1">
        <f>DATE(2014,5,1) + TIME(23,43,44)</f>
        <v>41760.988703703704</v>
      </c>
      <c r="C2150">
        <v>90</v>
      </c>
      <c r="D2150">
        <v>86.374938964999998</v>
      </c>
      <c r="E2150">
        <v>30</v>
      </c>
      <c r="F2150">
        <v>29.946689606</v>
      </c>
      <c r="G2150">
        <v>1388.5897216999999</v>
      </c>
      <c r="H2150">
        <v>1373.4256591999999</v>
      </c>
      <c r="I2150">
        <v>1272.5300293</v>
      </c>
      <c r="J2150">
        <v>1244.7642822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1462.0361969999999</v>
      </c>
      <c r="B2151" s="1">
        <f>DATE(2014,5,2) + TIME(0,52,7)</f>
        <v>41761.036192129628</v>
      </c>
      <c r="C2151">
        <v>90</v>
      </c>
      <c r="D2151">
        <v>86.626602172999995</v>
      </c>
      <c r="E2151">
        <v>30</v>
      </c>
      <c r="F2151">
        <v>29.945331573000001</v>
      </c>
      <c r="G2151">
        <v>1388.4945068</v>
      </c>
      <c r="H2151">
        <v>1373.3774414</v>
      </c>
      <c r="I2151">
        <v>1272.5301514</v>
      </c>
      <c r="J2151">
        <v>1244.7642822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1462.085468</v>
      </c>
      <c r="B2152" s="1">
        <f>DATE(2014,5,2) + TIME(2,3,4)</f>
        <v>41761.085462962961</v>
      </c>
      <c r="C2152">
        <v>90</v>
      </c>
      <c r="D2152">
        <v>86.868644713999998</v>
      </c>
      <c r="E2152">
        <v>30</v>
      </c>
      <c r="F2152">
        <v>29.943933486999999</v>
      </c>
      <c r="G2152">
        <v>1388.4011230000001</v>
      </c>
      <c r="H2152">
        <v>1373.3293457</v>
      </c>
      <c r="I2152">
        <v>1272.5303954999999</v>
      </c>
      <c r="J2152">
        <v>1244.7641602000001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1462.136655</v>
      </c>
      <c r="B2153" s="1">
        <f>DATE(2014,5,2) + TIME(3,16,47)</f>
        <v>41761.136655092596</v>
      </c>
      <c r="C2153">
        <v>90</v>
      </c>
      <c r="D2153">
        <v>87.101074218999997</v>
      </c>
      <c r="E2153">
        <v>30</v>
      </c>
      <c r="F2153">
        <v>29.942493439</v>
      </c>
      <c r="G2153">
        <v>1388.3094481999999</v>
      </c>
      <c r="H2153">
        <v>1373.2814940999999</v>
      </c>
      <c r="I2153">
        <v>1272.5305175999999</v>
      </c>
      <c r="J2153">
        <v>1244.7640381000001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1462.189918</v>
      </c>
      <c r="B2154" s="1">
        <f>DATE(2014,5,2) + TIME(4,33,28)</f>
        <v>41761.18990740741</v>
      </c>
      <c r="C2154">
        <v>90</v>
      </c>
      <c r="D2154">
        <v>87.323951721</v>
      </c>
      <c r="E2154">
        <v>30</v>
      </c>
      <c r="F2154">
        <v>29.941007614</v>
      </c>
      <c r="G2154">
        <v>1388.2192382999999</v>
      </c>
      <c r="H2154">
        <v>1373.2336425999999</v>
      </c>
      <c r="I2154">
        <v>1272.5306396000001</v>
      </c>
      <c r="J2154">
        <v>1244.7639160000001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1462.245437</v>
      </c>
      <c r="B2155" s="1">
        <f>DATE(2014,5,2) + TIME(5,53,25)</f>
        <v>41761.245428240742</v>
      </c>
      <c r="C2155">
        <v>90</v>
      </c>
      <c r="D2155">
        <v>87.537315368999998</v>
      </c>
      <c r="E2155">
        <v>30</v>
      </c>
      <c r="F2155">
        <v>29.939468384000001</v>
      </c>
      <c r="G2155">
        <v>1388.1303711</v>
      </c>
      <c r="H2155">
        <v>1373.1857910000001</v>
      </c>
      <c r="I2155">
        <v>1272.5308838000001</v>
      </c>
      <c r="J2155">
        <v>1244.7637939000001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1462.30341</v>
      </c>
      <c r="B2156" s="1">
        <f>DATE(2014,5,2) + TIME(7,16,54)</f>
        <v>41761.303402777776</v>
      </c>
      <c r="C2156">
        <v>90</v>
      </c>
      <c r="D2156">
        <v>87.741210937999995</v>
      </c>
      <c r="E2156">
        <v>30</v>
      </c>
      <c r="F2156">
        <v>29.937877655000001</v>
      </c>
      <c r="G2156">
        <v>1388.0426024999999</v>
      </c>
      <c r="H2156">
        <v>1373.1378173999999</v>
      </c>
      <c r="I2156">
        <v>1272.5310059000001</v>
      </c>
      <c r="J2156">
        <v>1244.7636719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1462.3640620000001</v>
      </c>
      <c r="B2157" s="1">
        <f>DATE(2014,5,2) + TIME(8,44,14)</f>
        <v>41761.364050925928</v>
      </c>
      <c r="C2157">
        <v>90</v>
      </c>
      <c r="D2157">
        <v>87.935676575000002</v>
      </c>
      <c r="E2157">
        <v>30</v>
      </c>
      <c r="F2157">
        <v>29.936223984000002</v>
      </c>
      <c r="G2157">
        <v>1387.9560547000001</v>
      </c>
      <c r="H2157">
        <v>1373.0894774999999</v>
      </c>
      <c r="I2157">
        <v>1272.53125</v>
      </c>
      <c r="J2157">
        <v>1244.7635498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1462.427668</v>
      </c>
      <c r="B2158" s="1">
        <f>DATE(2014,5,2) + TIME(10,15,50)</f>
        <v>41761.427662037036</v>
      </c>
      <c r="C2158">
        <v>90</v>
      </c>
      <c r="D2158">
        <v>88.120803832999997</v>
      </c>
      <c r="E2158">
        <v>30</v>
      </c>
      <c r="F2158">
        <v>29.934507369999999</v>
      </c>
      <c r="G2158">
        <v>1387.8702393000001</v>
      </c>
      <c r="H2158">
        <v>1373.0408935999999</v>
      </c>
      <c r="I2158">
        <v>1272.5313721</v>
      </c>
      <c r="J2158">
        <v>1244.7634277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1462.4945359999999</v>
      </c>
      <c r="B2159" s="1">
        <f>DATE(2014,5,2) + TIME(11,52,7)</f>
        <v>41761.494525462964</v>
      </c>
      <c r="C2159">
        <v>90</v>
      </c>
      <c r="D2159">
        <v>88.296630859000004</v>
      </c>
      <c r="E2159">
        <v>30</v>
      </c>
      <c r="F2159">
        <v>29.932716370000001</v>
      </c>
      <c r="G2159">
        <v>1387.7852783000001</v>
      </c>
      <c r="H2159">
        <v>1372.9918213000001</v>
      </c>
      <c r="I2159">
        <v>1272.5316161999999</v>
      </c>
      <c r="J2159">
        <v>1244.7633057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1462.5649800000001</v>
      </c>
      <c r="B2160" s="1">
        <f>DATE(2014,5,2) + TIME(13,33,34)</f>
        <v>41761.564976851849</v>
      </c>
      <c r="C2160">
        <v>90</v>
      </c>
      <c r="D2160">
        <v>88.463142395000006</v>
      </c>
      <c r="E2160">
        <v>30</v>
      </c>
      <c r="F2160">
        <v>29.930845261000002</v>
      </c>
      <c r="G2160">
        <v>1387.7006836</v>
      </c>
      <c r="H2160">
        <v>1372.9422606999999</v>
      </c>
      <c r="I2160">
        <v>1272.5317382999999</v>
      </c>
      <c r="J2160">
        <v>1244.7630615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1462.639396</v>
      </c>
      <c r="B2161" s="1">
        <f>DATE(2014,5,2) + TIME(15,20,43)</f>
        <v>41761.639386574076</v>
      </c>
      <c r="C2161">
        <v>90</v>
      </c>
      <c r="D2161">
        <v>88.620368958</v>
      </c>
      <c r="E2161">
        <v>30</v>
      </c>
      <c r="F2161">
        <v>29.928888320999999</v>
      </c>
      <c r="G2161">
        <v>1387.6165771000001</v>
      </c>
      <c r="H2161">
        <v>1372.8919678</v>
      </c>
      <c r="I2161">
        <v>1272.5319824000001</v>
      </c>
      <c r="J2161">
        <v>1244.7629394999999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1462.7182459999999</v>
      </c>
      <c r="B2162" s="1">
        <f>DATE(2014,5,2) + TIME(17,14,16)</f>
        <v>41761.718240740738</v>
      </c>
      <c r="C2162">
        <v>90</v>
      </c>
      <c r="D2162">
        <v>88.768356323000006</v>
      </c>
      <c r="E2162">
        <v>30</v>
      </c>
      <c r="F2162">
        <v>29.926832199</v>
      </c>
      <c r="G2162">
        <v>1387.5325928</v>
      </c>
      <c r="H2162">
        <v>1372.8408202999999</v>
      </c>
      <c r="I2162">
        <v>1272.5322266000001</v>
      </c>
      <c r="J2162">
        <v>1244.7626952999999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1462.8020859999999</v>
      </c>
      <c r="B2163" s="1">
        <f>DATE(2014,5,2) + TIME(19,15,0)</f>
        <v>41761.802083333336</v>
      </c>
      <c r="C2163">
        <v>90</v>
      </c>
      <c r="D2163">
        <v>88.907157897999994</v>
      </c>
      <c r="E2163">
        <v>30</v>
      </c>
      <c r="F2163">
        <v>29.924667358000001</v>
      </c>
      <c r="G2163">
        <v>1387.4484863</v>
      </c>
      <c r="H2163">
        <v>1372.7886963000001</v>
      </c>
      <c r="I2163">
        <v>1272.5323486</v>
      </c>
      <c r="J2163">
        <v>1244.7625731999999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1462.8916180000001</v>
      </c>
      <c r="B2164" s="1">
        <f>DATE(2014,5,2) + TIME(21,23,55)</f>
        <v>41761.891608796293</v>
      </c>
      <c r="C2164">
        <v>90</v>
      </c>
      <c r="D2164">
        <v>89.036895752000007</v>
      </c>
      <c r="E2164">
        <v>30</v>
      </c>
      <c r="F2164">
        <v>29.922376632999999</v>
      </c>
      <c r="G2164">
        <v>1387.3641356999999</v>
      </c>
      <c r="H2164">
        <v>1372.7353516000001</v>
      </c>
      <c r="I2164">
        <v>1272.5325928</v>
      </c>
      <c r="J2164">
        <v>1244.7623291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1462.987584</v>
      </c>
      <c r="B2165" s="1">
        <f>DATE(2014,5,2) + TIME(23,42,7)</f>
        <v>41761.987581018519</v>
      </c>
      <c r="C2165">
        <v>90</v>
      </c>
      <c r="D2165">
        <v>89.157546996999997</v>
      </c>
      <c r="E2165">
        <v>30</v>
      </c>
      <c r="F2165">
        <v>29.919948578</v>
      </c>
      <c r="G2165">
        <v>1387.2790527</v>
      </c>
      <c r="H2165">
        <v>1372.6806641000001</v>
      </c>
      <c r="I2165">
        <v>1272.5328368999999</v>
      </c>
      <c r="J2165">
        <v>1244.7620850000001</v>
      </c>
      <c r="K2165">
        <v>2400</v>
      </c>
      <c r="L2165">
        <v>0</v>
      </c>
      <c r="M2165">
        <v>0</v>
      </c>
      <c r="N2165">
        <v>2400</v>
      </c>
    </row>
    <row r="2166" spans="1:14" x14ac:dyDescent="0.25">
      <c r="A2166">
        <v>1463.0868390000001</v>
      </c>
      <c r="B2166" s="1">
        <f>DATE(2014,5,3) + TIME(2,5,2)</f>
        <v>41762.086828703701</v>
      </c>
      <c r="C2166">
        <v>90</v>
      </c>
      <c r="D2166">
        <v>89.265335082999997</v>
      </c>
      <c r="E2166">
        <v>30</v>
      </c>
      <c r="F2166">
        <v>29.917451859</v>
      </c>
      <c r="G2166">
        <v>1387.1958007999999</v>
      </c>
      <c r="H2166">
        <v>1372.6258545000001</v>
      </c>
      <c r="I2166">
        <v>1272.5330810999999</v>
      </c>
      <c r="J2166">
        <v>1244.7618408000001</v>
      </c>
      <c r="K2166">
        <v>2400</v>
      </c>
      <c r="L2166">
        <v>0</v>
      </c>
      <c r="M2166">
        <v>0</v>
      </c>
      <c r="N2166">
        <v>2400</v>
      </c>
    </row>
    <row r="2167" spans="1:14" x14ac:dyDescent="0.25">
      <c r="A2167">
        <v>1463.186393</v>
      </c>
      <c r="B2167" s="1">
        <f>DATE(2014,5,3) + TIME(4,28,24)</f>
        <v>41762.186388888891</v>
      </c>
      <c r="C2167">
        <v>90</v>
      </c>
      <c r="D2167">
        <v>89.358703613000003</v>
      </c>
      <c r="E2167">
        <v>30</v>
      </c>
      <c r="F2167">
        <v>29.914955139</v>
      </c>
      <c r="G2167">
        <v>1387.1160889</v>
      </c>
      <c r="H2167">
        <v>1372.5722656</v>
      </c>
      <c r="I2167">
        <v>1272.5333252</v>
      </c>
      <c r="J2167">
        <v>1244.7615966999999</v>
      </c>
      <c r="K2167">
        <v>2400</v>
      </c>
      <c r="L2167">
        <v>0</v>
      </c>
      <c r="M2167">
        <v>0</v>
      </c>
      <c r="N2167">
        <v>2400</v>
      </c>
    </row>
    <row r="2168" spans="1:14" x14ac:dyDescent="0.25">
      <c r="A2168">
        <v>1463.2865629999999</v>
      </c>
      <c r="B2168" s="1">
        <f>DATE(2014,5,3) + TIME(6,52,39)</f>
        <v>41762.286562499998</v>
      </c>
      <c r="C2168">
        <v>90</v>
      </c>
      <c r="D2168">
        <v>89.439781189000001</v>
      </c>
      <c r="E2168">
        <v>30</v>
      </c>
      <c r="F2168">
        <v>29.912450790000001</v>
      </c>
      <c r="G2168">
        <v>1387.0399170000001</v>
      </c>
      <c r="H2168">
        <v>1372.5203856999999</v>
      </c>
      <c r="I2168">
        <v>1272.5335693</v>
      </c>
      <c r="J2168">
        <v>1244.7613524999999</v>
      </c>
      <c r="K2168">
        <v>2400</v>
      </c>
      <c r="L2168">
        <v>0</v>
      </c>
      <c r="M2168">
        <v>0</v>
      </c>
      <c r="N2168">
        <v>2400</v>
      </c>
    </row>
    <row r="2169" spans="1:14" x14ac:dyDescent="0.25">
      <c r="A2169">
        <v>1463.387514</v>
      </c>
      <c r="B2169" s="1">
        <f>DATE(2014,5,3) + TIME(9,18,1)</f>
        <v>41762.387511574074</v>
      </c>
      <c r="C2169">
        <v>90</v>
      </c>
      <c r="D2169">
        <v>89.510238646999994</v>
      </c>
      <c r="E2169">
        <v>30</v>
      </c>
      <c r="F2169">
        <v>29.909936904999999</v>
      </c>
      <c r="G2169">
        <v>1386.9667969</v>
      </c>
      <c r="H2169">
        <v>1372.4698486</v>
      </c>
      <c r="I2169">
        <v>1272.5338135</v>
      </c>
      <c r="J2169">
        <v>1244.7611084</v>
      </c>
      <c r="K2169">
        <v>2400</v>
      </c>
      <c r="L2169">
        <v>0</v>
      </c>
      <c r="M2169">
        <v>0</v>
      </c>
      <c r="N2169">
        <v>2400</v>
      </c>
    </row>
    <row r="2170" spans="1:14" x14ac:dyDescent="0.25">
      <c r="A2170">
        <v>1463.4894360000001</v>
      </c>
      <c r="B2170" s="1">
        <f>DATE(2014,5,3) + TIME(11,44,47)</f>
        <v>41762.489432870374</v>
      </c>
      <c r="C2170">
        <v>90</v>
      </c>
      <c r="D2170">
        <v>89.571510314999998</v>
      </c>
      <c r="E2170">
        <v>30</v>
      </c>
      <c r="F2170">
        <v>29.907409668</v>
      </c>
      <c r="G2170">
        <v>1386.8962402</v>
      </c>
      <c r="H2170">
        <v>1372.4205322</v>
      </c>
      <c r="I2170">
        <v>1272.5340576000001</v>
      </c>
      <c r="J2170">
        <v>1244.7608643000001</v>
      </c>
      <c r="K2170">
        <v>2400</v>
      </c>
      <c r="L2170">
        <v>0</v>
      </c>
      <c r="M2170">
        <v>0</v>
      </c>
      <c r="N2170">
        <v>2400</v>
      </c>
    </row>
    <row r="2171" spans="1:14" x14ac:dyDescent="0.25">
      <c r="A2171">
        <v>1463.5925119999999</v>
      </c>
      <c r="B2171" s="1">
        <f>DATE(2014,5,3) + TIME(14,13,13)</f>
        <v>41762.592511574076</v>
      </c>
      <c r="C2171">
        <v>90</v>
      </c>
      <c r="D2171">
        <v>89.624816894999995</v>
      </c>
      <c r="E2171">
        <v>30</v>
      </c>
      <c r="F2171">
        <v>29.904861449999999</v>
      </c>
      <c r="G2171">
        <v>1386.8280029</v>
      </c>
      <c r="H2171">
        <v>1372.3723144999999</v>
      </c>
      <c r="I2171">
        <v>1272.5341797000001</v>
      </c>
      <c r="J2171">
        <v>1244.7606201000001</v>
      </c>
      <c r="K2171">
        <v>2400</v>
      </c>
      <c r="L2171">
        <v>0</v>
      </c>
      <c r="M2171">
        <v>0</v>
      </c>
      <c r="N2171">
        <v>2400</v>
      </c>
    </row>
    <row r="2172" spans="1:14" x14ac:dyDescent="0.25">
      <c r="A2172">
        <v>1463.6969260000001</v>
      </c>
      <c r="B2172" s="1">
        <f>DATE(2014,5,3) + TIME(16,43,34)</f>
        <v>41762.696921296294</v>
      </c>
      <c r="C2172">
        <v>90</v>
      </c>
      <c r="D2172">
        <v>89.671188353999995</v>
      </c>
      <c r="E2172">
        <v>30</v>
      </c>
      <c r="F2172">
        <v>29.902290344000001</v>
      </c>
      <c r="G2172">
        <v>1386.7619629000001</v>
      </c>
      <c r="H2172">
        <v>1372.3250731999999</v>
      </c>
      <c r="I2172">
        <v>1272.5344238</v>
      </c>
      <c r="J2172">
        <v>1244.760376</v>
      </c>
      <c r="K2172">
        <v>2400</v>
      </c>
      <c r="L2172">
        <v>0</v>
      </c>
      <c r="M2172">
        <v>0</v>
      </c>
      <c r="N2172">
        <v>2400</v>
      </c>
    </row>
    <row r="2173" spans="1:14" x14ac:dyDescent="0.25">
      <c r="A2173">
        <v>1463.802864</v>
      </c>
      <c r="B2173" s="1">
        <f>DATE(2014,5,3) + TIME(19,16,7)</f>
        <v>41762.802858796298</v>
      </c>
      <c r="C2173">
        <v>90</v>
      </c>
      <c r="D2173">
        <v>89.711524963000002</v>
      </c>
      <c r="E2173">
        <v>30</v>
      </c>
      <c r="F2173">
        <v>29.899694443000001</v>
      </c>
      <c r="G2173">
        <v>1386.6975098</v>
      </c>
      <c r="H2173">
        <v>1372.2786865</v>
      </c>
      <c r="I2173">
        <v>1272.534668</v>
      </c>
      <c r="J2173">
        <v>1244.7601318</v>
      </c>
      <c r="K2173">
        <v>2400</v>
      </c>
      <c r="L2173">
        <v>0</v>
      </c>
      <c r="M2173">
        <v>0</v>
      </c>
      <c r="N2173">
        <v>2400</v>
      </c>
    </row>
    <row r="2174" spans="1:14" x14ac:dyDescent="0.25">
      <c r="A2174">
        <v>1463.9105159999999</v>
      </c>
      <c r="B2174" s="1">
        <f>DATE(2014,5,3) + TIME(21,51,8)</f>
        <v>41762.910509259258</v>
      </c>
      <c r="C2174">
        <v>90</v>
      </c>
      <c r="D2174">
        <v>89.746597289999997</v>
      </c>
      <c r="E2174">
        <v>30</v>
      </c>
      <c r="F2174">
        <v>29.897066116000001</v>
      </c>
      <c r="G2174">
        <v>1386.6346435999999</v>
      </c>
      <c r="H2174">
        <v>1372.2330322</v>
      </c>
      <c r="I2174">
        <v>1272.5349120999999</v>
      </c>
      <c r="J2174">
        <v>1244.7597656</v>
      </c>
      <c r="K2174">
        <v>2400</v>
      </c>
      <c r="L2174">
        <v>0</v>
      </c>
      <c r="M2174">
        <v>0</v>
      </c>
      <c r="N2174">
        <v>2400</v>
      </c>
    </row>
    <row r="2175" spans="1:14" x14ac:dyDescent="0.25">
      <c r="A2175">
        <v>1464.020076</v>
      </c>
      <c r="B2175" s="1">
        <f>DATE(2014,5,4) + TIME(0,28,54)</f>
        <v>41763.020069444443</v>
      </c>
      <c r="C2175">
        <v>90</v>
      </c>
      <c r="D2175">
        <v>89.777061462000006</v>
      </c>
      <c r="E2175">
        <v>30</v>
      </c>
      <c r="F2175">
        <v>29.894403457999999</v>
      </c>
      <c r="G2175">
        <v>1386.5732422000001</v>
      </c>
      <c r="H2175">
        <v>1372.1881103999999</v>
      </c>
      <c r="I2175">
        <v>1272.5351562000001</v>
      </c>
      <c r="J2175">
        <v>1244.7595214999999</v>
      </c>
      <c r="K2175">
        <v>2400</v>
      </c>
      <c r="L2175">
        <v>0</v>
      </c>
      <c r="M2175">
        <v>0</v>
      </c>
      <c r="N2175">
        <v>2400</v>
      </c>
    </row>
    <row r="2176" spans="1:14" x14ac:dyDescent="0.25">
      <c r="A2176">
        <v>1464.13175</v>
      </c>
      <c r="B2176" s="1">
        <f>DATE(2014,5,4) + TIME(3,9,43)</f>
        <v>41763.131747685184</v>
      </c>
      <c r="C2176">
        <v>90</v>
      </c>
      <c r="D2176">
        <v>89.803512573000006</v>
      </c>
      <c r="E2176">
        <v>30</v>
      </c>
      <c r="F2176">
        <v>29.891702651999999</v>
      </c>
      <c r="G2176">
        <v>1386.5128173999999</v>
      </c>
      <c r="H2176">
        <v>1372.1435547000001</v>
      </c>
      <c r="I2176">
        <v>1272.5354004000001</v>
      </c>
      <c r="J2176">
        <v>1244.7591553</v>
      </c>
      <c r="K2176">
        <v>2400</v>
      </c>
      <c r="L2176">
        <v>0</v>
      </c>
      <c r="M2176">
        <v>0</v>
      </c>
      <c r="N2176">
        <v>2400</v>
      </c>
    </row>
    <row r="2177" spans="1:14" x14ac:dyDescent="0.25">
      <c r="A2177">
        <v>1464.24578</v>
      </c>
      <c r="B2177" s="1">
        <f>DATE(2014,5,4) + TIME(5,53,55)</f>
        <v>41763.245775462965</v>
      </c>
      <c r="C2177">
        <v>90</v>
      </c>
      <c r="D2177">
        <v>89.826446532999995</v>
      </c>
      <c r="E2177">
        <v>30</v>
      </c>
      <c r="F2177">
        <v>29.888956069999999</v>
      </c>
      <c r="G2177">
        <v>1386.4534911999999</v>
      </c>
      <c r="H2177">
        <v>1372.0996094</v>
      </c>
      <c r="I2177">
        <v>1272.5355225000001</v>
      </c>
      <c r="J2177">
        <v>1244.7589111</v>
      </c>
      <c r="K2177">
        <v>2400</v>
      </c>
      <c r="L2177">
        <v>0</v>
      </c>
      <c r="M2177">
        <v>0</v>
      </c>
      <c r="N2177">
        <v>2400</v>
      </c>
    </row>
    <row r="2178" spans="1:14" x14ac:dyDescent="0.25">
      <c r="A2178">
        <v>1464.362349</v>
      </c>
      <c r="B2178" s="1">
        <f>DATE(2014,5,4) + TIME(8,41,46)</f>
        <v>41763.362337962964</v>
      </c>
      <c r="C2178">
        <v>90</v>
      </c>
      <c r="D2178">
        <v>89.846305846999996</v>
      </c>
      <c r="E2178">
        <v>30</v>
      </c>
      <c r="F2178">
        <v>29.886161804</v>
      </c>
      <c r="G2178">
        <v>1386.3950195</v>
      </c>
      <c r="H2178">
        <v>1372.0560303</v>
      </c>
      <c r="I2178">
        <v>1272.5357666</v>
      </c>
      <c r="J2178">
        <v>1244.7585449000001</v>
      </c>
      <c r="K2178">
        <v>2400</v>
      </c>
      <c r="L2178">
        <v>0</v>
      </c>
      <c r="M2178">
        <v>0</v>
      </c>
      <c r="N2178">
        <v>2400</v>
      </c>
    </row>
    <row r="2179" spans="1:14" x14ac:dyDescent="0.25">
      <c r="A2179">
        <v>1464.481194</v>
      </c>
      <c r="B2179" s="1">
        <f>DATE(2014,5,4) + TIME(11,32,55)</f>
        <v>41763.481192129628</v>
      </c>
      <c r="C2179">
        <v>90</v>
      </c>
      <c r="D2179">
        <v>89.863403320000003</v>
      </c>
      <c r="E2179">
        <v>30</v>
      </c>
      <c r="F2179">
        <v>29.883325577000001</v>
      </c>
      <c r="G2179">
        <v>1386.3372803</v>
      </c>
      <c r="H2179">
        <v>1372.0128173999999</v>
      </c>
      <c r="I2179">
        <v>1272.5360106999999</v>
      </c>
      <c r="J2179">
        <v>1244.7581786999999</v>
      </c>
      <c r="K2179">
        <v>2400</v>
      </c>
      <c r="L2179">
        <v>0</v>
      </c>
      <c r="M2179">
        <v>0</v>
      </c>
      <c r="N2179">
        <v>2400</v>
      </c>
    </row>
    <row r="2180" spans="1:14" x14ac:dyDescent="0.25">
      <c r="A2180">
        <v>1464.602543</v>
      </c>
      <c r="B2180" s="1">
        <f>DATE(2014,5,4) + TIME(14,27,39)</f>
        <v>41763.602534722224</v>
      </c>
      <c r="C2180">
        <v>90</v>
      </c>
      <c r="D2180">
        <v>89.878112793</v>
      </c>
      <c r="E2180">
        <v>30</v>
      </c>
      <c r="F2180">
        <v>29.880441665999999</v>
      </c>
      <c r="G2180">
        <v>1386.2802733999999</v>
      </c>
      <c r="H2180">
        <v>1371.9699707</v>
      </c>
      <c r="I2180">
        <v>1272.5362548999999</v>
      </c>
      <c r="J2180">
        <v>1244.7579346</v>
      </c>
      <c r="K2180">
        <v>2400</v>
      </c>
      <c r="L2180">
        <v>0</v>
      </c>
      <c r="M2180">
        <v>0</v>
      </c>
      <c r="N2180">
        <v>2400</v>
      </c>
    </row>
    <row r="2181" spans="1:14" x14ac:dyDescent="0.25">
      <c r="A2181">
        <v>1464.726647</v>
      </c>
      <c r="B2181" s="1">
        <f>DATE(2014,5,4) + TIME(17,26,22)</f>
        <v>41763.726643518516</v>
      </c>
      <c r="C2181">
        <v>90</v>
      </c>
      <c r="D2181">
        <v>89.890739440999994</v>
      </c>
      <c r="E2181">
        <v>30</v>
      </c>
      <c r="F2181">
        <v>29.877504348999999</v>
      </c>
      <c r="G2181">
        <v>1386.223999</v>
      </c>
      <c r="H2181">
        <v>1371.9274902</v>
      </c>
      <c r="I2181">
        <v>1272.536499</v>
      </c>
      <c r="J2181">
        <v>1244.7575684000001</v>
      </c>
      <c r="K2181">
        <v>2400</v>
      </c>
      <c r="L2181">
        <v>0</v>
      </c>
      <c r="M2181">
        <v>0</v>
      </c>
      <c r="N2181">
        <v>2400</v>
      </c>
    </row>
    <row r="2182" spans="1:14" x14ac:dyDescent="0.25">
      <c r="A2182">
        <v>1464.853783</v>
      </c>
      <c r="B2182" s="1">
        <f>DATE(2014,5,4) + TIME(20,29,26)</f>
        <v>41763.853773148148</v>
      </c>
      <c r="C2182">
        <v>90</v>
      </c>
      <c r="D2182">
        <v>89.901573181000003</v>
      </c>
      <c r="E2182">
        <v>30</v>
      </c>
      <c r="F2182">
        <v>29.874511719000001</v>
      </c>
      <c r="G2182">
        <v>1386.1682129000001</v>
      </c>
      <c r="H2182">
        <v>1371.8851318</v>
      </c>
      <c r="I2182">
        <v>1272.5367432</v>
      </c>
      <c r="J2182">
        <v>1244.7572021000001</v>
      </c>
      <c r="K2182">
        <v>2400</v>
      </c>
      <c r="L2182">
        <v>0</v>
      </c>
      <c r="M2182">
        <v>0</v>
      </c>
      <c r="N2182">
        <v>2400</v>
      </c>
    </row>
    <row r="2183" spans="1:14" x14ac:dyDescent="0.25">
      <c r="A2183">
        <v>1464.984156</v>
      </c>
      <c r="B2183" s="1">
        <f>DATE(2014,5,4) + TIME(23,37,11)</f>
        <v>41763.984155092592</v>
      </c>
      <c r="C2183">
        <v>90</v>
      </c>
      <c r="D2183">
        <v>89.910842896000005</v>
      </c>
      <c r="E2183">
        <v>30</v>
      </c>
      <c r="F2183">
        <v>29.871456146</v>
      </c>
      <c r="G2183">
        <v>1386.112793</v>
      </c>
      <c r="H2183">
        <v>1371.8431396000001</v>
      </c>
      <c r="I2183">
        <v>1272.5369873</v>
      </c>
      <c r="J2183">
        <v>1244.7567139</v>
      </c>
      <c r="K2183">
        <v>2400</v>
      </c>
      <c r="L2183">
        <v>0</v>
      </c>
      <c r="M2183">
        <v>0</v>
      </c>
      <c r="N2183">
        <v>2400</v>
      </c>
    </row>
    <row r="2184" spans="1:14" x14ac:dyDescent="0.25">
      <c r="A2184">
        <v>1465.118054</v>
      </c>
      <c r="B2184" s="1">
        <f>DATE(2014,5,5) + TIME(2,49,59)</f>
        <v>41764.118043981478</v>
      </c>
      <c r="C2184">
        <v>90</v>
      </c>
      <c r="D2184">
        <v>89.918762207</v>
      </c>
      <c r="E2184">
        <v>30</v>
      </c>
      <c r="F2184">
        <v>29.868333817</v>
      </c>
      <c r="G2184">
        <v>1386.0576172000001</v>
      </c>
      <c r="H2184">
        <v>1371.8011475000001</v>
      </c>
      <c r="I2184">
        <v>1272.5371094</v>
      </c>
      <c r="J2184">
        <v>1244.7563477000001</v>
      </c>
      <c r="K2184">
        <v>2400</v>
      </c>
      <c r="L2184">
        <v>0</v>
      </c>
      <c r="M2184">
        <v>0</v>
      </c>
      <c r="N2184">
        <v>2400</v>
      </c>
    </row>
    <row r="2185" spans="1:14" x14ac:dyDescent="0.25">
      <c r="A2185">
        <v>1465.255789</v>
      </c>
      <c r="B2185" s="1">
        <f>DATE(2014,5,5) + TIME(6,8,20)</f>
        <v>41764.255787037036</v>
      </c>
      <c r="C2185">
        <v>90</v>
      </c>
      <c r="D2185">
        <v>89.925506592000005</v>
      </c>
      <c r="E2185">
        <v>30</v>
      </c>
      <c r="F2185">
        <v>29.865137099999998</v>
      </c>
      <c r="G2185">
        <v>1386.0026855000001</v>
      </c>
      <c r="H2185">
        <v>1371.7592772999999</v>
      </c>
      <c r="I2185">
        <v>1272.5373535000001</v>
      </c>
      <c r="J2185">
        <v>1244.7559814000001</v>
      </c>
      <c r="K2185">
        <v>2400</v>
      </c>
      <c r="L2185">
        <v>0</v>
      </c>
      <c r="M2185">
        <v>0</v>
      </c>
      <c r="N2185">
        <v>2400</v>
      </c>
    </row>
    <row r="2186" spans="1:14" x14ac:dyDescent="0.25">
      <c r="A2186">
        <v>1465.397696</v>
      </c>
      <c r="B2186" s="1">
        <f>DATE(2014,5,5) + TIME(9,32,40)</f>
        <v>41764.397685185184</v>
      </c>
      <c r="C2186">
        <v>90</v>
      </c>
      <c r="D2186">
        <v>89.931236267000003</v>
      </c>
      <c r="E2186">
        <v>30</v>
      </c>
      <c r="F2186">
        <v>29.861860275000002</v>
      </c>
      <c r="G2186">
        <v>1385.9477539</v>
      </c>
      <c r="H2186">
        <v>1371.7172852000001</v>
      </c>
      <c r="I2186">
        <v>1272.5375977000001</v>
      </c>
      <c r="J2186">
        <v>1244.7554932</v>
      </c>
      <c r="K2186">
        <v>2400</v>
      </c>
      <c r="L2186">
        <v>0</v>
      </c>
      <c r="M2186">
        <v>0</v>
      </c>
      <c r="N2186">
        <v>2400</v>
      </c>
    </row>
    <row r="2187" spans="1:14" x14ac:dyDescent="0.25">
      <c r="A2187">
        <v>1465.5441310000001</v>
      </c>
      <c r="B2187" s="1">
        <f>DATE(2014,5,5) + TIME(13,3,32)</f>
        <v>41764.544120370374</v>
      </c>
      <c r="C2187">
        <v>90</v>
      </c>
      <c r="D2187">
        <v>89.936088561999995</v>
      </c>
      <c r="E2187">
        <v>30</v>
      </c>
      <c r="F2187">
        <v>29.858497620000001</v>
      </c>
      <c r="G2187">
        <v>1385.8929443</v>
      </c>
      <c r="H2187">
        <v>1371.675293</v>
      </c>
      <c r="I2187">
        <v>1272.5378418</v>
      </c>
      <c r="J2187">
        <v>1244.7551269999999</v>
      </c>
      <c r="K2187">
        <v>2400</v>
      </c>
      <c r="L2187">
        <v>0</v>
      </c>
      <c r="M2187">
        <v>0</v>
      </c>
      <c r="N2187">
        <v>2400</v>
      </c>
    </row>
    <row r="2188" spans="1:14" x14ac:dyDescent="0.25">
      <c r="A2188">
        <v>1465.6955419999999</v>
      </c>
      <c r="B2188" s="1">
        <f>DATE(2014,5,5) + TIME(16,41,34)</f>
        <v>41764.695532407408</v>
      </c>
      <c r="C2188">
        <v>90</v>
      </c>
      <c r="D2188">
        <v>89.940193175999994</v>
      </c>
      <c r="E2188">
        <v>30</v>
      </c>
      <c r="F2188">
        <v>29.855037689</v>
      </c>
      <c r="G2188">
        <v>1385.8377685999999</v>
      </c>
      <c r="H2188">
        <v>1371.6331786999999</v>
      </c>
      <c r="I2188">
        <v>1272.5380858999999</v>
      </c>
      <c r="J2188">
        <v>1244.7546387</v>
      </c>
      <c r="K2188">
        <v>2400</v>
      </c>
      <c r="L2188">
        <v>0</v>
      </c>
      <c r="M2188">
        <v>0</v>
      </c>
      <c r="N2188">
        <v>2400</v>
      </c>
    </row>
    <row r="2189" spans="1:14" x14ac:dyDescent="0.25">
      <c r="A2189">
        <v>1465.852396</v>
      </c>
      <c r="B2189" s="1">
        <f>DATE(2014,5,5) + TIME(20,27,26)</f>
        <v>41764.852384259262</v>
      </c>
      <c r="C2189">
        <v>90</v>
      </c>
      <c r="D2189">
        <v>89.943649292000003</v>
      </c>
      <c r="E2189">
        <v>30</v>
      </c>
      <c r="F2189">
        <v>29.851474761999999</v>
      </c>
      <c r="G2189">
        <v>1385.7824707</v>
      </c>
      <c r="H2189">
        <v>1371.5906981999999</v>
      </c>
      <c r="I2189">
        <v>1272.5383300999999</v>
      </c>
      <c r="J2189">
        <v>1244.7541504000001</v>
      </c>
      <c r="K2189">
        <v>2400</v>
      </c>
      <c r="L2189">
        <v>0</v>
      </c>
      <c r="M2189">
        <v>0</v>
      </c>
      <c r="N2189">
        <v>2400</v>
      </c>
    </row>
    <row r="2190" spans="1:14" x14ac:dyDescent="0.25">
      <c r="A2190">
        <v>1466.01522</v>
      </c>
      <c r="B2190" s="1">
        <f>DATE(2014,5,6) + TIME(0,21,55)</f>
        <v>41765.015219907407</v>
      </c>
      <c r="C2190">
        <v>90</v>
      </c>
      <c r="D2190">
        <v>89.946556091000005</v>
      </c>
      <c r="E2190">
        <v>30</v>
      </c>
      <c r="F2190">
        <v>29.847797394000001</v>
      </c>
      <c r="G2190">
        <v>1385.7266846</v>
      </c>
      <c r="H2190">
        <v>1371.5479736</v>
      </c>
      <c r="I2190">
        <v>1272.5386963000001</v>
      </c>
      <c r="J2190">
        <v>1244.7536620999999</v>
      </c>
      <c r="K2190">
        <v>2400</v>
      </c>
      <c r="L2190">
        <v>0</v>
      </c>
      <c r="M2190">
        <v>0</v>
      </c>
      <c r="N2190">
        <v>2400</v>
      </c>
    </row>
    <row r="2191" spans="1:14" x14ac:dyDescent="0.25">
      <c r="A2191">
        <v>1466.1831629999999</v>
      </c>
      <c r="B2191" s="1">
        <f>DATE(2014,5,6) + TIME(4,23,45)</f>
        <v>41765.183159722219</v>
      </c>
      <c r="C2191">
        <v>90</v>
      </c>
      <c r="D2191">
        <v>89.948974609000004</v>
      </c>
      <c r="E2191">
        <v>30</v>
      </c>
      <c r="F2191">
        <v>29.844020843999999</v>
      </c>
      <c r="G2191">
        <v>1385.6705322</v>
      </c>
      <c r="H2191">
        <v>1371.5048827999999</v>
      </c>
      <c r="I2191">
        <v>1272.5389404</v>
      </c>
      <c r="J2191">
        <v>1244.7530518000001</v>
      </c>
      <c r="K2191">
        <v>2400</v>
      </c>
      <c r="L2191">
        <v>0</v>
      </c>
      <c r="M2191">
        <v>0</v>
      </c>
      <c r="N2191">
        <v>2400</v>
      </c>
    </row>
    <row r="2192" spans="1:14" x14ac:dyDescent="0.25">
      <c r="A2192">
        <v>1466.3560930000001</v>
      </c>
      <c r="B2192" s="1">
        <f>DATE(2014,5,6) + TIME(8,32,46)</f>
        <v>41765.356087962966</v>
      </c>
      <c r="C2192">
        <v>90</v>
      </c>
      <c r="D2192">
        <v>89.950973511000001</v>
      </c>
      <c r="E2192">
        <v>30</v>
      </c>
      <c r="F2192">
        <v>29.840148926000001</v>
      </c>
      <c r="G2192">
        <v>1385.6141356999999</v>
      </c>
      <c r="H2192">
        <v>1371.4615478999999</v>
      </c>
      <c r="I2192">
        <v>1272.5391846</v>
      </c>
      <c r="J2192">
        <v>1244.7525635</v>
      </c>
      <c r="K2192">
        <v>2400</v>
      </c>
      <c r="L2192">
        <v>0</v>
      </c>
      <c r="M2192">
        <v>0</v>
      </c>
      <c r="N2192">
        <v>2400</v>
      </c>
    </row>
    <row r="2193" spans="1:14" x14ac:dyDescent="0.25">
      <c r="A2193">
        <v>1466.5344439999999</v>
      </c>
      <c r="B2193" s="1">
        <f>DATE(2014,5,6) + TIME(12,49,35)</f>
        <v>41765.534432870372</v>
      </c>
      <c r="C2193">
        <v>90</v>
      </c>
      <c r="D2193">
        <v>89.952629088999998</v>
      </c>
      <c r="E2193">
        <v>30</v>
      </c>
      <c r="F2193">
        <v>29.836174011000001</v>
      </c>
      <c r="G2193">
        <v>1385.5576172000001</v>
      </c>
      <c r="H2193">
        <v>1371.4182129000001</v>
      </c>
      <c r="I2193">
        <v>1272.5394286999999</v>
      </c>
      <c r="J2193">
        <v>1244.7519531</v>
      </c>
      <c r="K2193">
        <v>2400</v>
      </c>
      <c r="L2193">
        <v>0</v>
      </c>
      <c r="M2193">
        <v>0</v>
      </c>
      <c r="N2193">
        <v>2400</v>
      </c>
    </row>
    <row r="2194" spans="1:14" x14ac:dyDescent="0.25">
      <c r="A2194">
        <v>1466.7186589999999</v>
      </c>
      <c r="B2194" s="1">
        <f>DATE(2014,5,6) + TIME(17,14,52)</f>
        <v>41765.718657407408</v>
      </c>
      <c r="C2194">
        <v>90</v>
      </c>
      <c r="D2194">
        <v>89.953994750999996</v>
      </c>
      <c r="E2194">
        <v>30</v>
      </c>
      <c r="F2194">
        <v>29.832088469999999</v>
      </c>
      <c r="G2194">
        <v>1385.5008545000001</v>
      </c>
      <c r="H2194">
        <v>1371.3747559000001</v>
      </c>
      <c r="I2194">
        <v>1272.5396728999999</v>
      </c>
      <c r="J2194">
        <v>1244.7514647999999</v>
      </c>
      <c r="K2194">
        <v>2400</v>
      </c>
      <c r="L2194">
        <v>0</v>
      </c>
      <c r="M2194">
        <v>0</v>
      </c>
      <c r="N2194">
        <v>2400</v>
      </c>
    </row>
    <row r="2195" spans="1:14" x14ac:dyDescent="0.25">
      <c r="A2195">
        <v>1466.9092909999999</v>
      </c>
      <c r="B2195" s="1">
        <f>DATE(2014,5,6) + TIME(21,49,22)</f>
        <v>41765.909282407411</v>
      </c>
      <c r="C2195">
        <v>90</v>
      </c>
      <c r="D2195">
        <v>89.955116271999998</v>
      </c>
      <c r="E2195">
        <v>30</v>
      </c>
      <c r="F2195">
        <v>29.827880859</v>
      </c>
      <c r="G2195">
        <v>1385.4438477000001</v>
      </c>
      <c r="H2195">
        <v>1371.3310547000001</v>
      </c>
      <c r="I2195">
        <v>1272.5400391000001</v>
      </c>
      <c r="J2195">
        <v>1244.7508545000001</v>
      </c>
      <c r="K2195">
        <v>2400</v>
      </c>
      <c r="L2195">
        <v>0</v>
      </c>
      <c r="M2195">
        <v>0</v>
      </c>
      <c r="N2195">
        <v>2400</v>
      </c>
    </row>
    <row r="2196" spans="1:14" x14ac:dyDescent="0.25">
      <c r="A2196">
        <v>1467.1069219999999</v>
      </c>
      <c r="B2196" s="1">
        <f>DATE(2014,5,7) + TIME(2,33,58)</f>
        <v>41766.106921296298</v>
      </c>
      <c r="C2196">
        <v>90</v>
      </c>
      <c r="D2196">
        <v>89.956039429</v>
      </c>
      <c r="E2196">
        <v>30</v>
      </c>
      <c r="F2196">
        <v>29.823541640999998</v>
      </c>
      <c r="G2196">
        <v>1385.3864745999999</v>
      </c>
      <c r="H2196">
        <v>1371.2869873</v>
      </c>
      <c r="I2196">
        <v>1272.5402832</v>
      </c>
      <c r="J2196">
        <v>1244.7501221</v>
      </c>
      <c r="K2196">
        <v>2400</v>
      </c>
      <c r="L2196">
        <v>0</v>
      </c>
      <c r="M2196">
        <v>0</v>
      </c>
      <c r="N2196">
        <v>2400</v>
      </c>
    </row>
    <row r="2197" spans="1:14" x14ac:dyDescent="0.25">
      <c r="A2197">
        <v>1467.310532</v>
      </c>
      <c r="B2197" s="1">
        <f>DATE(2014,5,7) + TIME(7,27,9)</f>
        <v>41766.310520833336</v>
      </c>
      <c r="C2197">
        <v>90</v>
      </c>
      <c r="D2197">
        <v>89.956794739000003</v>
      </c>
      <c r="E2197">
        <v>30</v>
      </c>
      <c r="F2197">
        <v>29.819091796999999</v>
      </c>
      <c r="G2197">
        <v>1385.3283690999999</v>
      </c>
      <c r="H2197">
        <v>1371.2425536999999</v>
      </c>
      <c r="I2197">
        <v>1272.5405272999999</v>
      </c>
      <c r="J2197">
        <v>1244.7495117000001</v>
      </c>
      <c r="K2197">
        <v>2400</v>
      </c>
      <c r="L2197">
        <v>0</v>
      </c>
      <c r="M2197">
        <v>0</v>
      </c>
      <c r="N2197">
        <v>2400</v>
      </c>
    </row>
    <row r="2198" spans="1:14" x14ac:dyDescent="0.25">
      <c r="A2198">
        <v>1467.515322</v>
      </c>
      <c r="B2198" s="1">
        <f>DATE(2014,5,7) + TIME(12,22,3)</f>
        <v>41766.5153125</v>
      </c>
      <c r="C2198">
        <v>90</v>
      </c>
      <c r="D2198">
        <v>89.957397460999999</v>
      </c>
      <c r="E2198">
        <v>30</v>
      </c>
      <c r="F2198">
        <v>29.814611435</v>
      </c>
      <c r="G2198">
        <v>1385.2702637</v>
      </c>
      <c r="H2198">
        <v>1371.1979980000001</v>
      </c>
      <c r="I2198">
        <v>1272.5408935999999</v>
      </c>
      <c r="J2198">
        <v>1244.7487793</v>
      </c>
      <c r="K2198">
        <v>2400</v>
      </c>
      <c r="L2198">
        <v>0</v>
      </c>
      <c r="M2198">
        <v>0</v>
      </c>
      <c r="N2198">
        <v>2400</v>
      </c>
    </row>
    <row r="2199" spans="1:14" x14ac:dyDescent="0.25">
      <c r="A2199">
        <v>1467.721736</v>
      </c>
      <c r="B2199" s="1">
        <f>DATE(2014,5,7) + TIME(17,19,17)</f>
        <v>41766.721724537034</v>
      </c>
      <c r="C2199">
        <v>90</v>
      </c>
      <c r="D2199">
        <v>89.957885742000002</v>
      </c>
      <c r="E2199">
        <v>30</v>
      </c>
      <c r="F2199">
        <v>29.810100554999998</v>
      </c>
      <c r="G2199">
        <v>1385.2132568</v>
      </c>
      <c r="H2199">
        <v>1371.1542969</v>
      </c>
      <c r="I2199">
        <v>1272.5411377</v>
      </c>
      <c r="J2199">
        <v>1244.7481689000001</v>
      </c>
      <c r="K2199">
        <v>2400</v>
      </c>
      <c r="L2199">
        <v>0</v>
      </c>
      <c r="M2199">
        <v>0</v>
      </c>
      <c r="N2199">
        <v>2400</v>
      </c>
    </row>
    <row r="2200" spans="1:14" x14ac:dyDescent="0.25">
      <c r="A2200">
        <v>1467.9301869999999</v>
      </c>
      <c r="B2200" s="1">
        <f>DATE(2014,5,7) + TIME(22,19,28)</f>
        <v>41766.930185185185</v>
      </c>
      <c r="C2200">
        <v>90</v>
      </c>
      <c r="D2200">
        <v>89.958274841000005</v>
      </c>
      <c r="E2200">
        <v>30</v>
      </c>
      <c r="F2200">
        <v>29.805553436</v>
      </c>
      <c r="G2200">
        <v>1385.1572266000001</v>
      </c>
      <c r="H2200">
        <v>1371.1114502</v>
      </c>
      <c r="I2200">
        <v>1272.5413818</v>
      </c>
      <c r="J2200">
        <v>1244.7474365</v>
      </c>
      <c r="K2200">
        <v>2400</v>
      </c>
      <c r="L2200">
        <v>0</v>
      </c>
      <c r="M2200">
        <v>0</v>
      </c>
      <c r="N2200">
        <v>2400</v>
      </c>
    </row>
    <row r="2201" spans="1:14" x14ac:dyDescent="0.25">
      <c r="A2201">
        <v>1468.1410860000001</v>
      </c>
      <c r="B2201" s="1">
        <f>DATE(2014,5,8) + TIME(3,23,9)</f>
        <v>41767.141076388885</v>
      </c>
      <c r="C2201">
        <v>90</v>
      </c>
      <c r="D2201">
        <v>89.958587645999998</v>
      </c>
      <c r="E2201">
        <v>30</v>
      </c>
      <c r="F2201">
        <v>29.800966262999999</v>
      </c>
      <c r="G2201">
        <v>1385.1019286999999</v>
      </c>
      <c r="H2201">
        <v>1371.0692139</v>
      </c>
      <c r="I2201">
        <v>1272.5417480000001</v>
      </c>
      <c r="J2201">
        <v>1244.7467041</v>
      </c>
      <c r="K2201">
        <v>2400</v>
      </c>
      <c r="L2201">
        <v>0</v>
      </c>
      <c r="M2201">
        <v>0</v>
      </c>
      <c r="N2201">
        <v>2400</v>
      </c>
    </row>
    <row r="2202" spans="1:14" x14ac:dyDescent="0.25">
      <c r="A2202">
        <v>1468.3549290000001</v>
      </c>
      <c r="B2202" s="1">
        <f>DATE(2014,5,8) + TIME(8,31,5)</f>
        <v>41767.35491898148</v>
      </c>
      <c r="C2202">
        <v>90</v>
      </c>
      <c r="D2202">
        <v>89.958847046000002</v>
      </c>
      <c r="E2202">
        <v>30</v>
      </c>
      <c r="F2202">
        <v>29.796329497999999</v>
      </c>
      <c r="G2202">
        <v>1385.0473632999999</v>
      </c>
      <c r="H2202">
        <v>1371.0274658000001</v>
      </c>
      <c r="I2202">
        <v>1272.5419922000001</v>
      </c>
      <c r="J2202">
        <v>1244.7459716999999</v>
      </c>
      <c r="K2202">
        <v>2400</v>
      </c>
      <c r="L2202">
        <v>0</v>
      </c>
      <c r="M2202">
        <v>0</v>
      </c>
      <c r="N2202">
        <v>2400</v>
      </c>
    </row>
    <row r="2203" spans="1:14" x14ac:dyDescent="0.25">
      <c r="A2203">
        <v>1468.5721410000001</v>
      </c>
      <c r="B2203" s="1">
        <f>DATE(2014,5,8) + TIME(13,43,53)</f>
        <v>41767.572141203702</v>
      </c>
      <c r="C2203">
        <v>90</v>
      </c>
      <c r="D2203">
        <v>89.959060668999996</v>
      </c>
      <c r="E2203">
        <v>30</v>
      </c>
      <c r="F2203">
        <v>29.791637421000001</v>
      </c>
      <c r="G2203">
        <v>1384.9932861</v>
      </c>
      <c r="H2203">
        <v>1370.9862060999999</v>
      </c>
      <c r="I2203">
        <v>1272.5423584</v>
      </c>
      <c r="J2203">
        <v>1244.7452393000001</v>
      </c>
      <c r="K2203">
        <v>2400</v>
      </c>
      <c r="L2203">
        <v>0</v>
      </c>
      <c r="M2203">
        <v>0</v>
      </c>
      <c r="N2203">
        <v>2400</v>
      </c>
    </row>
    <row r="2204" spans="1:14" x14ac:dyDescent="0.25">
      <c r="A2204">
        <v>1468.7931060000001</v>
      </c>
      <c r="B2204" s="1">
        <f>DATE(2014,5,8) + TIME(19,2,4)</f>
        <v>41767.79310185185</v>
      </c>
      <c r="C2204">
        <v>90</v>
      </c>
      <c r="D2204">
        <v>89.959236145000006</v>
      </c>
      <c r="E2204">
        <v>30</v>
      </c>
      <c r="F2204">
        <v>29.786886214999999</v>
      </c>
      <c r="G2204">
        <v>1384.9395752</v>
      </c>
      <c r="H2204">
        <v>1370.9453125</v>
      </c>
      <c r="I2204">
        <v>1272.5426024999999</v>
      </c>
      <c r="J2204">
        <v>1244.7445068</v>
      </c>
      <c r="K2204">
        <v>2400</v>
      </c>
      <c r="L2204">
        <v>0</v>
      </c>
      <c r="M2204">
        <v>0</v>
      </c>
      <c r="N2204">
        <v>2400</v>
      </c>
    </row>
    <row r="2205" spans="1:14" x14ac:dyDescent="0.25">
      <c r="A2205">
        <v>1469.018294</v>
      </c>
      <c r="B2205" s="1">
        <f>DATE(2014,5,9) + TIME(0,26,20)</f>
        <v>41768.018287037034</v>
      </c>
      <c r="C2205">
        <v>90</v>
      </c>
      <c r="D2205">
        <v>89.959373474000003</v>
      </c>
      <c r="E2205">
        <v>30</v>
      </c>
      <c r="F2205">
        <v>29.782064437999999</v>
      </c>
      <c r="G2205">
        <v>1384.8862305</v>
      </c>
      <c r="H2205">
        <v>1370.9045410000001</v>
      </c>
      <c r="I2205">
        <v>1272.5429687999999</v>
      </c>
      <c r="J2205">
        <v>1244.7437743999999</v>
      </c>
      <c r="K2205">
        <v>2400</v>
      </c>
      <c r="L2205">
        <v>0</v>
      </c>
      <c r="M2205">
        <v>0</v>
      </c>
      <c r="N2205">
        <v>2400</v>
      </c>
    </row>
    <row r="2206" spans="1:14" x14ac:dyDescent="0.25">
      <c r="A2206">
        <v>1469.246752</v>
      </c>
      <c r="B2206" s="1">
        <f>DATE(2014,5,9) + TIME(5,55,19)</f>
        <v>41768.246747685182</v>
      </c>
      <c r="C2206">
        <v>90</v>
      </c>
      <c r="D2206">
        <v>89.959487914999997</v>
      </c>
      <c r="E2206">
        <v>30</v>
      </c>
      <c r="F2206">
        <v>29.777193068999999</v>
      </c>
      <c r="G2206">
        <v>1384.8330077999999</v>
      </c>
      <c r="H2206">
        <v>1370.8640137</v>
      </c>
      <c r="I2206">
        <v>1272.5432129000001</v>
      </c>
      <c r="J2206">
        <v>1244.7430420000001</v>
      </c>
      <c r="K2206">
        <v>2400</v>
      </c>
      <c r="L2206">
        <v>0</v>
      </c>
      <c r="M2206">
        <v>0</v>
      </c>
      <c r="N2206">
        <v>2400</v>
      </c>
    </row>
    <row r="2207" spans="1:14" x14ac:dyDescent="0.25">
      <c r="A2207">
        <v>1469.4789370000001</v>
      </c>
      <c r="B2207" s="1">
        <f>DATE(2014,5,9) + TIME(11,29,40)</f>
        <v>41768.478935185187</v>
      </c>
      <c r="C2207">
        <v>90</v>
      </c>
      <c r="D2207">
        <v>89.959587096999996</v>
      </c>
      <c r="E2207">
        <v>30</v>
      </c>
      <c r="F2207">
        <v>29.772262572999999</v>
      </c>
      <c r="G2207">
        <v>1384.7801514</v>
      </c>
      <c r="H2207">
        <v>1370.8238524999999</v>
      </c>
      <c r="I2207">
        <v>1272.5435791</v>
      </c>
      <c r="J2207">
        <v>1244.7421875</v>
      </c>
      <c r="K2207">
        <v>2400</v>
      </c>
      <c r="L2207">
        <v>0</v>
      </c>
      <c r="M2207">
        <v>0</v>
      </c>
      <c r="N2207">
        <v>2400</v>
      </c>
    </row>
    <row r="2208" spans="1:14" x14ac:dyDescent="0.25">
      <c r="A2208">
        <v>1469.7152229999999</v>
      </c>
      <c r="B2208" s="1">
        <f>DATE(2014,5,9) + TIME(17,9,55)</f>
        <v>41768.715219907404</v>
      </c>
      <c r="C2208">
        <v>90</v>
      </c>
      <c r="D2208">
        <v>89.959663391000007</v>
      </c>
      <c r="E2208">
        <v>30</v>
      </c>
      <c r="F2208">
        <v>29.76726532</v>
      </c>
      <c r="G2208">
        <v>1384.7275391000001</v>
      </c>
      <c r="H2208">
        <v>1370.7838135</v>
      </c>
      <c r="I2208">
        <v>1272.5439452999999</v>
      </c>
      <c r="J2208">
        <v>1244.7414550999999</v>
      </c>
      <c r="K2208">
        <v>2400</v>
      </c>
      <c r="L2208">
        <v>0</v>
      </c>
      <c r="M2208">
        <v>0</v>
      </c>
      <c r="N2208">
        <v>2400</v>
      </c>
    </row>
    <row r="2209" spans="1:14" x14ac:dyDescent="0.25">
      <c r="A2209">
        <v>1469.9560389999999</v>
      </c>
      <c r="B2209" s="1">
        <f>DATE(2014,5,9) + TIME(22,56,41)</f>
        <v>41768.956030092595</v>
      </c>
      <c r="C2209">
        <v>90</v>
      </c>
      <c r="D2209">
        <v>89.959724425999994</v>
      </c>
      <c r="E2209">
        <v>30</v>
      </c>
      <c r="F2209">
        <v>29.762199402</v>
      </c>
      <c r="G2209">
        <v>1384.6751709</v>
      </c>
      <c r="H2209">
        <v>1370.7440185999999</v>
      </c>
      <c r="I2209">
        <v>1272.5443115</v>
      </c>
      <c r="J2209">
        <v>1244.7406006000001</v>
      </c>
      <c r="K2209">
        <v>2400</v>
      </c>
      <c r="L2209">
        <v>0</v>
      </c>
      <c r="M2209">
        <v>0</v>
      </c>
      <c r="N2209">
        <v>2400</v>
      </c>
    </row>
    <row r="2210" spans="1:14" x14ac:dyDescent="0.25">
      <c r="A2210">
        <v>1470.2018849999999</v>
      </c>
      <c r="B2210" s="1">
        <f>DATE(2014,5,10) + TIME(4,50,42)</f>
        <v>41769.201874999999</v>
      </c>
      <c r="C2210">
        <v>90</v>
      </c>
      <c r="D2210">
        <v>89.959777832</v>
      </c>
      <c r="E2210">
        <v>30</v>
      </c>
      <c r="F2210">
        <v>29.757051468</v>
      </c>
      <c r="G2210">
        <v>1384.6229248</v>
      </c>
      <c r="H2210">
        <v>1370.7042236</v>
      </c>
      <c r="I2210">
        <v>1272.5446777</v>
      </c>
      <c r="J2210">
        <v>1244.7397461</v>
      </c>
      <c r="K2210">
        <v>2400</v>
      </c>
      <c r="L2210">
        <v>0</v>
      </c>
      <c r="M2210">
        <v>0</v>
      </c>
      <c r="N2210">
        <v>2400</v>
      </c>
    </row>
    <row r="2211" spans="1:14" x14ac:dyDescent="0.25">
      <c r="A2211">
        <v>1470.4532999999999</v>
      </c>
      <c r="B2211" s="1">
        <f>DATE(2014,5,10) + TIME(10,52,45)</f>
        <v>41769.453298611108</v>
      </c>
      <c r="C2211">
        <v>90</v>
      </c>
      <c r="D2211">
        <v>89.959815978999998</v>
      </c>
      <c r="E2211">
        <v>30</v>
      </c>
      <c r="F2211">
        <v>29.751817703</v>
      </c>
      <c r="G2211">
        <v>1384.5706786999999</v>
      </c>
      <c r="H2211">
        <v>1370.6645507999999</v>
      </c>
      <c r="I2211">
        <v>1272.5450439000001</v>
      </c>
      <c r="J2211">
        <v>1244.7388916</v>
      </c>
      <c r="K2211">
        <v>2400</v>
      </c>
      <c r="L2211">
        <v>0</v>
      </c>
      <c r="M2211">
        <v>0</v>
      </c>
      <c r="N2211">
        <v>2400</v>
      </c>
    </row>
    <row r="2212" spans="1:14" x14ac:dyDescent="0.25">
      <c r="A2212">
        <v>1470.7108310000001</v>
      </c>
      <c r="B2212" s="1">
        <f>DATE(2014,5,10) + TIME(17,3,35)</f>
        <v>41769.710821759261</v>
      </c>
      <c r="C2212">
        <v>90</v>
      </c>
      <c r="D2212">
        <v>89.959846497000001</v>
      </c>
      <c r="E2212">
        <v>30</v>
      </c>
      <c r="F2212">
        <v>29.746484756000001</v>
      </c>
      <c r="G2212">
        <v>1384.5183105000001</v>
      </c>
      <c r="H2212">
        <v>1370.6247559000001</v>
      </c>
      <c r="I2212">
        <v>1272.5454102000001</v>
      </c>
      <c r="J2212">
        <v>1244.7380370999999</v>
      </c>
      <c r="K2212">
        <v>2400</v>
      </c>
      <c r="L2212">
        <v>0</v>
      </c>
      <c r="M2212">
        <v>0</v>
      </c>
      <c r="N2212">
        <v>2400</v>
      </c>
    </row>
    <row r="2213" spans="1:14" x14ac:dyDescent="0.25">
      <c r="A2213">
        <v>1470.975134</v>
      </c>
      <c r="B2213" s="1">
        <f>DATE(2014,5,10) + TIME(23,24,11)</f>
        <v>41769.975127314814</v>
      </c>
      <c r="C2213">
        <v>90</v>
      </c>
      <c r="D2213">
        <v>89.959869385000005</v>
      </c>
      <c r="E2213">
        <v>30</v>
      </c>
      <c r="F2213">
        <v>29.741044998</v>
      </c>
      <c r="G2213">
        <v>1384.4656981999999</v>
      </c>
      <c r="H2213">
        <v>1370.5849608999999</v>
      </c>
      <c r="I2213">
        <v>1272.5457764</v>
      </c>
      <c r="J2213">
        <v>1244.7371826000001</v>
      </c>
      <c r="K2213">
        <v>2400</v>
      </c>
      <c r="L2213">
        <v>0</v>
      </c>
      <c r="M2213">
        <v>0</v>
      </c>
      <c r="N2213">
        <v>2400</v>
      </c>
    </row>
    <row r="2214" spans="1:14" x14ac:dyDescent="0.25">
      <c r="A2214">
        <v>1471.2469349999999</v>
      </c>
      <c r="B2214" s="1">
        <f>DATE(2014,5,11) + TIME(5,55,35)</f>
        <v>41770.246932870374</v>
      </c>
      <c r="C2214">
        <v>90</v>
      </c>
      <c r="D2214">
        <v>89.959884643999999</v>
      </c>
      <c r="E2214">
        <v>30</v>
      </c>
      <c r="F2214">
        <v>29.735483169999998</v>
      </c>
      <c r="G2214">
        <v>1384.4128418</v>
      </c>
      <c r="H2214">
        <v>1370.5447998</v>
      </c>
      <c r="I2214">
        <v>1272.5461425999999</v>
      </c>
      <c r="J2214">
        <v>1244.7363281</v>
      </c>
      <c r="K2214">
        <v>2400</v>
      </c>
      <c r="L2214">
        <v>0</v>
      </c>
      <c r="M2214">
        <v>0</v>
      </c>
      <c r="N2214">
        <v>2400</v>
      </c>
    </row>
    <row r="2215" spans="1:14" x14ac:dyDescent="0.25">
      <c r="A2215">
        <v>1471.5252860000001</v>
      </c>
      <c r="B2215" s="1">
        <f>DATE(2014,5,11) + TIME(12,36,24)</f>
        <v>41770.525277777779</v>
      </c>
      <c r="C2215">
        <v>90</v>
      </c>
      <c r="D2215">
        <v>89.959892272999994</v>
      </c>
      <c r="E2215">
        <v>30</v>
      </c>
      <c r="F2215">
        <v>29.729814528999999</v>
      </c>
      <c r="G2215">
        <v>1384.3596190999999</v>
      </c>
      <c r="H2215">
        <v>1370.5045166</v>
      </c>
      <c r="I2215">
        <v>1272.5465088000001</v>
      </c>
      <c r="J2215">
        <v>1244.7353516000001</v>
      </c>
      <c r="K2215">
        <v>2400</v>
      </c>
      <c r="L2215">
        <v>0</v>
      </c>
      <c r="M2215">
        <v>0</v>
      </c>
      <c r="N2215">
        <v>2400</v>
      </c>
    </row>
    <row r="2216" spans="1:14" x14ac:dyDescent="0.25">
      <c r="A2216">
        <v>1471.808949</v>
      </c>
      <c r="B2216" s="1">
        <f>DATE(2014,5,11) + TIME(19,24,53)</f>
        <v>41770.808946759258</v>
      </c>
      <c r="C2216">
        <v>90</v>
      </c>
      <c r="D2216">
        <v>89.959899902000004</v>
      </c>
      <c r="E2216">
        <v>30</v>
      </c>
      <c r="F2216">
        <v>29.724060058999999</v>
      </c>
      <c r="G2216">
        <v>1384.3061522999999</v>
      </c>
      <c r="H2216">
        <v>1370.4639893000001</v>
      </c>
      <c r="I2216">
        <v>1272.5469971</v>
      </c>
      <c r="J2216">
        <v>1244.734375</v>
      </c>
      <c r="K2216">
        <v>2400</v>
      </c>
      <c r="L2216">
        <v>0</v>
      </c>
      <c r="M2216">
        <v>0</v>
      </c>
      <c r="N2216">
        <v>2400</v>
      </c>
    </row>
    <row r="2217" spans="1:14" x14ac:dyDescent="0.25">
      <c r="A2217">
        <v>1472.0983430000001</v>
      </c>
      <c r="B2217" s="1">
        <f>DATE(2014,5,12) + TIME(2,21,36)</f>
        <v>41771.098333333335</v>
      </c>
      <c r="C2217">
        <v>90</v>
      </c>
      <c r="D2217">
        <v>89.959899902000004</v>
      </c>
      <c r="E2217">
        <v>30</v>
      </c>
      <c r="F2217">
        <v>29.718212128000001</v>
      </c>
      <c r="G2217">
        <v>1384.2526855000001</v>
      </c>
      <c r="H2217">
        <v>1370.4234618999999</v>
      </c>
      <c r="I2217">
        <v>1272.5473632999999</v>
      </c>
      <c r="J2217">
        <v>1244.7333983999999</v>
      </c>
      <c r="K2217">
        <v>2400</v>
      </c>
      <c r="L2217">
        <v>0</v>
      </c>
      <c r="M2217">
        <v>0</v>
      </c>
      <c r="N2217">
        <v>2400</v>
      </c>
    </row>
    <row r="2218" spans="1:14" x14ac:dyDescent="0.25">
      <c r="A2218">
        <v>1472.3939949999999</v>
      </c>
      <c r="B2218" s="1">
        <f>DATE(2014,5,12) + TIME(9,27,21)</f>
        <v>41771.393993055557</v>
      </c>
      <c r="C2218">
        <v>90</v>
      </c>
      <c r="D2218">
        <v>89.959899902000004</v>
      </c>
      <c r="E2218">
        <v>30</v>
      </c>
      <c r="F2218">
        <v>29.712266922000001</v>
      </c>
      <c r="G2218">
        <v>1384.1993408000001</v>
      </c>
      <c r="H2218">
        <v>1370.3830565999999</v>
      </c>
      <c r="I2218">
        <v>1272.5478516000001</v>
      </c>
      <c r="J2218">
        <v>1244.7324219</v>
      </c>
      <c r="K2218">
        <v>2400</v>
      </c>
      <c r="L2218">
        <v>0</v>
      </c>
      <c r="M2218">
        <v>0</v>
      </c>
      <c r="N2218">
        <v>2400</v>
      </c>
    </row>
    <row r="2219" spans="1:14" x14ac:dyDescent="0.25">
      <c r="A2219">
        <v>1472.6965070000001</v>
      </c>
      <c r="B2219" s="1">
        <f>DATE(2014,5,12) + TIME(16,42,58)</f>
        <v>41771.696504629632</v>
      </c>
      <c r="C2219">
        <v>90</v>
      </c>
      <c r="D2219">
        <v>89.959892272999994</v>
      </c>
      <c r="E2219">
        <v>30</v>
      </c>
      <c r="F2219">
        <v>29.706212997000002</v>
      </c>
      <c r="G2219">
        <v>1384.145874</v>
      </c>
      <c r="H2219">
        <v>1370.3425293</v>
      </c>
      <c r="I2219">
        <v>1272.5482178</v>
      </c>
      <c r="J2219">
        <v>1244.7314452999999</v>
      </c>
      <c r="K2219">
        <v>2400</v>
      </c>
      <c r="L2219">
        <v>0</v>
      </c>
      <c r="M2219">
        <v>0</v>
      </c>
      <c r="N2219">
        <v>2400</v>
      </c>
    </row>
    <row r="2220" spans="1:14" x14ac:dyDescent="0.25">
      <c r="A2220">
        <v>1473.0065340000001</v>
      </c>
      <c r="B2220" s="1">
        <f>DATE(2014,5,13) + TIME(0,9,24)</f>
        <v>41772.006527777776</v>
      </c>
      <c r="C2220">
        <v>90</v>
      </c>
      <c r="D2220">
        <v>89.959884643999999</v>
      </c>
      <c r="E2220">
        <v>30</v>
      </c>
      <c r="F2220">
        <v>29.700044632000001</v>
      </c>
      <c r="G2220">
        <v>1384.0921631000001</v>
      </c>
      <c r="H2220">
        <v>1370.3018798999999</v>
      </c>
      <c r="I2220">
        <v>1272.5487060999999</v>
      </c>
      <c r="J2220">
        <v>1244.7304687999999</v>
      </c>
      <c r="K2220">
        <v>2400</v>
      </c>
      <c r="L2220">
        <v>0</v>
      </c>
      <c r="M2220">
        <v>0</v>
      </c>
      <c r="N2220">
        <v>2400</v>
      </c>
    </row>
    <row r="2221" spans="1:14" x14ac:dyDescent="0.25">
      <c r="A2221">
        <v>1473.324742</v>
      </c>
      <c r="B2221" s="1">
        <f>DATE(2014,5,13) + TIME(7,47,37)</f>
        <v>41772.324733796297</v>
      </c>
      <c r="C2221">
        <v>90</v>
      </c>
      <c r="D2221">
        <v>89.959869385000005</v>
      </c>
      <c r="E2221">
        <v>30</v>
      </c>
      <c r="F2221">
        <v>29.693750381000001</v>
      </c>
      <c r="G2221">
        <v>1384.0382079999999</v>
      </c>
      <c r="H2221">
        <v>1370.2611084</v>
      </c>
      <c r="I2221">
        <v>1272.5491943</v>
      </c>
      <c r="J2221">
        <v>1244.7293701000001</v>
      </c>
      <c r="K2221">
        <v>2400</v>
      </c>
      <c r="L2221">
        <v>0</v>
      </c>
      <c r="M2221">
        <v>0</v>
      </c>
      <c r="N2221">
        <v>2400</v>
      </c>
    </row>
    <row r="2222" spans="1:14" x14ac:dyDescent="0.25">
      <c r="A2222">
        <v>1473.647213</v>
      </c>
      <c r="B2222" s="1">
        <f>DATE(2014,5,13) + TIME(15,31,59)</f>
        <v>41772.647210648145</v>
      </c>
      <c r="C2222">
        <v>90</v>
      </c>
      <c r="D2222">
        <v>89.959854125999996</v>
      </c>
      <c r="E2222">
        <v>30</v>
      </c>
      <c r="F2222">
        <v>29.687385558999999</v>
      </c>
      <c r="G2222">
        <v>1383.9838867000001</v>
      </c>
      <c r="H2222">
        <v>1370.2200928</v>
      </c>
      <c r="I2222">
        <v>1272.5496826000001</v>
      </c>
      <c r="J2222">
        <v>1244.7282714999999</v>
      </c>
      <c r="K2222">
        <v>2400</v>
      </c>
      <c r="L2222">
        <v>0</v>
      </c>
      <c r="M2222">
        <v>0</v>
      </c>
      <c r="N2222">
        <v>2400</v>
      </c>
    </row>
    <row r="2223" spans="1:14" x14ac:dyDescent="0.25">
      <c r="A2223">
        <v>1473.972362</v>
      </c>
      <c r="B2223" s="1">
        <f>DATE(2014,5,13) + TIME(23,20,12)</f>
        <v>41772.972361111111</v>
      </c>
      <c r="C2223">
        <v>90</v>
      </c>
      <c r="D2223">
        <v>89.959838867000002</v>
      </c>
      <c r="E2223">
        <v>30</v>
      </c>
      <c r="F2223">
        <v>29.680976867999998</v>
      </c>
      <c r="G2223">
        <v>1383.9299315999999</v>
      </c>
      <c r="H2223">
        <v>1370.1791992000001</v>
      </c>
      <c r="I2223">
        <v>1272.5501709</v>
      </c>
      <c r="J2223">
        <v>1244.7271728999999</v>
      </c>
      <c r="K2223">
        <v>2400</v>
      </c>
      <c r="L2223">
        <v>0</v>
      </c>
      <c r="M2223">
        <v>0</v>
      </c>
      <c r="N2223">
        <v>2400</v>
      </c>
    </row>
    <row r="2224" spans="1:14" x14ac:dyDescent="0.25">
      <c r="A2224">
        <v>1474.300825</v>
      </c>
      <c r="B2224" s="1">
        <f>DATE(2014,5,14) + TIME(7,13,11)</f>
        <v>41773.300821759258</v>
      </c>
      <c r="C2224">
        <v>90</v>
      </c>
      <c r="D2224">
        <v>89.959815978999998</v>
      </c>
      <c r="E2224">
        <v>30</v>
      </c>
      <c r="F2224">
        <v>29.674524306999999</v>
      </c>
      <c r="G2224">
        <v>1383.8765868999999</v>
      </c>
      <c r="H2224">
        <v>1370.1387939000001</v>
      </c>
      <c r="I2224">
        <v>1272.5506591999999</v>
      </c>
      <c r="J2224">
        <v>1244.7260742000001</v>
      </c>
      <c r="K2224">
        <v>2400</v>
      </c>
      <c r="L2224">
        <v>0</v>
      </c>
      <c r="M2224">
        <v>0</v>
      </c>
      <c r="N2224">
        <v>2400</v>
      </c>
    </row>
    <row r="2225" spans="1:14" x14ac:dyDescent="0.25">
      <c r="A2225">
        <v>1474.6333050000001</v>
      </c>
      <c r="B2225" s="1">
        <f>DATE(2014,5,14) + TIME(15,11,57)</f>
        <v>41773.633298611108</v>
      </c>
      <c r="C2225">
        <v>90</v>
      </c>
      <c r="D2225">
        <v>89.959800720000004</v>
      </c>
      <c r="E2225">
        <v>30</v>
      </c>
      <c r="F2225">
        <v>29.668018341</v>
      </c>
      <c r="G2225">
        <v>1383.8236084</v>
      </c>
      <c r="H2225">
        <v>1370.0987548999999</v>
      </c>
      <c r="I2225">
        <v>1272.5512695</v>
      </c>
      <c r="J2225">
        <v>1244.7249756000001</v>
      </c>
      <c r="K2225">
        <v>2400</v>
      </c>
      <c r="L2225">
        <v>0</v>
      </c>
      <c r="M2225">
        <v>0</v>
      </c>
      <c r="N2225">
        <v>2400</v>
      </c>
    </row>
    <row r="2226" spans="1:14" x14ac:dyDescent="0.25">
      <c r="A2226">
        <v>1474.9705690000001</v>
      </c>
      <c r="B2226" s="1">
        <f>DATE(2014,5,14) + TIME(23,17,37)</f>
        <v>41773.970567129632</v>
      </c>
      <c r="C2226">
        <v>90</v>
      </c>
      <c r="D2226">
        <v>89.959777832</v>
      </c>
      <c r="E2226">
        <v>30</v>
      </c>
      <c r="F2226">
        <v>29.661451339999999</v>
      </c>
      <c r="G2226">
        <v>1383.7709961</v>
      </c>
      <c r="H2226">
        <v>1370.0589600000001</v>
      </c>
      <c r="I2226">
        <v>1272.5517577999999</v>
      </c>
      <c r="J2226">
        <v>1244.7238769999999</v>
      </c>
      <c r="K2226">
        <v>2400</v>
      </c>
      <c r="L2226">
        <v>0</v>
      </c>
      <c r="M2226">
        <v>0</v>
      </c>
      <c r="N2226">
        <v>2400</v>
      </c>
    </row>
    <row r="2227" spans="1:14" x14ac:dyDescent="0.25">
      <c r="A2227">
        <v>1475.3131490000001</v>
      </c>
      <c r="B2227" s="1">
        <f>DATE(2014,5,15) + TIME(7,30,56)</f>
        <v>41774.313148148147</v>
      </c>
      <c r="C2227">
        <v>90</v>
      </c>
      <c r="D2227">
        <v>89.959754943999997</v>
      </c>
      <c r="E2227">
        <v>30</v>
      </c>
      <c r="F2227">
        <v>29.654817581</v>
      </c>
      <c r="G2227">
        <v>1383.7185059000001</v>
      </c>
      <c r="H2227">
        <v>1370.0194091999999</v>
      </c>
      <c r="I2227">
        <v>1272.5523682</v>
      </c>
      <c r="J2227">
        <v>1244.7227783000001</v>
      </c>
      <c r="K2227">
        <v>2400</v>
      </c>
      <c r="L2227">
        <v>0</v>
      </c>
      <c r="M2227">
        <v>0</v>
      </c>
      <c r="N2227">
        <v>2400</v>
      </c>
    </row>
    <row r="2228" spans="1:14" x14ac:dyDescent="0.25">
      <c r="A2228">
        <v>1475.6617650000001</v>
      </c>
      <c r="B2228" s="1">
        <f>DATE(2014,5,15) + TIME(15,52,56)</f>
        <v>41774.661759259259</v>
      </c>
      <c r="C2228">
        <v>90</v>
      </c>
      <c r="D2228">
        <v>89.959732056000007</v>
      </c>
      <c r="E2228">
        <v>30</v>
      </c>
      <c r="F2228">
        <v>29.648107529000001</v>
      </c>
      <c r="G2228">
        <v>1383.6662598</v>
      </c>
      <c r="H2228">
        <v>1369.9798584</v>
      </c>
      <c r="I2228">
        <v>1272.5528564000001</v>
      </c>
      <c r="J2228">
        <v>1244.7215576000001</v>
      </c>
      <c r="K2228">
        <v>2400</v>
      </c>
      <c r="L2228">
        <v>0</v>
      </c>
      <c r="M2228">
        <v>0</v>
      </c>
      <c r="N2228">
        <v>2400</v>
      </c>
    </row>
    <row r="2229" spans="1:14" x14ac:dyDescent="0.25">
      <c r="A2229">
        <v>1476.017182</v>
      </c>
      <c r="B2229" s="1">
        <f>DATE(2014,5,16) + TIME(0,24,44)</f>
        <v>41775.017175925925</v>
      </c>
      <c r="C2229">
        <v>90</v>
      </c>
      <c r="D2229">
        <v>89.959709167</v>
      </c>
      <c r="E2229">
        <v>30</v>
      </c>
      <c r="F2229">
        <v>29.641307830999999</v>
      </c>
      <c r="G2229">
        <v>1383.6140137</v>
      </c>
      <c r="H2229">
        <v>1369.9403076000001</v>
      </c>
      <c r="I2229">
        <v>1272.5534668</v>
      </c>
      <c r="J2229">
        <v>1244.7204589999999</v>
      </c>
      <c r="K2229">
        <v>2400</v>
      </c>
      <c r="L2229">
        <v>0</v>
      </c>
      <c r="M2229">
        <v>0</v>
      </c>
      <c r="N2229">
        <v>2400</v>
      </c>
    </row>
    <row r="2230" spans="1:14" x14ac:dyDescent="0.25">
      <c r="A2230">
        <v>1476.3791900000001</v>
      </c>
      <c r="B2230" s="1">
        <f>DATE(2014,5,16) + TIME(9,6,2)</f>
        <v>41775.379189814812</v>
      </c>
      <c r="C2230">
        <v>90</v>
      </c>
      <c r="D2230">
        <v>89.959686278999996</v>
      </c>
      <c r="E2230">
        <v>30</v>
      </c>
      <c r="F2230">
        <v>29.634422302000001</v>
      </c>
      <c r="G2230">
        <v>1383.5616454999999</v>
      </c>
      <c r="H2230">
        <v>1369.9007568</v>
      </c>
      <c r="I2230">
        <v>1272.5540771000001</v>
      </c>
      <c r="J2230">
        <v>1244.7192382999999</v>
      </c>
      <c r="K2230">
        <v>2400</v>
      </c>
      <c r="L2230">
        <v>0</v>
      </c>
      <c r="M2230">
        <v>0</v>
      </c>
      <c r="N2230">
        <v>2400</v>
      </c>
    </row>
    <row r="2231" spans="1:14" x14ac:dyDescent="0.25">
      <c r="A2231">
        <v>1476.7465790000001</v>
      </c>
      <c r="B2231" s="1">
        <f>DATE(2014,5,16) + TIME(17,55,4)</f>
        <v>41775.746574074074</v>
      </c>
      <c r="C2231">
        <v>90</v>
      </c>
      <c r="D2231">
        <v>89.959655761999997</v>
      </c>
      <c r="E2231">
        <v>30</v>
      </c>
      <c r="F2231">
        <v>29.627468108999999</v>
      </c>
      <c r="G2231">
        <v>1383.5092772999999</v>
      </c>
      <c r="H2231">
        <v>1369.8610839999999</v>
      </c>
      <c r="I2231">
        <v>1272.5546875</v>
      </c>
      <c r="J2231">
        <v>1244.7180175999999</v>
      </c>
      <c r="K2231">
        <v>2400</v>
      </c>
      <c r="L2231">
        <v>0</v>
      </c>
      <c r="M2231">
        <v>0</v>
      </c>
      <c r="N2231">
        <v>2400</v>
      </c>
    </row>
    <row r="2232" spans="1:14" x14ac:dyDescent="0.25">
      <c r="A2232">
        <v>1477.1200799999999</v>
      </c>
      <c r="B2232" s="1">
        <f>DATE(2014,5,17) + TIME(2,52,54)</f>
        <v>41776.120069444441</v>
      </c>
      <c r="C2232">
        <v>90</v>
      </c>
      <c r="D2232">
        <v>89.959632873999993</v>
      </c>
      <c r="E2232">
        <v>30</v>
      </c>
      <c r="F2232">
        <v>29.620433807000001</v>
      </c>
      <c r="G2232">
        <v>1383.4569091999999</v>
      </c>
      <c r="H2232">
        <v>1369.8215332</v>
      </c>
      <c r="I2232">
        <v>1272.5554199000001</v>
      </c>
      <c r="J2232">
        <v>1244.7167969</v>
      </c>
      <c r="K2232">
        <v>2400</v>
      </c>
      <c r="L2232">
        <v>0</v>
      </c>
      <c r="M2232">
        <v>0</v>
      </c>
      <c r="N2232">
        <v>2400</v>
      </c>
    </row>
    <row r="2233" spans="1:14" x14ac:dyDescent="0.25">
      <c r="A2233">
        <v>1477.500319</v>
      </c>
      <c r="B2233" s="1">
        <f>DATE(2014,5,17) + TIME(12,0,27)</f>
        <v>41776.5003125</v>
      </c>
      <c r="C2233">
        <v>90</v>
      </c>
      <c r="D2233">
        <v>89.959609985</v>
      </c>
      <c r="E2233">
        <v>30</v>
      </c>
      <c r="F2233">
        <v>29.613313675000001</v>
      </c>
      <c r="G2233">
        <v>1383.4046631000001</v>
      </c>
      <c r="H2233">
        <v>1369.7819824000001</v>
      </c>
      <c r="I2233">
        <v>1272.5560303</v>
      </c>
      <c r="J2233">
        <v>1244.7155762</v>
      </c>
      <c r="K2233">
        <v>2400</v>
      </c>
      <c r="L2233">
        <v>0</v>
      </c>
      <c r="M2233">
        <v>0</v>
      </c>
      <c r="N2233">
        <v>2400</v>
      </c>
    </row>
    <row r="2234" spans="1:14" x14ac:dyDescent="0.25">
      <c r="A2234">
        <v>1477.8880830000001</v>
      </c>
      <c r="B2234" s="1">
        <f>DATE(2014,5,17) + TIME(21,18,50)</f>
        <v>41776.888078703705</v>
      </c>
      <c r="C2234">
        <v>90</v>
      </c>
      <c r="D2234">
        <v>89.959579468000001</v>
      </c>
      <c r="E2234">
        <v>30</v>
      </c>
      <c r="F2234">
        <v>29.606100082000001</v>
      </c>
      <c r="G2234">
        <v>1383.3524170000001</v>
      </c>
      <c r="H2234">
        <v>1369.7424315999999</v>
      </c>
      <c r="I2234">
        <v>1272.5567627</v>
      </c>
      <c r="J2234">
        <v>1244.7142334</v>
      </c>
      <c r="K2234">
        <v>2400</v>
      </c>
      <c r="L2234">
        <v>0</v>
      </c>
      <c r="M2234">
        <v>0</v>
      </c>
      <c r="N2234">
        <v>2400</v>
      </c>
    </row>
    <row r="2235" spans="1:14" x14ac:dyDescent="0.25">
      <c r="A2235">
        <v>1478.2842290000001</v>
      </c>
      <c r="B2235" s="1">
        <f>DATE(2014,5,18) + TIME(6,49,17)</f>
        <v>41777.284224537034</v>
      </c>
      <c r="C2235">
        <v>90</v>
      </c>
      <c r="D2235">
        <v>89.959556579999997</v>
      </c>
      <c r="E2235">
        <v>30</v>
      </c>
      <c r="F2235">
        <v>29.598777771000002</v>
      </c>
      <c r="G2235">
        <v>1383.3000488</v>
      </c>
      <c r="H2235">
        <v>1369.7027588000001</v>
      </c>
      <c r="I2235">
        <v>1272.5573730000001</v>
      </c>
      <c r="J2235">
        <v>1244.7130127</v>
      </c>
      <c r="K2235">
        <v>2400</v>
      </c>
      <c r="L2235">
        <v>0</v>
      </c>
      <c r="M2235">
        <v>0</v>
      </c>
      <c r="N2235">
        <v>2400</v>
      </c>
    </row>
    <row r="2236" spans="1:14" x14ac:dyDescent="0.25">
      <c r="A2236">
        <v>1478.6873840000001</v>
      </c>
      <c r="B2236" s="1">
        <f>DATE(2014,5,18) + TIME(16,29,50)</f>
        <v>41777.687384259261</v>
      </c>
      <c r="C2236">
        <v>90</v>
      </c>
      <c r="D2236">
        <v>89.959526061999995</v>
      </c>
      <c r="E2236">
        <v>30</v>
      </c>
      <c r="F2236">
        <v>29.591365814</v>
      </c>
      <c r="G2236">
        <v>1383.2473144999999</v>
      </c>
      <c r="H2236">
        <v>1369.6629639</v>
      </c>
      <c r="I2236">
        <v>1272.5581055</v>
      </c>
      <c r="J2236">
        <v>1244.7116699000001</v>
      </c>
      <c r="K2236">
        <v>2400</v>
      </c>
      <c r="L2236">
        <v>0</v>
      </c>
      <c r="M2236">
        <v>0</v>
      </c>
      <c r="N2236">
        <v>2400</v>
      </c>
    </row>
    <row r="2237" spans="1:14" x14ac:dyDescent="0.25">
      <c r="A2237">
        <v>1479.0974349999999</v>
      </c>
      <c r="B2237" s="1">
        <f>DATE(2014,5,19) + TIME(2,20,18)</f>
        <v>41778.097430555557</v>
      </c>
      <c r="C2237">
        <v>90</v>
      </c>
      <c r="D2237">
        <v>89.959503174000005</v>
      </c>
      <c r="E2237">
        <v>30</v>
      </c>
      <c r="F2237">
        <v>29.583864212000002</v>
      </c>
      <c r="G2237">
        <v>1383.1945800999999</v>
      </c>
      <c r="H2237">
        <v>1369.6230469</v>
      </c>
      <c r="I2237">
        <v>1272.5588379000001</v>
      </c>
      <c r="J2237">
        <v>1244.7103271000001</v>
      </c>
      <c r="K2237">
        <v>2400</v>
      </c>
      <c r="L2237">
        <v>0</v>
      </c>
      <c r="M2237">
        <v>0</v>
      </c>
      <c r="N2237">
        <v>2400</v>
      </c>
    </row>
    <row r="2238" spans="1:14" x14ac:dyDescent="0.25">
      <c r="A2238">
        <v>1479.515128</v>
      </c>
      <c r="B2238" s="1">
        <f>DATE(2014,5,19) + TIME(12,21,47)</f>
        <v>41778.515127314815</v>
      </c>
      <c r="C2238">
        <v>90</v>
      </c>
      <c r="D2238">
        <v>89.959472656000003</v>
      </c>
      <c r="E2238">
        <v>30</v>
      </c>
      <c r="F2238">
        <v>29.576269150000002</v>
      </c>
      <c r="G2238">
        <v>1383.1418457</v>
      </c>
      <c r="H2238">
        <v>1369.5831298999999</v>
      </c>
      <c r="I2238">
        <v>1272.5595702999999</v>
      </c>
      <c r="J2238">
        <v>1244.7089844</v>
      </c>
      <c r="K2238">
        <v>2400</v>
      </c>
      <c r="L2238">
        <v>0</v>
      </c>
      <c r="M2238">
        <v>0</v>
      </c>
      <c r="N2238">
        <v>2400</v>
      </c>
    </row>
    <row r="2239" spans="1:14" x14ac:dyDescent="0.25">
      <c r="A2239">
        <v>1479.9413199999999</v>
      </c>
      <c r="B2239" s="1">
        <f>DATE(2014,5,19) + TIME(22,35,30)</f>
        <v>41778.941319444442</v>
      </c>
      <c r="C2239">
        <v>90</v>
      </c>
      <c r="D2239">
        <v>89.959449767999999</v>
      </c>
      <c r="E2239">
        <v>30</v>
      </c>
      <c r="F2239">
        <v>29.568569183000001</v>
      </c>
      <c r="G2239">
        <v>1383.0889893000001</v>
      </c>
      <c r="H2239">
        <v>1369.5430908000001</v>
      </c>
      <c r="I2239">
        <v>1272.5604248</v>
      </c>
      <c r="J2239">
        <v>1244.7075195</v>
      </c>
      <c r="K2239">
        <v>2400</v>
      </c>
      <c r="L2239">
        <v>0</v>
      </c>
      <c r="M2239">
        <v>0</v>
      </c>
      <c r="N2239">
        <v>2400</v>
      </c>
    </row>
    <row r="2240" spans="1:14" x14ac:dyDescent="0.25">
      <c r="A2240">
        <v>1480.370639</v>
      </c>
      <c r="B2240" s="1">
        <f>DATE(2014,5,20) + TIME(8,53,43)</f>
        <v>41779.370636574073</v>
      </c>
      <c r="C2240">
        <v>90</v>
      </c>
      <c r="D2240">
        <v>89.959419249999996</v>
      </c>
      <c r="E2240">
        <v>30</v>
      </c>
      <c r="F2240">
        <v>29.560829163000001</v>
      </c>
      <c r="G2240">
        <v>1383.0360106999999</v>
      </c>
      <c r="H2240">
        <v>1369.5029297000001</v>
      </c>
      <c r="I2240">
        <v>1272.5611572</v>
      </c>
      <c r="J2240">
        <v>1244.7061768000001</v>
      </c>
      <c r="K2240">
        <v>2400</v>
      </c>
      <c r="L2240">
        <v>0</v>
      </c>
      <c r="M2240">
        <v>0</v>
      </c>
      <c r="N2240">
        <v>2400</v>
      </c>
    </row>
    <row r="2241" spans="1:14" x14ac:dyDescent="0.25">
      <c r="A2241">
        <v>1480.802866</v>
      </c>
      <c r="B2241" s="1">
        <f>DATE(2014,5,20) + TIME(19,16,7)</f>
        <v>41779.802858796298</v>
      </c>
      <c r="C2241">
        <v>90</v>
      </c>
      <c r="D2241">
        <v>89.959396362000007</v>
      </c>
      <c r="E2241">
        <v>30</v>
      </c>
      <c r="F2241">
        <v>29.553060532</v>
      </c>
      <c r="G2241">
        <v>1382.9833983999999</v>
      </c>
      <c r="H2241">
        <v>1369.4630127</v>
      </c>
      <c r="I2241">
        <v>1272.5620117000001</v>
      </c>
      <c r="J2241">
        <v>1244.7047118999999</v>
      </c>
      <c r="K2241">
        <v>2400</v>
      </c>
      <c r="L2241">
        <v>0</v>
      </c>
      <c r="M2241">
        <v>0</v>
      </c>
      <c r="N2241">
        <v>2400</v>
      </c>
    </row>
    <row r="2242" spans="1:14" x14ac:dyDescent="0.25">
      <c r="A2242">
        <v>1481.238877</v>
      </c>
      <c r="B2242" s="1">
        <f>DATE(2014,5,21) + TIME(5,43,58)</f>
        <v>41780.238865740743</v>
      </c>
      <c r="C2242">
        <v>90</v>
      </c>
      <c r="D2242">
        <v>89.959373474000003</v>
      </c>
      <c r="E2242">
        <v>30</v>
      </c>
      <c r="F2242">
        <v>29.545261383</v>
      </c>
      <c r="G2242">
        <v>1382.9313964999999</v>
      </c>
      <c r="H2242">
        <v>1369.4235839999999</v>
      </c>
      <c r="I2242">
        <v>1272.5628661999999</v>
      </c>
      <c r="J2242">
        <v>1244.7033690999999</v>
      </c>
      <c r="K2242">
        <v>2400</v>
      </c>
      <c r="L2242">
        <v>0</v>
      </c>
      <c r="M2242">
        <v>0</v>
      </c>
      <c r="N2242">
        <v>2400</v>
      </c>
    </row>
    <row r="2243" spans="1:14" x14ac:dyDescent="0.25">
      <c r="A2243">
        <v>1481.679809</v>
      </c>
      <c r="B2243" s="1">
        <f>DATE(2014,5,21) + TIME(16,18,55)</f>
        <v>41780.679803240739</v>
      </c>
      <c r="C2243">
        <v>90</v>
      </c>
      <c r="D2243">
        <v>89.959342957000004</v>
      </c>
      <c r="E2243">
        <v>30</v>
      </c>
      <c r="F2243">
        <v>29.537420272999999</v>
      </c>
      <c r="G2243">
        <v>1382.8796387</v>
      </c>
      <c r="H2243">
        <v>1369.3842772999999</v>
      </c>
      <c r="I2243">
        <v>1272.5637207</v>
      </c>
      <c r="J2243">
        <v>1244.7019043</v>
      </c>
      <c r="K2243">
        <v>2400</v>
      </c>
      <c r="L2243">
        <v>0</v>
      </c>
      <c r="M2243">
        <v>0</v>
      </c>
      <c r="N2243">
        <v>2400</v>
      </c>
    </row>
    <row r="2244" spans="1:14" x14ac:dyDescent="0.25">
      <c r="A2244">
        <v>1482.126287</v>
      </c>
      <c r="B2244" s="1">
        <f>DATE(2014,5,22) + TIME(3,1,51)</f>
        <v>41781.126284722224</v>
      </c>
      <c r="C2244">
        <v>90</v>
      </c>
      <c r="D2244">
        <v>89.959320067999997</v>
      </c>
      <c r="E2244">
        <v>30</v>
      </c>
      <c r="F2244">
        <v>29.529533386000001</v>
      </c>
      <c r="G2244">
        <v>1382.828125</v>
      </c>
      <c r="H2244">
        <v>1369.3452147999999</v>
      </c>
      <c r="I2244">
        <v>1272.5645752</v>
      </c>
      <c r="J2244">
        <v>1244.7004394999999</v>
      </c>
      <c r="K2244">
        <v>2400</v>
      </c>
      <c r="L2244">
        <v>0</v>
      </c>
      <c r="M2244">
        <v>0</v>
      </c>
      <c r="N2244">
        <v>2400</v>
      </c>
    </row>
    <row r="2245" spans="1:14" x14ac:dyDescent="0.25">
      <c r="A2245">
        <v>1482.5792369999999</v>
      </c>
      <c r="B2245" s="1">
        <f>DATE(2014,5,22) + TIME(13,54,6)</f>
        <v>41781.579236111109</v>
      </c>
      <c r="C2245">
        <v>90</v>
      </c>
      <c r="D2245">
        <v>89.959289550999998</v>
      </c>
      <c r="E2245">
        <v>30</v>
      </c>
      <c r="F2245">
        <v>29.521587371999999</v>
      </c>
      <c r="G2245">
        <v>1382.7768555</v>
      </c>
      <c r="H2245">
        <v>1369.3061522999999</v>
      </c>
      <c r="I2245">
        <v>1272.5654297000001</v>
      </c>
      <c r="J2245">
        <v>1244.6989745999999</v>
      </c>
      <c r="K2245">
        <v>2400</v>
      </c>
      <c r="L2245">
        <v>0</v>
      </c>
      <c r="M2245">
        <v>0</v>
      </c>
      <c r="N2245">
        <v>2400</v>
      </c>
    </row>
    <row r="2246" spans="1:14" x14ac:dyDescent="0.25">
      <c r="A2246">
        <v>1483.039632</v>
      </c>
      <c r="B2246" s="1">
        <f>DATE(2014,5,23) + TIME(0,57,4)</f>
        <v>41782.039629629631</v>
      </c>
      <c r="C2246">
        <v>90</v>
      </c>
      <c r="D2246">
        <v>89.959266662999994</v>
      </c>
      <c r="E2246">
        <v>30</v>
      </c>
      <c r="F2246">
        <v>29.513570785999999</v>
      </c>
      <c r="G2246">
        <v>1382.7254639</v>
      </c>
      <c r="H2246">
        <v>1369.2672118999999</v>
      </c>
      <c r="I2246">
        <v>1272.5664062000001</v>
      </c>
      <c r="J2246">
        <v>1244.6973877</v>
      </c>
      <c r="K2246">
        <v>2400</v>
      </c>
      <c r="L2246">
        <v>0</v>
      </c>
      <c r="M2246">
        <v>0</v>
      </c>
      <c r="N2246">
        <v>2400</v>
      </c>
    </row>
    <row r="2247" spans="1:14" x14ac:dyDescent="0.25">
      <c r="A2247">
        <v>1483.5084999999999</v>
      </c>
      <c r="B2247" s="1">
        <f>DATE(2014,5,23) + TIME(12,12,14)</f>
        <v>41782.50849537037</v>
      </c>
      <c r="C2247">
        <v>90</v>
      </c>
      <c r="D2247">
        <v>89.959243774000001</v>
      </c>
      <c r="E2247">
        <v>30</v>
      </c>
      <c r="F2247">
        <v>29.505470276</v>
      </c>
      <c r="G2247">
        <v>1382.6741943</v>
      </c>
      <c r="H2247">
        <v>1369.2281493999999</v>
      </c>
      <c r="I2247">
        <v>1272.5673827999999</v>
      </c>
      <c r="J2247">
        <v>1244.6959228999999</v>
      </c>
      <c r="K2247">
        <v>2400</v>
      </c>
      <c r="L2247">
        <v>0</v>
      </c>
      <c r="M2247">
        <v>0</v>
      </c>
      <c r="N2247">
        <v>2400</v>
      </c>
    </row>
    <row r="2248" spans="1:14" x14ac:dyDescent="0.25">
      <c r="A2248">
        <v>1483.986842</v>
      </c>
      <c r="B2248" s="1">
        <f>DATE(2014,5,23) + TIME(23,41,3)</f>
        <v>41782.986840277779</v>
      </c>
      <c r="C2248">
        <v>90</v>
      </c>
      <c r="D2248">
        <v>89.959220885999997</v>
      </c>
      <c r="E2248">
        <v>30</v>
      </c>
      <c r="F2248">
        <v>29.497270583999999</v>
      </c>
      <c r="G2248">
        <v>1382.6226807</v>
      </c>
      <c r="H2248">
        <v>1369.1889647999999</v>
      </c>
      <c r="I2248">
        <v>1272.5683594</v>
      </c>
      <c r="J2248">
        <v>1244.6943358999999</v>
      </c>
      <c r="K2248">
        <v>2400</v>
      </c>
      <c r="L2248">
        <v>0</v>
      </c>
      <c r="M2248">
        <v>0</v>
      </c>
      <c r="N2248">
        <v>2400</v>
      </c>
    </row>
    <row r="2249" spans="1:14" x14ac:dyDescent="0.25">
      <c r="A2249">
        <v>1484.4757480000001</v>
      </c>
      <c r="B2249" s="1">
        <f>DATE(2014,5,24) + TIME(11,25,4)</f>
        <v>41783.475740740738</v>
      </c>
      <c r="C2249">
        <v>90</v>
      </c>
      <c r="D2249">
        <v>89.959190368999998</v>
      </c>
      <c r="E2249">
        <v>30</v>
      </c>
      <c r="F2249">
        <v>29.488958359000002</v>
      </c>
      <c r="G2249">
        <v>1382.5708007999999</v>
      </c>
      <c r="H2249">
        <v>1369.1495361</v>
      </c>
      <c r="I2249">
        <v>1272.5693358999999</v>
      </c>
      <c r="J2249">
        <v>1244.692749</v>
      </c>
      <c r="K2249">
        <v>2400</v>
      </c>
      <c r="L2249">
        <v>0</v>
      </c>
      <c r="M2249">
        <v>0</v>
      </c>
      <c r="N2249">
        <v>2400</v>
      </c>
    </row>
    <row r="2250" spans="1:14" x14ac:dyDescent="0.25">
      <c r="A2250">
        <v>1484.971286</v>
      </c>
      <c r="B2250" s="1">
        <f>DATE(2014,5,24) + TIME(23,18,39)</f>
        <v>41783.971284722225</v>
      </c>
      <c r="C2250">
        <v>90</v>
      </c>
      <c r="D2250">
        <v>89.959167480000005</v>
      </c>
      <c r="E2250">
        <v>30</v>
      </c>
      <c r="F2250">
        <v>29.480573654000001</v>
      </c>
      <c r="G2250">
        <v>1382.5186768000001</v>
      </c>
      <c r="H2250">
        <v>1369.1098632999999</v>
      </c>
      <c r="I2250">
        <v>1272.5704346</v>
      </c>
      <c r="J2250">
        <v>1244.6911620999999</v>
      </c>
      <c r="K2250">
        <v>2400</v>
      </c>
      <c r="L2250">
        <v>0</v>
      </c>
      <c r="M2250">
        <v>0</v>
      </c>
      <c r="N2250">
        <v>2400</v>
      </c>
    </row>
    <row r="2251" spans="1:14" x14ac:dyDescent="0.25">
      <c r="A2251">
        <v>1485.474256</v>
      </c>
      <c r="B2251" s="1">
        <f>DATE(2014,5,25) + TIME(11,22,55)</f>
        <v>41784.474247685182</v>
      </c>
      <c r="C2251">
        <v>90</v>
      </c>
      <c r="D2251">
        <v>89.959144592000001</v>
      </c>
      <c r="E2251">
        <v>30</v>
      </c>
      <c r="F2251">
        <v>29.472110747999999</v>
      </c>
      <c r="G2251">
        <v>1382.4666748</v>
      </c>
      <c r="H2251">
        <v>1369.0701904</v>
      </c>
      <c r="I2251">
        <v>1272.5715332</v>
      </c>
      <c r="J2251">
        <v>1244.6894531</v>
      </c>
      <c r="K2251">
        <v>2400</v>
      </c>
      <c r="L2251">
        <v>0</v>
      </c>
      <c r="M2251">
        <v>0</v>
      </c>
      <c r="N2251">
        <v>2400</v>
      </c>
    </row>
    <row r="2252" spans="1:14" x14ac:dyDescent="0.25">
      <c r="A2252">
        <v>1485.9856890000001</v>
      </c>
      <c r="B2252" s="1">
        <f>DATE(2014,5,25) + TIME(23,39,23)</f>
        <v>41784.985682870371</v>
      </c>
      <c r="C2252">
        <v>90</v>
      </c>
      <c r="D2252">
        <v>89.959121703999998</v>
      </c>
      <c r="E2252">
        <v>30</v>
      </c>
      <c r="F2252">
        <v>29.463565826</v>
      </c>
      <c r="G2252">
        <v>1382.4145507999999</v>
      </c>
      <c r="H2252">
        <v>1369.0303954999999</v>
      </c>
      <c r="I2252">
        <v>1272.5726318</v>
      </c>
      <c r="J2252">
        <v>1244.6878661999999</v>
      </c>
      <c r="K2252">
        <v>2400</v>
      </c>
      <c r="L2252">
        <v>0</v>
      </c>
      <c r="M2252">
        <v>0</v>
      </c>
      <c r="N2252">
        <v>2400</v>
      </c>
    </row>
    <row r="2253" spans="1:14" x14ac:dyDescent="0.25">
      <c r="A2253">
        <v>1486.5066899999999</v>
      </c>
      <c r="B2253" s="1">
        <f>DATE(2014,5,26) + TIME(12,9,38)</f>
        <v>41785.506689814814</v>
      </c>
      <c r="C2253">
        <v>90</v>
      </c>
      <c r="D2253">
        <v>89.959098815999994</v>
      </c>
      <c r="E2253">
        <v>30</v>
      </c>
      <c r="F2253">
        <v>29.454929352000001</v>
      </c>
      <c r="G2253">
        <v>1382.3623047000001</v>
      </c>
      <c r="H2253">
        <v>1368.9906006000001</v>
      </c>
      <c r="I2253">
        <v>1272.5737305</v>
      </c>
      <c r="J2253">
        <v>1244.6861572</v>
      </c>
      <c r="K2253">
        <v>2400</v>
      </c>
      <c r="L2253">
        <v>0</v>
      </c>
      <c r="M2253">
        <v>0</v>
      </c>
      <c r="N2253">
        <v>2400</v>
      </c>
    </row>
    <row r="2254" spans="1:14" x14ac:dyDescent="0.25">
      <c r="A2254">
        <v>1487.038429</v>
      </c>
      <c r="B2254" s="1">
        <f>DATE(2014,5,27) + TIME(0,55,20)</f>
        <v>41786.038425925923</v>
      </c>
      <c r="C2254">
        <v>90</v>
      </c>
      <c r="D2254">
        <v>89.959068298000005</v>
      </c>
      <c r="E2254">
        <v>30</v>
      </c>
      <c r="F2254">
        <v>29.446184158000001</v>
      </c>
      <c r="G2254">
        <v>1382.3099365</v>
      </c>
      <c r="H2254">
        <v>1368.9505615</v>
      </c>
      <c r="I2254">
        <v>1272.5749512</v>
      </c>
      <c r="J2254">
        <v>1244.6844481999999</v>
      </c>
      <c r="K2254">
        <v>2400</v>
      </c>
      <c r="L2254">
        <v>0</v>
      </c>
      <c r="M2254">
        <v>0</v>
      </c>
      <c r="N2254">
        <v>2400</v>
      </c>
    </row>
    <row r="2255" spans="1:14" x14ac:dyDescent="0.25">
      <c r="A2255">
        <v>1487.5821289999999</v>
      </c>
      <c r="B2255" s="1">
        <f>DATE(2014,5,27) + TIME(13,58,15)</f>
        <v>41786.582118055558</v>
      </c>
      <c r="C2255">
        <v>90</v>
      </c>
      <c r="D2255">
        <v>89.959045410000002</v>
      </c>
      <c r="E2255">
        <v>30</v>
      </c>
      <c r="F2255">
        <v>29.437320709000002</v>
      </c>
      <c r="G2255">
        <v>1382.2572021000001</v>
      </c>
      <c r="H2255">
        <v>1368.9102783000001</v>
      </c>
      <c r="I2255">
        <v>1272.5761719</v>
      </c>
      <c r="J2255">
        <v>1244.6826172000001</v>
      </c>
      <c r="K2255">
        <v>2400</v>
      </c>
      <c r="L2255">
        <v>0</v>
      </c>
      <c r="M2255">
        <v>0</v>
      </c>
      <c r="N2255">
        <v>2400</v>
      </c>
    </row>
    <row r="2256" spans="1:14" x14ac:dyDescent="0.25">
      <c r="A2256">
        <v>1488.131891</v>
      </c>
      <c r="B2256" s="1">
        <f>DATE(2014,5,28) + TIME(3,9,55)</f>
        <v>41787.131886574076</v>
      </c>
      <c r="C2256">
        <v>90</v>
      </c>
      <c r="D2256">
        <v>89.959022521999998</v>
      </c>
      <c r="E2256">
        <v>30</v>
      </c>
      <c r="F2256">
        <v>29.428392410000001</v>
      </c>
      <c r="G2256">
        <v>1382.2041016000001</v>
      </c>
      <c r="H2256">
        <v>1368.869751</v>
      </c>
      <c r="I2256">
        <v>1272.5775146000001</v>
      </c>
      <c r="J2256">
        <v>1244.6807861</v>
      </c>
      <c r="K2256">
        <v>2400</v>
      </c>
      <c r="L2256">
        <v>0</v>
      </c>
      <c r="M2256">
        <v>0</v>
      </c>
      <c r="N2256">
        <v>2400</v>
      </c>
    </row>
    <row r="2257" spans="1:14" x14ac:dyDescent="0.25">
      <c r="A2257">
        <v>1488.6841669999999</v>
      </c>
      <c r="B2257" s="1">
        <f>DATE(2014,5,28) + TIME(16,25,12)</f>
        <v>41787.684166666666</v>
      </c>
      <c r="C2257">
        <v>90</v>
      </c>
      <c r="D2257">
        <v>89.958999633999994</v>
      </c>
      <c r="E2257">
        <v>30</v>
      </c>
      <c r="F2257">
        <v>29.419446945000001</v>
      </c>
      <c r="G2257">
        <v>1382.1512451000001</v>
      </c>
      <c r="H2257">
        <v>1368.8292236</v>
      </c>
      <c r="I2257">
        <v>1272.5787353999999</v>
      </c>
      <c r="J2257">
        <v>1244.6789550999999</v>
      </c>
      <c r="K2257">
        <v>2400</v>
      </c>
      <c r="L2257">
        <v>0</v>
      </c>
      <c r="M2257">
        <v>0</v>
      </c>
      <c r="N2257">
        <v>2400</v>
      </c>
    </row>
    <row r="2258" spans="1:14" x14ac:dyDescent="0.25">
      <c r="A2258">
        <v>1489.2401030000001</v>
      </c>
      <c r="B2258" s="1">
        <f>DATE(2014,5,29) + TIME(5,45,44)</f>
        <v>41788.24009259259</v>
      </c>
      <c r="C2258">
        <v>90</v>
      </c>
      <c r="D2258">
        <v>89.958976746000005</v>
      </c>
      <c r="E2258">
        <v>30</v>
      </c>
      <c r="F2258">
        <v>29.410490035999999</v>
      </c>
      <c r="G2258">
        <v>1382.0987548999999</v>
      </c>
      <c r="H2258">
        <v>1368.7889404</v>
      </c>
      <c r="I2258">
        <v>1272.5800781</v>
      </c>
      <c r="J2258">
        <v>1244.677124</v>
      </c>
      <c r="K2258">
        <v>2400</v>
      </c>
      <c r="L2258">
        <v>0</v>
      </c>
      <c r="M2258">
        <v>0</v>
      </c>
      <c r="N2258">
        <v>2400</v>
      </c>
    </row>
    <row r="2259" spans="1:14" x14ac:dyDescent="0.25">
      <c r="A2259">
        <v>1489.80107</v>
      </c>
      <c r="B2259" s="1">
        <f>DATE(2014,5,29) + TIME(19,13,32)</f>
        <v>41788.801064814812</v>
      </c>
      <c r="C2259">
        <v>90</v>
      </c>
      <c r="D2259">
        <v>89.958953856999997</v>
      </c>
      <c r="E2259">
        <v>30</v>
      </c>
      <c r="F2259">
        <v>29.401517867999999</v>
      </c>
      <c r="G2259">
        <v>1382.0467529</v>
      </c>
      <c r="H2259">
        <v>1368.7490233999999</v>
      </c>
      <c r="I2259">
        <v>1272.581543</v>
      </c>
      <c r="J2259">
        <v>1244.675293</v>
      </c>
      <c r="K2259">
        <v>2400</v>
      </c>
      <c r="L2259">
        <v>0</v>
      </c>
      <c r="M2259">
        <v>0</v>
      </c>
      <c r="N2259">
        <v>2400</v>
      </c>
    </row>
    <row r="2260" spans="1:14" x14ac:dyDescent="0.25">
      <c r="A2260">
        <v>1490.3681220000001</v>
      </c>
      <c r="B2260" s="1">
        <f>DATE(2014,5,30) + TIME(8,50,5)</f>
        <v>41789.368113425924</v>
      </c>
      <c r="C2260">
        <v>90</v>
      </c>
      <c r="D2260">
        <v>89.958930968999994</v>
      </c>
      <c r="E2260">
        <v>30</v>
      </c>
      <c r="F2260">
        <v>29.392520905000001</v>
      </c>
      <c r="G2260">
        <v>1381.9948730000001</v>
      </c>
      <c r="H2260">
        <v>1368.7093506000001</v>
      </c>
      <c r="I2260">
        <v>1272.5828856999999</v>
      </c>
      <c r="J2260">
        <v>1244.6733397999999</v>
      </c>
      <c r="K2260">
        <v>2400</v>
      </c>
      <c r="L2260">
        <v>0</v>
      </c>
      <c r="M2260">
        <v>0</v>
      </c>
      <c r="N2260">
        <v>2400</v>
      </c>
    </row>
    <row r="2261" spans="1:14" x14ac:dyDescent="0.25">
      <c r="A2261">
        <v>1490.942315</v>
      </c>
      <c r="B2261" s="1">
        <f>DATE(2014,5,30) + TIME(22,36,56)</f>
        <v>41789.942314814813</v>
      </c>
      <c r="C2261">
        <v>90</v>
      </c>
      <c r="D2261">
        <v>89.958908081000004</v>
      </c>
      <c r="E2261">
        <v>30</v>
      </c>
      <c r="F2261">
        <v>29.383491515999999</v>
      </c>
      <c r="G2261">
        <v>1381.9432373</v>
      </c>
      <c r="H2261">
        <v>1368.6696777</v>
      </c>
      <c r="I2261">
        <v>1272.5843506000001</v>
      </c>
      <c r="J2261">
        <v>1244.6713867000001</v>
      </c>
      <c r="K2261">
        <v>2400</v>
      </c>
      <c r="L2261">
        <v>0</v>
      </c>
      <c r="M2261">
        <v>0</v>
      </c>
      <c r="N2261">
        <v>2400</v>
      </c>
    </row>
    <row r="2262" spans="1:14" x14ac:dyDescent="0.25">
      <c r="A2262">
        <v>1491.524887</v>
      </c>
      <c r="B2262" s="1">
        <f>DATE(2014,5,31) + TIME(12,35,50)</f>
        <v>41790.524884259263</v>
      </c>
      <c r="C2262">
        <v>90</v>
      </c>
      <c r="D2262">
        <v>89.958892821999996</v>
      </c>
      <c r="E2262">
        <v>30</v>
      </c>
      <c r="F2262">
        <v>29.374414443999999</v>
      </c>
      <c r="G2262">
        <v>1381.8917236</v>
      </c>
      <c r="H2262">
        <v>1368.6300048999999</v>
      </c>
      <c r="I2262">
        <v>1272.5858154</v>
      </c>
      <c r="J2262">
        <v>1244.6694336</v>
      </c>
      <c r="K2262">
        <v>2400</v>
      </c>
      <c r="L2262">
        <v>0</v>
      </c>
      <c r="M2262">
        <v>0</v>
      </c>
      <c r="N2262">
        <v>2400</v>
      </c>
    </row>
    <row r="2263" spans="1:14" x14ac:dyDescent="0.25">
      <c r="A2263">
        <v>1492</v>
      </c>
      <c r="B2263" s="1">
        <f>DATE(2014,6,1) + TIME(0,0,0)</f>
        <v>41791</v>
      </c>
      <c r="C2263">
        <v>90</v>
      </c>
      <c r="D2263">
        <v>89.958869934000006</v>
      </c>
      <c r="E2263">
        <v>30</v>
      </c>
      <c r="F2263">
        <v>29.366439819</v>
      </c>
      <c r="G2263">
        <v>1381.8399658000001</v>
      </c>
      <c r="H2263">
        <v>1368.5902100000001</v>
      </c>
      <c r="I2263">
        <v>1272.5870361</v>
      </c>
      <c r="J2263">
        <v>1244.6676024999999</v>
      </c>
      <c r="K2263">
        <v>2400</v>
      </c>
      <c r="L2263">
        <v>0</v>
      </c>
      <c r="M2263">
        <v>0</v>
      </c>
      <c r="N2263">
        <v>2400</v>
      </c>
    </row>
    <row r="2264" spans="1:14" x14ac:dyDescent="0.25">
      <c r="A2264">
        <v>1492.592253</v>
      </c>
      <c r="B2264" s="1">
        <f>DATE(2014,6,1) + TIME(14,12,50)</f>
        <v>41791.592245370368</v>
      </c>
      <c r="C2264">
        <v>90</v>
      </c>
      <c r="D2264">
        <v>89.958847046000002</v>
      </c>
      <c r="E2264">
        <v>30</v>
      </c>
      <c r="F2264">
        <v>29.357580185</v>
      </c>
      <c r="G2264">
        <v>1381.7983397999999</v>
      </c>
      <c r="H2264">
        <v>1368.5581055</v>
      </c>
      <c r="I2264">
        <v>1272.5886230000001</v>
      </c>
      <c r="J2264">
        <v>1244.6657714999999</v>
      </c>
      <c r="K2264">
        <v>2400</v>
      </c>
      <c r="L2264">
        <v>0</v>
      </c>
      <c r="M2264">
        <v>0</v>
      </c>
      <c r="N2264">
        <v>2400</v>
      </c>
    </row>
    <row r="2265" spans="1:14" x14ac:dyDescent="0.25">
      <c r="A2265">
        <v>1493.204011</v>
      </c>
      <c r="B2265" s="1">
        <f>DATE(2014,6,2) + TIME(4,53,46)</f>
        <v>41792.204004629632</v>
      </c>
      <c r="C2265">
        <v>90</v>
      </c>
      <c r="D2265">
        <v>89.958831786999994</v>
      </c>
      <c r="E2265">
        <v>30</v>
      </c>
      <c r="F2265">
        <v>29.348482132000001</v>
      </c>
      <c r="G2265">
        <v>1381.7471923999999</v>
      </c>
      <c r="H2265">
        <v>1368.5186768000001</v>
      </c>
      <c r="I2265">
        <v>1272.5902100000001</v>
      </c>
      <c r="J2265">
        <v>1244.6636963000001</v>
      </c>
      <c r="K2265">
        <v>2400</v>
      </c>
      <c r="L2265">
        <v>0</v>
      </c>
      <c r="M2265">
        <v>0</v>
      </c>
      <c r="N2265">
        <v>2400</v>
      </c>
    </row>
    <row r="2266" spans="1:14" x14ac:dyDescent="0.25">
      <c r="A2266">
        <v>1493.8262629999999</v>
      </c>
      <c r="B2266" s="1">
        <f>DATE(2014,6,2) + TIME(19,49,49)</f>
        <v>41792.826261574075</v>
      </c>
      <c r="C2266">
        <v>90</v>
      </c>
      <c r="D2266">
        <v>89.958808899000005</v>
      </c>
      <c r="E2266">
        <v>30</v>
      </c>
      <c r="F2266">
        <v>29.339233398000001</v>
      </c>
      <c r="G2266">
        <v>1381.6949463000001</v>
      </c>
      <c r="H2266">
        <v>1368.4783935999999</v>
      </c>
      <c r="I2266">
        <v>1272.5917969</v>
      </c>
      <c r="J2266">
        <v>1244.6616211</v>
      </c>
      <c r="K2266">
        <v>2400</v>
      </c>
      <c r="L2266">
        <v>0</v>
      </c>
      <c r="M2266">
        <v>0</v>
      </c>
      <c r="N2266">
        <v>2400</v>
      </c>
    </row>
    <row r="2267" spans="1:14" x14ac:dyDescent="0.25">
      <c r="A2267">
        <v>1494.460591</v>
      </c>
      <c r="B2267" s="1">
        <f>DATE(2014,6,3) + TIME(11,3,15)</f>
        <v>41793.460590277777</v>
      </c>
      <c r="C2267">
        <v>90</v>
      </c>
      <c r="D2267">
        <v>89.958786011000001</v>
      </c>
      <c r="E2267">
        <v>30</v>
      </c>
      <c r="F2267">
        <v>29.329854964999999</v>
      </c>
      <c r="G2267">
        <v>1381.6424560999999</v>
      </c>
      <c r="H2267">
        <v>1368.4378661999999</v>
      </c>
      <c r="I2267">
        <v>1272.5935059000001</v>
      </c>
      <c r="J2267">
        <v>1244.6594238</v>
      </c>
      <c r="K2267">
        <v>2400</v>
      </c>
      <c r="L2267">
        <v>0</v>
      </c>
      <c r="M2267">
        <v>0</v>
      </c>
      <c r="N2267">
        <v>2400</v>
      </c>
    </row>
    <row r="2268" spans="1:14" x14ac:dyDescent="0.25">
      <c r="A2268">
        <v>1495.108395</v>
      </c>
      <c r="B2268" s="1">
        <f>DATE(2014,6,4) + TIME(2,36,5)</f>
        <v>41794.108391203707</v>
      </c>
      <c r="C2268">
        <v>90</v>
      </c>
      <c r="D2268">
        <v>89.958770752000007</v>
      </c>
      <c r="E2268">
        <v>30</v>
      </c>
      <c r="F2268">
        <v>29.320350647000001</v>
      </c>
      <c r="G2268">
        <v>1381.5897216999999</v>
      </c>
      <c r="H2268">
        <v>1368.3970947</v>
      </c>
      <c r="I2268">
        <v>1272.5952147999999</v>
      </c>
      <c r="J2268">
        <v>1244.6571045000001</v>
      </c>
      <c r="K2268">
        <v>2400</v>
      </c>
      <c r="L2268">
        <v>0</v>
      </c>
      <c r="M2268">
        <v>0</v>
      </c>
      <c r="N2268">
        <v>2400</v>
      </c>
    </row>
    <row r="2269" spans="1:14" x14ac:dyDescent="0.25">
      <c r="A2269">
        <v>1495.7679250000001</v>
      </c>
      <c r="B2269" s="1">
        <f>DATE(2014,6,4) + TIME(18,25,48)</f>
        <v>41794.767916666664</v>
      </c>
      <c r="C2269">
        <v>90</v>
      </c>
      <c r="D2269">
        <v>89.958747864000003</v>
      </c>
      <c r="E2269">
        <v>30</v>
      </c>
      <c r="F2269">
        <v>29.310747147000001</v>
      </c>
      <c r="G2269">
        <v>1381.536499</v>
      </c>
      <c r="H2269">
        <v>1368.355957</v>
      </c>
      <c r="I2269">
        <v>1272.5970459</v>
      </c>
      <c r="J2269">
        <v>1244.6547852000001</v>
      </c>
      <c r="K2269">
        <v>2400</v>
      </c>
      <c r="L2269">
        <v>0</v>
      </c>
      <c r="M2269">
        <v>0</v>
      </c>
      <c r="N2269">
        <v>2400</v>
      </c>
    </row>
    <row r="2270" spans="1:14" x14ac:dyDescent="0.25">
      <c r="A2270">
        <v>1496.4382519999999</v>
      </c>
      <c r="B2270" s="1">
        <f>DATE(2014,6,5) + TIME(10,31,4)</f>
        <v>41795.438240740739</v>
      </c>
      <c r="C2270">
        <v>90</v>
      </c>
      <c r="D2270">
        <v>89.958724975999999</v>
      </c>
      <c r="E2270">
        <v>30</v>
      </c>
      <c r="F2270">
        <v>29.301059723000002</v>
      </c>
      <c r="G2270">
        <v>1381.4830322</v>
      </c>
      <c r="H2270">
        <v>1368.3145752</v>
      </c>
      <c r="I2270">
        <v>1272.598999</v>
      </c>
      <c r="J2270">
        <v>1244.6524658000001</v>
      </c>
      <c r="K2270">
        <v>2400</v>
      </c>
      <c r="L2270">
        <v>0</v>
      </c>
      <c r="M2270">
        <v>0</v>
      </c>
      <c r="N2270">
        <v>2400</v>
      </c>
    </row>
    <row r="2271" spans="1:14" x14ac:dyDescent="0.25">
      <c r="A2271">
        <v>1497.1209220000001</v>
      </c>
      <c r="B2271" s="1">
        <f>DATE(2014,6,6) + TIME(2,54,7)</f>
        <v>41796.12091435185</v>
      </c>
      <c r="C2271">
        <v>90</v>
      </c>
      <c r="D2271">
        <v>89.958709717000005</v>
      </c>
      <c r="E2271">
        <v>30</v>
      </c>
      <c r="F2271">
        <v>29.291292191</v>
      </c>
      <c r="G2271">
        <v>1381.4294434000001</v>
      </c>
      <c r="H2271">
        <v>1368.2729492000001</v>
      </c>
      <c r="I2271">
        <v>1272.6008300999999</v>
      </c>
      <c r="J2271">
        <v>1244.6500243999999</v>
      </c>
      <c r="K2271">
        <v>2400</v>
      </c>
      <c r="L2271">
        <v>0</v>
      </c>
      <c r="M2271">
        <v>0</v>
      </c>
      <c r="N2271">
        <v>2400</v>
      </c>
    </row>
    <row r="2272" spans="1:14" x14ac:dyDescent="0.25">
      <c r="A2272">
        <v>1497.807519</v>
      </c>
      <c r="B2272" s="1">
        <f>DATE(2014,6,6) + TIME(19,22,49)</f>
        <v>41796.807511574072</v>
      </c>
      <c r="C2272">
        <v>90</v>
      </c>
      <c r="D2272">
        <v>89.958686829000001</v>
      </c>
      <c r="E2272">
        <v>30</v>
      </c>
      <c r="F2272">
        <v>29.281517029</v>
      </c>
      <c r="G2272">
        <v>1381.3754882999999</v>
      </c>
      <c r="H2272">
        <v>1368.2312012</v>
      </c>
      <c r="I2272">
        <v>1272.6029053</v>
      </c>
      <c r="J2272">
        <v>1244.6474608999999</v>
      </c>
      <c r="K2272">
        <v>2400</v>
      </c>
      <c r="L2272">
        <v>0</v>
      </c>
      <c r="M2272">
        <v>0</v>
      </c>
      <c r="N2272">
        <v>2400</v>
      </c>
    </row>
    <row r="2273" spans="1:14" x14ac:dyDescent="0.25">
      <c r="A2273">
        <v>1498.495531</v>
      </c>
      <c r="B2273" s="1">
        <f>DATE(2014,6,7) + TIME(11,53,33)</f>
        <v>41797.495520833334</v>
      </c>
      <c r="C2273">
        <v>90</v>
      </c>
      <c r="D2273">
        <v>89.958671570000007</v>
      </c>
      <c r="E2273">
        <v>30</v>
      </c>
      <c r="F2273">
        <v>29.271780014000001</v>
      </c>
      <c r="G2273">
        <v>1381.3220214999999</v>
      </c>
      <c r="H2273">
        <v>1368.1895752</v>
      </c>
      <c r="I2273">
        <v>1272.6048584</v>
      </c>
      <c r="J2273">
        <v>1244.6448975000001</v>
      </c>
      <c r="K2273">
        <v>2400</v>
      </c>
      <c r="L2273">
        <v>0</v>
      </c>
      <c r="M2273">
        <v>0</v>
      </c>
      <c r="N2273">
        <v>2400</v>
      </c>
    </row>
    <row r="2274" spans="1:14" x14ac:dyDescent="0.25">
      <c r="A2274">
        <v>1499.186318</v>
      </c>
      <c r="B2274" s="1">
        <f>DATE(2014,6,8) + TIME(4,28,17)</f>
        <v>41798.186307870368</v>
      </c>
      <c r="C2274">
        <v>90</v>
      </c>
      <c r="D2274">
        <v>89.958648682000003</v>
      </c>
      <c r="E2274">
        <v>30</v>
      </c>
      <c r="F2274">
        <v>29.262094498</v>
      </c>
      <c r="G2274">
        <v>1381.269043</v>
      </c>
      <c r="H2274">
        <v>1368.1483154</v>
      </c>
      <c r="I2274">
        <v>1272.6069336</v>
      </c>
      <c r="J2274">
        <v>1244.6423339999999</v>
      </c>
      <c r="K2274">
        <v>2400</v>
      </c>
      <c r="L2274">
        <v>0</v>
      </c>
      <c r="M2274">
        <v>0</v>
      </c>
      <c r="N2274">
        <v>2400</v>
      </c>
    </row>
    <row r="2275" spans="1:14" x14ac:dyDescent="0.25">
      <c r="A2275">
        <v>1499.8812330000001</v>
      </c>
      <c r="B2275" s="1">
        <f>DATE(2014,6,8) + TIME(21,8,58)</f>
        <v>41798.881226851852</v>
      </c>
      <c r="C2275">
        <v>90</v>
      </c>
      <c r="D2275">
        <v>89.958633422999995</v>
      </c>
      <c r="E2275">
        <v>30</v>
      </c>
      <c r="F2275">
        <v>29.252462387000001</v>
      </c>
      <c r="G2275">
        <v>1381.2165527</v>
      </c>
      <c r="H2275">
        <v>1368.1074219</v>
      </c>
      <c r="I2275">
        <v>1272.6091309000001</v>
      </c>
      <c r="J2275">
        <v>1244.6397704999999</v>
      </c>
      <c r="K2275">
        <v>2400</v>
      </c>
      <c r="L2275">
        <v>0</v>
      </c>
      <c r="M2275">
        <v>0</v>
      </c>
      <c r="N2275">
        <v>2400</v>
      </c>
    </row>
    <row r="2276" spans="1:14" x14ac:dyDescent="0.25">
      <c r="A2276">
        <v>1500.5816299999999</v>
      </c>
      <c r="B2276" s="1">
        <f>DATE(2014,6,9) + TIME(13,57,32)</f>
        <v>41799.581620370373</v>
      </c>
      <c r="C2276">
        <v>90</v>
      </c>
      <c r="D2276">
        <v>89.958618164000001</v>
      </c>
      <c r="E2276">
        <v>30</v>
      </c>
      <c r="F2276">
        <v>29.242876053</v>
      </c>
      <c r="G2276">
        <v>1381.1644286999999</v>
      </c>
      <c r="H2276">
        <v>1368.0667725000001</v>
      </c>
      <c r="I2276">
        <v>1272.6112060999999</v>
      </c>
      <c r="J2276">
        <v>1244.6370850000001</v>
      </c>
      <c r="K2276">
        <v>2400</v>
      </c>
      <c r="L2276">
        <v>0</v>
      </c>
      <c r="M2276">
        <v>0</v>
      </c>
      <c r="N2276">
        <v>2400</v>
      </c>
    </row>
    <row r="2277" spans="1:14" x14ac:dyDescent="0.25">
      <c r="A2277">
        <v>1501.2891549999999</v>
      </c>
      <c r="B2277" s="1">
        <f>DATE(2014,6,10) + TIME(6,56,23)</f>
        <v>41800.289155092592</v>
      </c>
      <c r="C2277">
        <v>90</v>
      </c>
      <c r="D2277">
        <v>89.958595275999997</v>
      </c>
      <c r="E2277">
        <v>30</v>
      </c>
      <c r="F2277">
        <v>29.233324051</v>
      </c>
      <c r="G2277">
        <v>1381.1124268000001</v>
      </c>
      <c r="H2277">
        <v>1368.0262451000001</v>
      </c>
      <c r="I2277">
        <v>1272.6134033000001</v>
      </c>
      <c r="J2277">
        <v>1244.6343993999999</v>
      </c>
      <c r="K2277">
        <v>2400</v>
      </c>
      <c r="L2277">
        <v>0</v>
      </c>
      <c r="M2277">
        <v>0</v>
      </c>
      <c r="N2277">
        <v>2400</v>
      </c>
    </row>
    <row r="2278" spans="1:14" x14ac:dyDescent="0.25">
      <c r="A2278">
        <v>1502.0052129999999</v>
      </c>
      <c r="B2278" s="1">
        <f>DATE(2014,6,11) + TIME(0,7,30)</f>
        <v>41801.005208333336</v>
      </c>
      <c r="C2278">
        <v>90</v>
      </c>
      <c r="D2278">
        <v>89.958580017000003</v>
      </c>
      <c r="E2278">
        <v>30</v>
      </c>
      <c r="F2278">
        <v>29.223796843999999</v>
      </c>
      <c r="G2278">
        <v>1381.0606689000001</v>
      </c>
      <c r="H2278">
        <v>1367.9857178</v>
      </c>
      <c r="I2278">
        <v>1272.6157227000001</v>
      </c>
      <c r="J2278">
        <v>1244.6315918</v>
      </c>
      <c r="K2278">
        <v>2400</v>
      </c>
      <c r="L2278">
        <v>0</v>
      </c>
      <c r="M2278">
        <v>0</v>
      </c>
      <c r="N2278">
        <v>2400</v>
      </c>
    </row>
    <row r="2279" spans="1:14" x14ac:dyDescent="0.25">
      <c r="A2279">
        <v>1502.7310809999999</v>
      </c>
      <c r="B2279" s="1">
        <f>DATE(2014,6,11) + TIME(17,32,45)</f>
        <v>41801.731076388889</v>
      </c>
      <c r="C2279">
        <v>90</v>
      </c>
      <c r="D2279">
        <v>89.958564757999994</v>
      </c>
      <c r="E2279">
        <v>30</v>
      </c>
      <c r="F2279">
        <v>29.214282990000001</v>
      </c>
      <c r="G2279">
        <v>1381.0087891000001</v>
      </c>
      <c r="H2279">
        <v>1367.9451904</v>
      </c>
      <c r="I2279">
        <v>1272.6180420000001</v>
      </c>
      <c r="J2279">
        <v>1244.6287841999999</v>
      </c>
      <c r="K2279">
        <v>2400</v>
      </c>
      <c r="L2279">
        <v>0</v>
      </c>
      <c r="M2279">
        <v>0</v>
      </c>
      <c r="N2279">
        <v>2400</v>
      </c>
    </row>
    <row r="2280" spans="1:14" x14ac:dyDescent="0.25">
      <c r="A2280">
        <v>1503.4683070000001</v>
      </c>
      <c r="B2280" s="1">
        <f>DATE(2014,6,12) + TIME(11,14,21)</f>
        <v>41802.468298611115</v>
      </c>
      <c r="C2280">
        <v>90</v>
      </c>
      <c r="D2280">
        <v>89.958549500000004</v>
      </c>
      <c r="E2280">
        <v>30</v>
      </c>
      <c r="F2280">
        <v>29.204772948999999</v>
      </c>
      <c r="G2280">
        <v>1380.9569091999999</v>
      </c>
      <c r="H2280">
        <v>1367.9045410000001</v>
      </c>
      <c r="I2280">
        <v>1272.6204834</v>
      </c>
      <c r="J2280">
        <v>1244.6258545000001</v>
      </c>
      <c r="K2280">
        <v>2400</v>
      </c>
      <c r="L2280">
        <v>0</v>
      </c>
      <c r="M2280">
        <v>0</v>
      </c>
      <c r="N2280">
        <v>2400</v>
      </c>
    </row>
    <row r="2281" spans="1:14" x14ac:dyDescent="0.25">
      <c r="A2281">
        <v>1504.218543</v>
      </c>
      <c r="B2281" s="1">
        <f>DATE(2014,6,13) + TIME(5,14,42)</f>
        <v>41803.218541666669</v>
      </c>
      <c r="C2281">
        <v>90</v>
      </c>
      <c r="D2281">
        <v>89.958534240999995</v>
      </c>
      <c r="E2281">
        <v>30</v>
      </c>
      <c r="F2281">
        <v>29.195255280000001</v>
      </c>
      <c r="G2281">
        <v>1380.9047852000001</v>
      </c>
      <c r="H2281">
        <v>1367.8636475000001</v>
      </c>
      <c r="I2281">
        <v>1272.6229248</v>
      </c>
      <c r="J2281">
        <v>1244.6229248</v>
      </c>
      <c r="K2281">
        <v>2400</v>
      </c>
      <c r="L2281">
        <v>0</v>
      </c>
      <c r="M2281">
        <v>0</v>
      </c>
      <c r="N2281">
        <v>2400</v>
      </c>
    </row>
    <row r="2282" spans="1:14" x14ac:dyDescent="0.25">
      <c r="A2282">
        <v>1504.9834800000001</v>
      </c>
      <c r="B2282" s="1">
        <f>DATE(2014,6,13) + TIME(23,36,12)</f>
        <v>41803.983472222222</v>
      </c>
      <c r="C2282">
        <v>90</v>
      </c>
      <c r="D2282">
        <v>89.958518982000001</v>
      </c>
      <c r="E2282">
        <v>30</v>
      </c>
      <c r="F2282">
        <v>29.185720444000001</v>
      </c>
      <c r="G2282">
        <v>1380.8522949000001</v>
      </c>
      <c r="H2282">
        <v>1367.8223877</v>
      </c>
      <c r="I2282">
        <v>1272.6254882999999</v>
      </c>
      <c r="J2282">
        <v>1244.6198730000001</v>
      </c>
      <c r="K2282">
        <v>2400</v>
      </c>
      <c r="L2282">
        <v>0</v>
      </c>
      <c r="M2282">
        <v>0</v>
      </c>
      <c r="N2282">
        <v>2400</v>
      </c>
    </row>
    <row r="2283" spans="1:14" x14ac:dyDescent="0.25">
      <c r="A2283">
        <v>1505.765026</v>
      </c>
      <c r="B2283" s="1">
        <f>DATE(2014,6,14) + TIME(18,21,38)</f>
        <v>41804.765023148146</v>
      </c>
      <c r="C2283">
        <v>90</v>
      </c>
      <c r="D2283">
        <v>89.958503723000007</v>
      </c>
      <c r="E2283">
        <v>30</v>
      </c>
      <c r="F2283">
        <v>29.176158905000001</v>
      </c>
      <c r="G2283">
        <v>1380.7995605000001</v>
      </c>
      <c r="H2283">
        <v>1367.7808838000001</v>
      </c>
      <c r="I2283">
        <v>1272.6281738</v>
      </c>
      <c r="J2283">
        <v>1244.6166992000001</v>
      </c>
      <c r="K2283">
        <v>2400</v>
      </c>
      <c r="L2283">
        <v>0</v>
      </c>
      <c r="M2283">
        <v>0</v>
      </c>
      <c r="N2283">
        <v>2400</v>
      </c>
    </row>
    <row r="2284" spans="1:14" x14ac:dyDescent="0.25">
      <c r="A2284">
        <v>1506.5653689999999</v>
      </c>
      <c r="B2284" s="1">
        <f>DATE(2014,6,15) + TIME(13,34,7)</f>
        <v>41805.565358796295</v>
      </c>
      <c r="C2284">
        <v>90</v>
      </c>
      <c r="D2284">
        <v>89.958488463999998</v>
      </c>
      <c r="E2284">
        <v>30</v>
      </c>
      <c r="F2284">
        <v>29.166561127000001</v>
      </c>
      <c r="G2284">
        <v>1380.7462158000001</v>
      </c>
      <c r="H2284">
        <v>1367.7388916</v>
      </c>
      <c r="I2284">
        <v>1272.6309814000001</v>
      </c>
      <c r="J2284">
        <v>1244.6134033000001</v>
      </c>
      <c r="K2284">
        <v>2400</v>
      </c>
      <c r="L2284">
        <v>0</v>
      </c>
      <c r="M2284">
        <v>0</v>
      </c>
      <c r="N2284">
        <v>2400</v>
      </c>
    </row>
    <row r="2285" spans="1:14" x14ac:dyDescent="0.25">
      <c r="A2285">
        <v>1506.9757770000001</v>
      </c>
      <c r="B2285" s="1">
        <f>DATE(2014,6,15) + TIME(23,25,7)</f>
        <v>41805.975775462961</v>
      </c>
      <c r="C2285">
        <v>90</v>
      </c>
      <c r="D2285">
        <v>89.958473205999994</v>
      </c>
      <c r="E2285">
        <v>30</v>
      </c>
      <c r="F2285">
        <v>29.160190581999998</v>
      </c>
      <c r="G2285">
        <v>1380.6922606999999</v>
      </c>
      <c r="H2285">
        <v>1367.6964111</v>
      </c>
      <c r="I2285">
        <v>1272.6334228999999</v>
      </c>
      <c r="J2285">
        <v>1244.6110839999999</v>
      </c>
      <c r="K2285">
        <v>2400</v>
      </c>
      <c r="L2285">
        <v>0</v>
      </c>
      <c r="M2285">
        <v>0</v>
      </c>
      <c r="N2285">
        <v>2400</v>
      </c>
    </row>
    <row r="2286" spans="1:14" x14ac:dyDescent="0.25">
      <c r="A2286">
        <v>1507.386186</v>
      </c>
      <c r="B2286" s="1">
        <f>DATE(2014,6,16) + TIME(9,16,6)</f>
        <v>41806.386180555557</v>
      </c>
      <c r="C2286">
        <v>90</v>
      </c>
      <c r="D2286">
        <v>89.958457946999999</v>
      </c>
      <c r="E2286">
        <v>30</v>
      </c>
      <c r="F2286">
        <v>29.154346466</v>
      </c>
      <c r="G2286">
        <v>1380.6643065999999</v>
      </c>
      <c r="H2286">
        <v>1367.6743164</v>
      </c>
      <c r="I2286">
        <v>1272.6350098</v>
      </c>
      <c r="J2286">
        <v>1244.6088867000001</v>
      </c>
      <c r="K2286">
        <v>2400</v>
      </c>
      <c r="L2286">
        <v>0</v>
      </c>
      <c r="M2286">
        <v>0</v>
      </c>
      <c r="N2286">
        <v>2400</v>
      </c>
    </row>
    <row r="2287" spans="1:14" x14ac:dyDescent="0.25">
      <c r="A2287">
        <v>1507.796595</v>
      </c>
      <c r="B2287" s="1">
        <f>DATE(2014,6,16) + TIME(19,7,5)</f>
        <v>41806.796585648146</v>
      </c>
      <c r="C2287">
        <v>90</v>
      </c>
      <c r="D2287">
        <v>89.958450317</v>
      </c>
      <c r="E2287">
        <v>30</v>
      </c>
      <c r="F2287">
        <v>29.148876189999999</v>
      </c>
      <c r="G2287">
        <v>1380.6370850000001</v>
      </c>
      <c r="H2287">
        <v>1367.652832</v>
      </c>
      <c r="I2287">
        <v>1272.6364745999999</v>
      </c>
      <c r="J2287">
        <v>1244.6069336</v>
      </c>
      <c r="K2287">
        <v>2400</v>
      </c>
      <c r="L2287">
        <v>0</v>
      </c>
      <c r="M2287">
        <v>0</v>
      </c>
      <c r="N2287">
        <v>2400</v>
      </c>
    </row>
    <row r="2288" spans="1:14" x14ac:dyDescent="0.25">
      <c r="A2288">
        <v>1508.207003</v>
      </c>
      <c r="B2288" s="1">
        <f>DATE(2014,6,17) + TIME(4,58,5)</f>
        <v>41807.207002314812</v>
      </c>
      <c r="C2288">
        <v>90</v>
      </c>
      <c r="D2288">
        <v>89.958442688000005</v>
      </c>
      <c r="E2288">
        <v>30</v>
      </c>
      <c r="F2288">
        <v>29.143678664999999</v>
      </c>
      <c r="G2288">
        <v>1380.6099853999999</v>
      </c>
      <c r="H2288">
        <v>1367.6313477000001</v>
      </c>
      <c r="I2288">
        <v>1272.6380615</v>
      </c>
      <c r="J2288">
        <v>1244.6049805</v>
      </c>
      <c r="K2288">
        <v>2400</v>
      </c>
      <c r="L2288">
        <v>0</v>
      </c>
      <c r="M2288">
        <v>0</v>
      </c>
      <c r="N2288">
        <v>2400</v>
      </c>
    </row>
    <row r="2289" spans="1:14" x14ac:dyDescent="0.25">
      <c r="A2289">
        <v>1509.0278209999999</v>
      </c>
      <c r="B2289" s="1">
        <f>DATE(2014,6,18) + TIME(0,40,3)</f>
        <v>41808.027812499997</v>
      </c>
      <c r="C2289">
        <v>90</v>
      </c>
      <c r="D2289">
        <v>89.958435058999996</v>
      </c>
      <c r="E2289">
        <v>30</v>
      </c>
      <c r="F2289">
        <v>29.136119842999999</v>
      </c>
      <c r="G2289">
        <v>1380.5832519999999</v>
      </c>
      <c r="H2289">
        <v>1367.6102295000001</v>
      </c>
      <c r="I2289">
        <v>1272.6400146000001</v>
      </c>
      <c r="J2289">
        <v>1244.6022949000001</v>
      </c>
      <c r="K2289">
        <v>2400</v>
      </c>
      <c r="L2289">
        <v>0</v>
      </c>
      <c r="M2289">
        <v>0</v>
      </c>
      <c r="N2289">
        <v>2400</v>
      </c>
    </row>
    <row r="2290" spans="1:14" x14ac:dyDescent="0.25">
      <c r="A2290">
        <v>1509.8489050000001</v>
      </c>
      <c r="B2290" s="1">
        <f>DATE(2014,6,18) + TIME(20,22,25)</f>
        <v>41808.848900462966</v>
      </c>
      <c r="C2290">
        <v>90</v>
      </c>
      <c r="D2290">
        <v>89.958427428999997</v>
      </c>
      <c r="E2290">
        <v>30</v>
      </c>
      <c r="F2290">
        <v>29.127849578999999</v>
      </c>
      <c r="G2290">
        <v>1380.5300293</v>
      </c>
      <c r="H2290">
        <v>1367.5681152</v>
      </c>
      <c r="I2290">
        <v>1272.6430664</v>
      </c>
      <c r="J2290">
        <v>1244.5991211</v>
      </c>
      <c r="K2290">
        <v>2400</v>
      </c>
      <c r="L2290">
        <v>0</v>
      </c>
      <c r="M2290">
        <v>0</v>
      </c>
      <c r="N2290">
        <v>2400</v>
      </c>
    </row>
    <row r="2291" spans="1:14" x14ac:dyDescent="0.25">
      <c r="A2291">
        <v>1510.6744630000001</v>
      </c>
      <c r="B2291" s="1">
        <f>DATE(2014,6,19) + TIME(16,11,13)</f>
        <v>41809.674456018518</v>
      </c>
      <c r="C2291">
        <v>90</v>
      </c>
      <c r="D2291">
        <v>89.958412170000003</v>
      </c>
      <c r="E2291">
        <v>30</v>
      </c>
      <c r="F2291">
        <v>29.119308472</v>
      </c>
      <c r="G2291">
        <v>1380.4771728999999</v>
      </c>
      <c r="H2291">
        <v>1367.5262451000001</v>
      </c>
      <c r="I2291">
        <v>1272.6462402</v>
      </c>
      <c r="J2291">
        <v>1244.5958252</v>
      </c>
      <c r="K2291">
        <v>2400</v>
      </c>
      <c r="L2291">
        <v>0</v>
      </c>
      <c r="M2291">
        <v>0</v>
      </c>
      <c r="N2291">
        <v>2400</v>
      </c>
    </row>
    <row r="2292" spans="1:14" x14ac:dyDescent="0.25">
      <c r="A2292">
        <v>1511.5061000000001</v>
      </c>
      <c r="B2292" s="1">
        <f>DATE(2014,6,20) + TIME(12,8,47)</f>
        <v>41810.506099537037</v>
      </c>
      <c r="C2292">
        <v>90</v>
      </c>
      <c r="D2292">
        <v>89.958404540999993</v>
      </c>
      <c r="E2292">
        <v>30</v>
      </c>
      <c r="F2292">
        <v>29.110715866</v>
      </c>
      <c r="G2292">
        <v>1380.4245605000001</v>
      </c>
      <c r="H2292">
        <v>1367.4844971</v>
      </c>
      <c r="I2292">
        <v>1272.6495361</v>
      </c>
      <c r="J2292">
        <v>1244.5922852000001</v>
      </c>
      <c r="K2292">
        <v>2400</v>
      </c>
      <c r="L2292">
        <v>0</v>
      </c>
      <c r="M2292">
        <v>0</v>
      </c>
      <c r="N2292">
        <v>2400</v>
      </c>
    </row>
    <row r="2293" spans="1:14" x14ac:dyDescent="0.25">
      <c r="A2293">
        <v>1512.3455839999999</v>
      </c>
      <c r="B2293" s="1">
        <f>DATE(2014,6,21) + TIME(8,17,38)</f>
        <v>41811.345578703702</v>
      </c>
      <c r="C2293">
        <v>90</v>
      </c>
      <c r="D2293">
        <v>89.958389281999999</v>
      </c>
      <c r="E2293">
        <v>30</v>
      </c>
      <c r="F2293">
        <v>29.102180481000001</v>
      </c>
      <c r="G2293">
        <v>1380.3721923999999</v>
      </c>
      <c r="H2293">
        <v>1367.4428711</v>
      </c>
      <c r="I2293">
        <v>1272.6529541</v>
      </c>
      <c r="J2293">
        <v>1244.5886230000001</v>
      </c>
      <c r="K2293">
        <v>2400</v>
      </c>
      <c r="L2293">
        <v>0</v>
      </c>
      <c r="M2293">
        <v>0</v>
      </c>
      <c r="N2293">
        <v>2400</v>
      </c>
    </row>
    <row r="2294" spans="1:14" x14ac:dyDescent="0.25">
      <c r="A2294">
        <v>1513.1949340000001</v>
      </c>
      <c r="B2294" s="1">
        <f>DATE(2014,6,22) + TIME(4,40,42)</f>
        <v>41812.194930555554</v>
      </c>
      <c r="C2294">
        <v>90</v>
      </c>
      <c r="D2294">
        <v>89.958374023000005</v>
      </c>
      <c r="E2294">
        <v>30</v>
      </c>
      <c r="F2294">
        <v>29.093765259000001</v>
      </c>
      <c r="G2294">
        <v>1380.3198242000001</v>
      </c>
      <c r="H2294">
        <v>1367.4012451000001</v>
      </c>
      <c r="I2294">
        <v>1272.6563721</v>
      </c>
      <c r="J2294">
        <v>1244.5849608999999</v>
      </c>
      <c r="K2294">
        <v>2400</v>
      </c>
      <c r="L2294">
        <v>0</v>
      </c>
      <c r="M2294">
        <v>0</v>
      </c>
      <c r="N2294">
        <v>2400</v>
      </c>
    </row>
    <row r="2295" spans="1:14" x14ac:dyDescent="0.25">
      <c r="A2295">
        <v>1514.055494</v>
      </c>
      <c r="B2295" s="1">
        <f>DATE(2014,6,23) + TIME(1,19,54)</f>
        <v>41813.055486111109</v>
      </c>
      <c r="C2295">
        <v>90</v>
      </c>
      <c r="D2295">
        <v>89.958366393999995</v>
      </c>
      <c r="E2295">
        <v>30</v>
      </c>
      <c r="F2295">
        <v>29.085496901999999</v>
      </c>
      <c r="G2295">
        <v>1380.2674560999999</v>
      </c>
      <c r="H2295">
        <v>1367.3594971</v>
      </c>
      <c r="I2295">
        <v>1272.6600341999999</v>
      </c>
      <c r="J2295">
        <v>1244.5811768000001</v>
      </c>
      <c r="K2295">
        <v>2400</v>
      </c>
      <c r="L2295">
        <v>0</v>
      </c>
      <c r="M2295">
        <v>0</v>
      </c>
      <c r="N2295">
        <v>2400</v>
      </c>
    </row>
    <row r="2296" spans="1:14" x14ac:dyDescent="0.25">
      <c r="A2296">
        <v>1514.929106</v>
      </c>
      <c r="B2296" s="1">
        <f>DATE(2014,6,23) + TIME(22,17,54)</f>
        <v>41813.929097222222</v>
      </c>
      <c r="C2296">
        <v>90</v>
      </c>
      <c r="D2296">
        <v>89.958351135000001</v>
      </c>
      <c r="E2296">
        <v>30</v>
      </c>
      <c r="F2296">
        <v>29.077400208</v>
      </c>
      <c r="G2296">
        <v>1380.2149658000001</v>
      </c>
      <c r="H2296">
        <v>1367.3176269999999</v>
      </c>
      <c r="I2296">
        <v>1272.6636963000001</v>
      </c>
      <c r="J2296">
        <v>1244.5772704999999</v>
      </c>
      <c r="K2296">
        <v>2400</v>
      </c>
      <c r="L2296">
        <v>0</v>
      </c>
      <c r="M2296">
        <v>0</v>
      </c>
      <c r="N2296">
        <v>2400</v>
      </c>
    </row>
    <row r="2297" spans="1:14" x14ac:dyDescent="0.25">
      <c r="A2297">
        <v>1515.817724</v>
      </c>
      <c r="B2297" s="1">
        <f>DATE(2014,6,24) + TIME(19,37,31)</f>
        <v>41814.817719907405</v>
      </c>
      <c r="C2297">
        <v>90</v>
      </c>
      <c r="D2297">
        <v>89.958343506000006</v>
      </c>
      <c r="E2297">
        <v>30</v>
      </c>
      <c r="F2297">
        <v>29.069490432999999</v>
      </c>
      <c r="G2297">
        <v>1380.1622314000001</v>
      </c>
      <c r="H2297">
        <v>1367.2755127</v>
      </c>
      <c r="I2297">
        <v>1272.6676024999999</v>
      </c>
      <c r="J2297">
        <v>1244.5734863</v>
      </c>
      <c r="K2297">
        <v>2400</v>
      </c>
      <c r="L2297">
        <v>0</v>
      </c>
      <c r="M2297">
        <v>0</v>
      </c>
      <c r="N2297">
        <v>2400</v>
      </c>
    </row>
    <row r="2298" spans="1:14" x14ac:dyDescent="0.25">
      <c r="A2298">
        <v>1516.723438</v>
      </c>
      <c r="B2298" s="1">
        <f>DATE(2014,6,25) + TIME(17,21,45)</f>
        <v>41815.723437499997</v>
      </c>
      <c r="C2298">
        <v>90</v>
      </c>
      <c r="D2298">
        <v>89.958335876000007</v>
      </c>
      <c r="E2298">
        <v>30</v>
      </c>
      <c r="F2298">
        <v>29.061780930000001</v>
      </c>
      <c r="G2298">
        <v>1380.1091309000001</v>
      </c>
      <c r="H2298">
        <v>1367.2330322</v>
      </c>
      <c r="I2298">
        <v>1272.6716309000001</v>
      </c>
      <c r="J2298">
        <v>1244.5694579999999</v>
      </c>
      <c r="K2298">
        <v>2400</v>
      </c>
      <c r="L2298">
        <v>0</v>
      </c>
      <c r="M2298">
        <v>0</v>
      </c>
      <c r="N2298">
        <v>2400</v>
      </c>
    </row>
    <row r="2299" spans="1:14" x14ac:dyDescent="0.25">
      <c r="A2299">
        <v>1517.6483720000001</v>
      </c>
      <c r="B2299" s="1">
        <f>DATE(2014,6,26) + TIME(15,33,39)</f>
        <v>41816.648368055554</v>
      </c>
      <c r="C2299">
        <v>90</v>
      </c>
      <c r="D2299">
        <v>89.958320618000002</v>
      </c>
      <c r="E2299">
        <v>30</v>
      </c>
      <c r="F2299">
        <v>29.054290771000002</v>
      </c>
      <c r="G2299">
        <v>1380.0556641000001</v>
      </c>
      <c r="H2299">
        <v>1367.1901855000001</v>
      </c>
      <c r="I2299">
        <v>1272.6759033000001</v>
      </c>
      <c r="J2299">
        <v>1244.5654297000001</v>
      </c>
      <c r="K2299">
        <v>2400</v>
      </c>
      <c r="L2299">
        <v>0</v>
      </c>
      <c r="M2299">
        <v>0</v>
      </c>
      <c r="N2299">
        <v>2400</v>
      </c>
    </row>
    <row r="2300" spans="1:14" x14ac:dyDescent="0.25">
      <c r="A2300">
        <v>1518.5943460000001</v>
      </c>
      <c r="B2300" s="1">
        <f>DATE(2014,6,27) + TIME(14,15,51)</f>
        <v>41817.594340277778</v>
      </c>
      <c r="C2300">
        <v>90</v>
      </c>
      <c r="D2300">
        <v>89.958312988000003</v>
      </c>
      <c r="E2300">
        <v>30</v>
      </c>
      <c r="F2300">
        <v>29.047044754000002</v>
      </c>
      <c r="G2300">
        <v>1380.0015868999999</v>
      </c>
      <c r="H2300">
        <v>1367.1468506000001</v>
      </c>
      <c r="I2300">
        <v>1272.6804199000001</v>
      </c>
      <c r="J2300">
        <v>1244.5612793</v>
      </c>
      <c r="K2300">
        <v>2400</v>
      </c>
      <c r="L2300">
        <v>0</v>
      </c>
      <c r="M2300">
        <v>0</v>
      </c>
      <c r="N2300">
        <v>2400</v>
      </c>
    </row>
    <row r="2301" spans="1:14" x14ac:dyDescent="0.25">
      <c r="A2301">
        <v>1519.5578760000001</v>
      </c>
      <c r="B2301" s="1">
        <f>DATE(2014,6,28) + TIME(13,23,20)</f>
        <v>41818.557870370372</v>
      </c>
      <c r="C2301">
        <v>90</v>
      </c>
      <c r="D2301">
        <v>89.958305358999993</v>
      </c>
      <c r="E2301">
        <v>30</v>
      </c>
      <c r="F2301">
        <v>29.040088654000002</v>
      </c>
      <c r="G2301">
        <v>1379.9468993999999</v>
      </c>
      <c r="H2301">
        <v>1367.1027832</v>
      </c>
      <c r="I2301">
        <v>1272.6850586</v>
      </c>
      <c r="J2301">
        <v>1244.5571289</v>
      </c>
      <c r="K2301">
        <v>2400</v>
      </c>
      <c r="L2301">
        <v>0</v>
      </c>
      <c r="M2301">
        <v>0</v>
      </c>
      <c r="N2301">
        <v>2400</v>
      </c>
    </row>
    <row r="2302" spans="1:14" x14ac:dyDescent="0.25">
      <c r="A2302">
        <v>1520.5306680000001</v>
      </c>
      <c r="B2302" s="1">
        <f>DATE(2014,6,29) + TIME(12,44,9)</f>
        <v>41819.530659722222</v>
      </c>
      <c r="C2302">
        <v>90</v>
      </c>
      <c r="D2302">
        <v>89.958290099999999</v>
      </c>
      <c r="E2302">
        <v>30</v>
      </c>
      <c r="F2302">
        <v>29.033500670999999</v>
      </c>
      <c r="G2302">
        <v>1379.8917236</v>
      </c>
      <c r="H2302">
        <v>1367.0584716999999</v>
      </c>
      <c r="I2302">
        <v>1272.6899414</v>
      </c>
      <c r="J2302">
        <v>1244.5529785000001</v>
      </c>
      <c r="K2302">
        <v>2400</v>
      </c>
      <c r="L2302">
        <v>0</v>
      </c>
      <c r="M2302">
        <v>0</v>
      </c>
      <c r="N2302">
        <v>2400</v>
      </c>
    </row>
    <row r="2303" spans="1:14" x14ac:dyDescent="0.25">
      <c r="A2303">
        <v>1521.504889</v>
      </c>
      <c r="B2303" s="1">
        <f>DATE(2014,6,30) + TIME(12,7,2)</f>
        <v>41820.504884259259</v>
      </c>
      <c r="C2303">
        <v>90</v>
      </c>
      <c r="D2303">
        <v>89.958282471000004</v>
      </c>
      <c r="E2303">
        <v>30</v>
      </c>
      <c r="F2303">
        <v>29.027360915999999</v>
      </c>
      <c r="G2303">
        <v>1379.8365478999999</v>
      </c>
      <c r="H2303">
        <v>1367.0140381000001</v>
      </c>
      <c r="I2303">
        <v>1272.6950684000001</v>
      </c>
      <c r="J2303">
        <v>1244.5488281</v>
      </c>
      <c r="K2303">
        <v>2400</v>
      </c>
      <c r="L2303">
        <v>0</v>
      </c>
      <c r="M2303">
        <v>0</v>
      </c>
      <c r="N2303">
        <v>2400</v>
      </c>
    </row>
    <row r="2304" spans="1:14" x14ac:dyDescent="0.25">
      <c r="A2304">
        <v>1522</v>
      </c>
      <c r="B2304" s="1">
        <f>DATE(2014,7,1) + TIME(0,0,0)</f>
        <v>41821</v>
      </c>
      <c r="C2304">
        <v>90</v>
      </c>
      <c r="D2304">
        <v>89.958274841000005</v>
      </c>
      <c r="E2304">
        <v>30</v>
      </c>
      <c r="F2304">
        <v>29.023488998000001</v>
      </c>
      <c r="G2304">
        <v>1379.7821045000001</v>
      </c>
      <c r="H2304">
        <v>1366.9700928</v>
      </c>
      <c r="I2304">
        <v>1272.7005615</v>
      </c>
      <c r="J2304">
        <v>1244.5461425999999</v>
      </c>
      <c r="K2304">
        <v>2400</v>
      </c>
      <c r="L2304">
        <v>0</v>
      </c>
      <c r="M2304">
        <v>0</v>
      </c>
      <c r="N2304">
        <v>2400</v>
      </c>
    </row>
    <row r="2305" spans="1:14" x14ac:dyDescent="0.25">
      <c r="A2305">
        <v>1522.977654</v>
      </c>
      <c r="B2305" s="1">
        <f>DATE(2014,7,1) + TIME(23,27,49)</f>
        <v>41821.977650462963</v>
      </c>
      <c r="C2305">
        <v>90</v>
      </c>
      <c r="D2305">
        <v>89.958267211999996</v>
      </c>
      <c r="E2305">
        <v>30</v>
      </c>
      <c r="F2305">
        <v>29.018659591999999</v>
      </c>
      <c r="G2305">
        <v>1379.7542725000001</v>
      </c>
      <c r="H2305">
        <v>1366.9475098</v>
      </c>
      <c r="I2305">
        <v>1272.7028809000001</v>
      </c>
      <c r="J2305">
        <v>1244.5421143000001</v>
      </c>
      <c r="K2305">
        <v>2400</v>
      </c>
      <c r="L2305">
        <v>0</v>
      </c>
      <c r="M2305">
        <v>0</v>
      </c>
      <c r="N2305">
        <v>2400</v>
      </c>
    </row>
    <row r="2306" spans="1:14" x14ac:dyDescent="0.25">
      <c r="A2306">
        <v>1523.9644310000001</v>
      </c>
      <c r="B2306" s="1">
        <f>DATE(2014,7,2) + TIME(23,8,46)</f>
        <v>41822.964421296296</v>
      </c>
      <c r="C2306">
        <v>90</v>
      </c>
      <c r="D2306">
        <v>89.958259583</v>
      </c>
      <c r="E2306">
        <v>30</v>
      </c>
      <c r="F2306">
        <v>29.014089584000001</v>
      </c>
      <c r="G2306">
        <v>1379.7005615</v>
      </c>
      <c r="H2306">
        <v>1366.9040527</v>
      </c>
      <c r="I2306">
        <v>1272.7086182</v>
      </c>
      <c r="J2306">
        <v>1244.5383300999999</v>
      </c>
      <c r="K2306">
        <v>2400</v>
      </c>
      <c r="L2306">
        <v>0</v>
      </c>
      <c r="M2306">
        <v>0</v>
      </c>
      <c r="N2306">
        <v>2400</v>
      </c>
    </row>
    <row r="2307" spans="1:14" x14ac:dyDescent="0.25">
      <c r="A2307">
        <v>1524.9596220000001</v>
      </c>
      <c r="B2307" s="1">
        <f>DATE(2014,7,3) + TIME(23,1,51)</f>
        <v>41823.959618055553</v>
      </c>
      <c r="C2307">
        <v>90</v>
      </c>
      <c r="D2307">
        <v>89.958251953000001</v>
      </c>
      <c r="E2307">
        <v>30</v>
      </c>
      <c r="F2307">
        <v>29.009965897000001</v>
      </c>
      <c r="G2307">
        <v>1379.6466064000001</v>
      </c>
      <c r="H2307">
        <v>1366.8604736</v>
      </c>
      <c r="I2307">
        <v>1272.7143555</v>
      </c>
      <c r="J2307">
        <v>1244.5345459</v>
      </c>
      <c r="K2307">
        <v>2400</v>
      </c>
      <c r="L2307">
        <v>0</v>
      </c>
      <c r="M2307">
        <v>0</v>
      </c>
      <c r="N2307">
        <v>2400</v>
      </c>
    </row>
    <row r="2308" spans="1:14" x14ac:dyDescent="0.25">
      <c r="A2308">
        <v>1525.9658939999999</v>
      </c>
      <c r="B2308" s="1">
        <f>DATE(2014,7,4) + TIME(23,10,53)</f>
        <v>41824.965891203705</v>
      </c>
      <c r="C2308">
        <v>90</v>
      </c>
      <c r="D2308">
        <v>89.958251953000001</v>
      </c>
      <c r="E2308">
        <v>30</v>
      </c>
      <c r="F2308">
        <v>29.006399155</v>
      </c>
      <c r="G2308">
        <v>1379.5927733999999</v>
      </c>
      <c r="H2308">
        <v>1366.8167725000001</v>
      </c>
      <c r="I2308">
        <v>1272.7204589999999</v>
      </c>
      <c r="J2308">
        <v>1244.5307617000001</v>
      </c>
      <c r="K2308">
        <v>2400</v>
      </c>
      <c r="L2308">
        <v>0</v>
      </c>
      <c r="M2308">
        <v>0</v>
      </c>
      <c r="N2308">
        <v>2400</v>
      </c>
    </row>
    <row r="2309" spans="1:14" x14ac:dyDescent="0.25">
      <c r="A2309">
        <v>1526.984997</v>
      </c>
      <c r="B2309" s="1">
        <f>DATE(2014,7,5) + TIME(23,38,23)</f>
        <v>41825.984988425924</v>
      </c>
      <c r="C2309">
        <v>90</v>
      </c>
      <c r="D2309">
        <v>89.958244324000006</v>
      </c>
      <c r="E2309">
        <v>30</v>
      </c>
      <c r="F2309">
        <v>29.003461838</v>
      </c>
      <c r="G2309">
        <v>1379.5388184000001</v>
      </c>
      <c r="H2309">
        <v>1366.7729492000001</v>
      </c>
      <c r="I2309">
        <v>1272.7268065999999</v>
      </c>
      <c r="J2309">
        <v>1244.5269774999999</v>
      </c>
      <c r="K2309">
        <v>2400</v>
      </c>
      <c r="L2309">
        <v>0</v>
      </c>
      <c r="M2309">
        <v>0</v>
      </c>
      <c r="N2309">
        <v>2400</v>
      </c>
    </row>
    <row r="2310" spans="1:14" x14ac:dyDescent="0.25">
      <c r="A2310">
        <v>1528.019082</v>
      </c>
      <c r="B2310" s="1">
        <f>DATE(2014,7,7) + TIME(0,27,28)</f>
        <v>41827.019074074073</v>
      </c>
      <c r="C2310">
        <v>90</v>
      </c>
      <c r="D2310">
        <v>89.958236693999993</v>
      </c>
      <c r="E2310">
        <v>30</v>
      </c>
      <c r="F2310">
        <v>29.001226424999999</v>
      </c>
      <c r="G2310">
        <v>1379.4848632999999</v>
      </c>
      <c r="H2310">
        <v>1366.7290039</v>
      </c>
      <c r="I2310">
        <v>1272.7333983999999</v>
      </c>
      <c r="J2310">
        <v>1244.5233154</v>
      </c>
      <c r="K2310">
        <v>2400</v>
      </c>
      <c r="L2310">
        <v>0</v>
      </c>
      <c r="M2310">
        <v>0</v>
      </c>
      <c r="N2310">
        <v>2400</v>
      </c>
    </row>
    <row r="2311" spans="1:14" x14ac:dyDescent="0.25">
      <c r="A2311">
        <v>1529.0667120000001</v>
      </c>
      <c r="B2311" s="1">
        <f>DATE(2014,7,8) + TIME(1,36,3)</f>
        <v>41828.066701388889</v>
      </c>
      <c r="C2311">
        <v>90</v>
      </c>
      <c r="D2311">
        <v>89.958229064999998</v>
      </c>
      <c r="E2311">
        <v>30</v>
      </c>
      <c r="F2311">
        <v>28.999761581000001</v>
      </c>
      <c r="G2311">
        <v>1379.4305420000001</v>
      </c>
      <c r="H2311">
        <v>1366.6846923999999</v>
      </c>
      <c r="I2311">
        <v>1272.7403564000001</v>
      </c>
      <c r="J2311">
        <v>1244.5197754000001</v>
      </c>
      <c r="K2311">
        <v>2400</v>
      </c>
      <c r="L2311">
        <v>0</v>
      </c>
      <c r="M2311">
        <v>0</v>
      </c>
      <c r="N2311">
        <v>2400</v>
      </c>
    </row>
    <row r="2312" spans="1:14" x14ac:dyDescent="0.25">
      <c r="A2312">
        <v>1530.1289119999999</v>
      </c>
      <c r="B2312" s="1">
        <f>DATE(2014,7,9) + TIME(3,5,38)</f>
        <v>41829.128912037035</v>
      </c>
      <c r="C2312">
        <v>90</v>
      </c>
      <c r="D2312">
        <v>89.958221436000002</v>
      </c>
      <c r="E2312">
        <v>30</v>
      </c>
      <c r="F2312">
        <v>28.999139786000001</v>
      </c>
      <c r="G2312">
        <v>1379.3759766000001</v>
      </c>
      <c r="H2312">
        <v>1366.6402588000001</v>
      </c>
      <c r="I2312">
        <v>1272.7476807</v>
      </c>
      <c r="J2312">
        <v>1244.5164795000001</v>
      </c>
      <c r="K2312">
        <v>2400</v>
      </c>
      <c r="L2312">
        <v>0</v>
      </c>
      <c r="M2312">
        <v>0</v>
      </c>
      <c r="N2312">
        <v>2400</v>
      </c>
    </row>
    <row r="2313" spans="1:14" x14ac:dyDescent="0.25">
      <c r="A2313">
        <v>1531.207613</v>
      </c>
      <c r="B2313" s="1">
        <f>DATE(2014,7,10) + TIME(4,58,57)</f>
        <v>41830.207604166666</v>
      </c>
      <c r="C2313">
        <v>90</v>
      </c>
      <c r="D2313">
        <v>89.958221436000002</v>
      </c>
      <c r="E2313">
        <v>30</v>
      </c>
      <c r="F2313">
        <v>28.999443054</v>
      </c>
      <c r="G2313">
        <v>1379.3212891000001</v>
      </c>
      <c r="H2313">
        <v>1366.5955810999999</v>
      </c>
      <c r="I2313">
        <v>1272.7554932</v>
      </c>
      <c r="J2313">
        <v>1244.5133057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1532.3052909999999</v>
      </c>
      <c r="B2314" s="1">
        <f>DATE(2014,7,11) + TIME(7,19,37)</f>
        <v>41831.305289351854</v>
      </c>
      <c r="C2314">
        <v>90</v>
      </c>
      <c r="D2314">
        <v>89.958213806000003</v>
      </c>
      <c r="E2314">
        <v>30</v>
      </c>
      <c r="F2314">
        <v>29.000757217</v>
      </c>
      <c r="G2314">
        <v>1379.2662353999999</v>
      </c>
      <c r="H2314">
        <v>1366.5505370999999</v>
      </c>
      <c r="I2314">
        <v>1272.7635498</v>
      </c>
      <c r="J2314">
        <v>1244.510376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1533.4245989999999</v>
      </c>
      <c r="B2315" s="1">
        <f>DATE(2014,7,12) + TIME(10,11,25)</f>
        <v>41832.42459490741</v>
      </c>
      <c r="C2315">
        <v>90</v>
      </c>
      <c r="D2315">
        <v>89.958206176999994</v>
      </c>
      <c r="E2315">
        <v>30</v>
      </c>
      <c r="F2315">
        <v>29.003187180000001</v>
      </c>
      <c r="G2315">
        <v>1379.2106934000001</v>
      </c>
      <c r="H2315">
        <v>1366.5050048999999</v>
      </c>
      <c r="I2315">
        <v>1272.7722168</v>
      </c>
      <c r="J2315">
        <v>1244.5076904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1534.563703</v>
      </c>
      <c r="B2316" s="1">
        <f>DATE(2014,7,13) + TIME(13,31,43)</f>
        <v>41833.563692129632</v>
      </c>
      <c r="C2316">
        <v>90</v>
      </c>
      <c r="D2316">
        <v>89.958206176999994</v>
      </c>
      <c r="E2316">
        <v>30</v>
      </c>
      <c r="F2316">
        <v>29.006843567000001</v>
      </c>
      <c r="G2316">
        <v>1379.1546631000001</v>
      </c>
      <c r="H2316">
        <v>1366.4589844</v>
      </c>
      <c r="I2316">
        <v>1272.7813721</v>
      </c>
      <c r="J2316">
        <v>1244.5053711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1535.705663</v>
      </c>
      <c r="B2317" s="1">
        <f>DATE(2014,7,14) + TIME(16,56,9)</f>
        <v>41834.705659722225</v>
      </c>
      <c r="C2317">
        <v>90</v>
      </c>
      <c r="D2317">
        <v>89.958198546999995</v>
      </c>
      <c r="E2317">
        <v>30</v>
      </c>
      <c r="F2317">
        <v>29.011816025000002</v>
      </c>
      <c r="G2317">
        <v>1379.0981445</v>
      </c>
      <c r="H2317">
        <v>1366.4124756000001</v>
      </c>
      <c r="I2317">
        <v>1272.7911377</v>
      </c>
      <c r="J2317">
        <v>1244.5035399999999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1536.852844</v>
      </c>
      <c r="B2318" s="1">
        <f>DATE(2014,7,15) + TIME(20,28,5)</f>
        <v>41835.852835648147</v>
      </c>
      <c r="C2318">
        <v>90</v>
      </c>
      <c r="D2318">
        <v>89.958198546999995</v>
      </c>
      <c r="E2318">
        <v>30</v>
      </c>
      <c r="F2318">
        <v>29.018178939999999</v>
      </c>
      <c r="G2318">
        <v>1379.0421143000001</v>
      </c>
      <c r="H2318">
        <v>1366.3663329999999</v>
      </c>
      <c r="I2318">
        <v>1272.8012695</v>
      </c>
      <c r="J2318">
        <v>1244.5019531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1538.0075850000001</v>
      </c>
      <c r="B2319" s="1">
        <f>DATE(2014,7,17) + TIME(0,10,55)</f>
        <v>41837.007581018515</v>
      </c>
      <c r="C2319">
        <v>90</v>
      </c>
      <c r="D2319">
        <v>89.958198546999995</v>
      </c>
      <c r="E2319">
        <v>30</v>
      </c>
      <c r="F2319">
        <v>29.026021957000001</v>
      </c>
      <c r="G2319">
        <v>1378.9862060999999</v>
      </c>
      <c r="H2319">
        <v>1366.3201904</v>
      </c>
      <c r="I2319">
        <v>1272.8118896000001</v>
      </c>
      <c r="J2319">
        <v>1244.5009766000001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1539.1722580000001</v>
      </c>
      <c r="B2320" s="1">
        <f>DATE(2014,7,18) + TIME(4,8,3)</f>
        <v>41838.172256944446</v>
      </c>
      <c r="C2320">
        <v>90</v>
      </c>
      <c r="D2320">
        <v>89.958190918</v>
      </c>
      <c r="E2320">
        <v>30</v>
      </c>
      <c r="F2320">
        <v>29.035451889000001</v>
      </c>
      <c r="G2320">
        <v>1378.9305420000001</v>
      </c>
      <c r="H2320">
        <v>1366.2741699000001</v>
      </c>
      <c r="I2320">
        <v>1272.8229980000001</v>
      </c>
      <c r="J2320">
        <v>1244.5004882999999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1540.346354</v>
      </c>
      <c r="B2321" s="1">
        <f>DATE(2014,7,19) + TIME(8,18,44)</f>
        <v>41839.346342592595</v>
      </c>
      <c r="C2321">
        <v>90</v>
      </c>
      <c r="D2321">
        <v>89.958190918</v>
      </c>
      <c r="E2321">
        <v>30</v>
      </c>
      <c r="F2321">
        <v>29.046581268000001</v>
      </c>
      <c r="G2321">
        <v>1378.8748779</v>
      </c>
      <c r="H2321">
        <v>1366.2281493999999</v>
      </c>
      <c r="I2321">
        <v>1272.8348389</v>
      </c>
      <c r="J2321">
        <v>1244.5006103999999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1541.5301649999999</v>
      </c>
      <c r="B2322" s="1">
        <f>DATE(2014,7,20) + TIME(12,43,26)</f>
        <v>41840.530162037037</v>
      </c>
      <c r="C2322">
        <v>90</v>
      </c>
      <c r="D2322">
        <v>89.958190918</v>
      </c>
      <c r="E2322">
        <v>30</v>
      </c>
      <c r="F2322">
        <v>29.059526442999999</v>
      </c>
      <c r="G2322">
        <v>1378.8192139</v>
      </c>
      <c r="H2322">
        <v>1366.1820068</v>
      </c>
      <c r="I2322">
        <v>1272.847168</v>
      </c>
      <c r="J2322">
        <v>1244.5013428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1542.726058</v>
      </c>
      <c r="B2323" s="1">
        <f>DATE(2014,7,21) + TIME(17,25,31)</f>
        <v>41841.726053240738</v>
      </c>
      <c r="C2323">
        <v>90</v>
      </c>
      <c r="D2323">
        <v>89.958190918</v>
      </c>
      <c r="E2323">
        <v>30</v>
      </c>
      <c r="F2323">
        <v>29.074424744000002</v>
      </c>
      <c r="G2323">
        <v>1378.7636719</v>
      </c>
      <c r="H2323">
        <v>1366.1358643000001</v>
      </c>
      <c r="I2323">
        <v>1272.8602295000001</v>
      </c>
      <c r="J2323">
        <v>1244.5029297000001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1543.9368710000001</v>
      </c>
      <c r="B2324" s="1">
        <f>DATE(2014,7,22) + TIME(22,29,5)</f>
        <v>41842.936863425923</v>
      </c>
      <c r="C2324">
        <v>90</v>
      </c>
      <c r="D2324">
        <v>89.958190918</v>
      </c>
      <c r="E2324">
        <v>30</v>
      </c>
      <c r="F2324">
        <v>29.091440201000001</v>
      </c>
      <c r="G2324">
        <v>1378.7080077999999</v>
      </c>
      <c r="H2324">
        <v>1366.0895995999999</v>
      </c>
      <c r="I2324">
        <v>1272.8739014</v>
      </c>
      <c r="J2324">
        <v>1244.5051269999999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1545.1653739999999</v>
      </c>
      <c r="B2325" s="1">
        <f>DATE(2014,7,24) + TIME(3,58,8)</f>
        <v>41844.165370370371</v>
      </c>
      <c r="C2325">
        <v>90</v>
      </c>
      <c r="D2325">
        <v>89.958190918</v>
      </c>
      <c r="E2325">
        <v>30</v>
      </c>
      <c r="F2325">
        <v>29.110765456999999</v>
      </c>
      <c r="G2325">
        <v>1378.6520995999999</v>
      </c>
      <c r="H2325">
        <v>1366.0429687999999</v>
      </c>
      <c r="I2325">
        <v>1272.8884277</v>
      </c>
      <c r="J2325">
        <v>1244.5083007999999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1546.4139050000001</v>
      </c>
      <c r="B2326" s="1">
        <f>DATE(2014,7,25) + TIME(9,56,1)</f>
        <v>41845.413900462961</v>
      </c>
      <c r="C2326">
        <v>90</v>
      </c>
      <c r="D2326">
        <v>89.958190918</v>
      </c>
      <c r="E2326">
        <v>30</v>
      </c>
      <c r="F2326">
        <v>29.132614136000001</v>
      </c>
      <c r="G2326">
        <v>1378.5959473</v>
      </c>
      <c r="H2326">
        <v>1365.9960937999999</v>
      </c>
      <c r="I2326">
        <v>1272.9038086</v>
      </c>
      <c r="J2326">
        <v>1244.5125731999999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1547.685444</v>
      </c>
      <c r="B2327" s="1">
        <f>DATE(2014,7,26) + TIME(16,27,2)</f>
        <v>41846.685439814813</v>
      </c>
      <c r="C2327">
        <v>90</v>
      </c>
      <c r="D2327">
        <v>89.958190918</v>
      </c>
      <c r="E2327">
        <v>30</v>
      </c>
      <c r="F2327">
        <v>29.157241821</v>
      </c>
      <c r="G2327">
        <v>1378.5393065999999</v>
      </c>
      <c r="H2327">
        <v>1365.9488524999999</v>
      </c>
      <c r="I2327">
        <v>1272.9201660000001</v>
      </c>
      <c r="J2327">
        <v>1244.5178223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1548.983211</v>
      </c>
      <c r="B2328" s="1">
        <f>DATE(2014,7,27) + TIME(23,35,49)</f>
        <v>41847.983206018522</v>
      </c>
      <c r="C2328">
        <v>90</v>
      </c>
      <c r="D2328">
        <v>89.958190918</v>
      </c>
      <c r="E2328">
        <v>30</v>
      </c>
      <c r="F2328">
        <v>29.184940338000001</v>
      </c>
      <c r="G2328">
        <v>1378.4820557</v>
      </c>
      <c r="H2328">
        <v>1365.9008789</v>
      </c>
      <c r="I2328">
        <v>1272.9376221</v>
      </c>
      <c r="J2328">
        <v>1244.5242920000001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1550.3062150000001</v>
      </c>
      <c r="B2329" s="1">
        <f>DATE(2014,7,29) + TIME(7,20,56)</f>
        <v>41849.306203703702</v>
      </c>
      <c r="C2329">
        <v>90</v>
      </c>
      <c r="D2329">
        <v>89.958190918</v>
      </c>
      <c r="E2329">
        <v>30</v>
      </c>
      <c r="F2329">
        <v>29.216007232999999</v>
      </c>
      <c r="G2329">
        <v>1378.4241943</v>
      </c>
      <c r="H2329">
        <v>1365.8524170000001</v>
      </c>
      <c r="I2329">
        <v>1272.9561768000001</v>
      </c>
      <c r="J2329">
        <v>1244.5322266000001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1551.6344979999999</v>
      </c>
      <c r="B2330" s="1">
        <f>DATE(2014,7,30) + TIME(15,13,40)</f>
        <v>41850.63449074074</v>
      </c>
      <c r="C2330">
        <v>90</v>
      </c>
      <c r="D2330">
        <v>89.958190918</v>
      </c>
      <c r="E2330">
        <v>30</v>
      </c>
      <c r="F2330">
        <v>29.250543594</v>
      </c>
      <c r="G2330">
        <v>1378.3657227000001</v>
      </c>
      <c r="H2330">
        <v>1365.8033447</v>
      </c>
      <c r="I2330">
        <v>1272.9760742000001</v>
      </c>
      <c r="J2330">
        <v>1244.541626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1552.3172489999999</v>
      </c>
      <c r="B2331" s="1">
        <f>DATE(2014,7,31) + TIME(7,36,50)</f>
        <v>41851.317245370374</v>
      </c>
      <c r="C2331">
        <v>90</v>
      </c>
      <c r="D2331">
        <v>89.958183289000004</v>
      </c>
      <c r="E2331">
        <v>30</v>
      </c>
      <c r="F2331">
        <v>29.278291702000001</v>
      </c>
      <c r="G2331">
        <v>1378.3076172000001</v>
      </c>
      <c r="H2331">
        <v>1365.7543945</v>
      </c>
      <c r="I2331">
        <v>1273.0010986</v>
      </c>
      <c r="J2331">
        <v>1244.5537108999999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1553</v>
      </c>
      <c r="B2332" s="1">
        <f>DATE(2014,8,1) + TIME(0,0,0)</f>
        <v>41852</v>
      </c>
      <c r="C2332">
        <v>90</v>
      </c>
      <c r="D2332">
        <v>89.958183289000004</v>
      </c>
      <c r="E2332">
        <v>30</v>
      </c>
      <c r="F2332">
        <v>29.303682327000001</v>
      </c>
      <c r="G2332">
        <v>1378.2774658000001</v>
      </c>
      <c r="H2332">
        <v>1365.7288818</v>
      </c>
      <c r="I2332">
        <v>1273.0106201000001</v>
      </c>
      <c r="J2332">
        <v>1244.5596923999999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1553.6734429999999</v>
      </c>
      <c r="B2333" s="1">
        <f>DATE(2014,8,1) + TIME(16,9,45)</f>
        <v>41852.673437500001</v>
      </c>
      <c r="C2333">
        <v>90</v>
      </c>
      <c r="D2333">
        <v>89.958183289000004</v>
      </c>
      <c r="E2333">
        <v>30</v>
      </c>
      <c r="F2333">
        <v>29.328012466000001</v>
      </c>
      <c r="G2333">
        <v>1378.2478027</v>
      </c>
      <c r="H2333">
        <v>1365.7038574000001</v>
      </c>
      <c r="I2333">
        <v>1273.0212402</v>
      </c>
      <c r="J2333">
        <v>1244.5662841999999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1555.0203289999999</v>
      </c>
      <c r="B2334" s="1">
        <f>DATE(2014,8,3) + TIME(0,29,16)</f>
        <v>41854.020324074074</v>
      </c>
      <c r="C2334">
        <v>90</v>
      </c>
      <c r="D2334">
        <v>89.958198546999995</v>
      </c>
      <c r="E2334">
        <v>30</v>
      </c>
      <c r="F2334">
        <v>29.361591339</v>
      </c>
      <c r="G2334">
        <v>1378.21875</v>
      </c>
      <c r="H2334">
        <v>1365.6794434000001</v>
      </c>
      <c r="I2334">
        <v>1273.0288086</v>
      </c>
      <c r="J2334">
        <v>1244.5727539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1556.3689850000001</v>
      </c>
      <c r="B2335" s="1">
        <f>DATE(2014,8,4) + TIME(8,51,20)</f>
        <v>41855.368981481479</v>
      </c>
      <c r="C2335">
        <v>90</v>
      </c>
      <c r="D2335">
        <v>89.958198546999995</v>
      </c>
      <c r="E2335">
        <v>30</v>
      </c>
      <c r="F2335">
        <v>29.405342101999999</v>
      </c>
      <c r="G2335">
        <v>1378.1611327999999</v>
      </c>
      <c r="H2335">
        <v>1365.6308594</v>
      </c>
      <c r="I2335">
        <v>1273.0540771000001</v>
      </c>
      <c r="J2335">
        <v>1244.588501</v>
      </c>
      <c r="K2335">
        <v>2400</v>
      </c>
      <c r="L2335">
        <v>0</v>
      </c>
      <c r="M2335">
        <v>0</v>
      </c>
      <c r="N2335">
        <v>2400</v>
      </c>
    </row>
    <row r="2336" spans="1:14" x14ac:dyDescent="0.25">
      <c r="A2336">
        <v>1557.72975</v>
      </c>
      <c r="B2336" s="1">
        <f>DATE(2014,8,5) + TIME(17,30,50)</f>
        <v>41856.729745370372</v>
      </c>
      <c r="C2336">
        <v>90</v>
      </c>
      <c r="D2336">
        <v>89.958206176999994</v>
      </c>
      <c r="E2336">
        <v>30</v>
      </c>
      <c r="F2336">
        <v>29.455678939999999</v>
      </c>
      <c r="G2336">
        <v>1378.1037598</v>
      </c>
      <c r="H2336">
        <v>1365.5822754000001</v>
      </c>
      <c r="I2336">
        <v>1273.0794678</v>
      </c>
      <c r="J2336">
        <v>1244.605957</v>
      </c>
      <c r="K2336">
        <v>2400</v>
      </c>
      <c r="L2336">
        <v>0</v>
      </c>
      <c r="M2336">
        <v>0</v>
      </c>
      <c r="N2336">
        <v>2400</v>
      </c>
    </row>
    <row r="2337" spans="1:14" x14ac:dyDescent="0.25">
      <c r="A2337">
        <v>1559.1053380000001</v>
      </c>
      <c r="B2337" s="1">
        <f>DATE(2014,8,7) + TIME(2,31,41)</f>
        <v>41858.10533564815</v>
      </c>
      <c r="C2337">
        <v>90</v>
      </c>
      <c r="D2337">
        <v>89.958213806000003</v>
      </c>
      <c r="E2337">
        <v>30</v>
      </c>
      <c r="F2337">
        <v>29.5115242</v>
      </c>
      <c r="G2337">
        <v>1378.0462646000001</v>
      </c>
      <c r="H2337">
        <v>1365.5334473</v>
      </c>
      <c r="I2337">
        <v>1273.1058350000001</v>
      </c>
      <c r="J2337">
        <v>1244.6254882999999</v>
      </c>
      <c r="K2337">
        <v>2400</v>
      </c>
      <c r="L2337">
        <v>0</v>
      </c>
      <c r="M2337">
        <v>0</v>
      </c>
      <c r="N2337">
        <v>2400</v>
      </c>
    </row>
    <row r="2338" spans="1:14" x14ac:dyDescent="0.25">
      <c r="A2338">
        <v>1560.4987920000001</v>
      </c>
      <c r="B2338" s="1">
        <f>DATE(2014,8,8) + TIME(11,58,15)</f>
        <v>41859.498784722222</v>
      </c>
      <c r="C2338">
        <v>90</v>
      </c>
      <c r="D2338">
        <v>89.958213806000003</v>
      </c>
      <c r="E2338">
        <v>30</v>
      </c>
      <c r="F2338">
        <v>29.572723389</v>
      </c>
      <c r="G2338">
        <v>1377.9885254000001</v>
      </c>
      <c r="H2338">
        <v>1365.4844971</v>
      </c>
      <c r="I2338">
        <v>1273.1335449000001</v>
      </c>
      <c r="J2338">
        <v>1244.6473389</v>
      </c>
      <c r="K2338">
        <v>2400</v>
      </c>
      <c r="L2338">
        <v>0</v>
      </c>
      <c r="M2338">
        <v>0</v>
      </c>
      <c r="N2338">
        <v>2400</v>
      </c>
    </row>
    <row r="2339" spans="1:14" x14ac:dyDescent="0.25">
      <c r="A2339">
        <v>1561.9139500000001</v>
      </c>
      <c r="B2339" s="1">
        <f>DATE(2014,8,9) + TIME(21,56,5)</f>
        <v>41860.913946759261</v>
      </c>
      <c r="C2339">
        <v>90</v>
      </c>
      <c r="D2339">
        <v>89.958221436000002</v>
      </c>
      <c r="E2339">
        <v>30</v>
      </c>
      <c r="F2339">
        <v>29.639530182000001</v>
      </c>
      <c r="G2339">
        <v>1377.9305420000001</v>
      </c>
      <c r="H2339">
        <v>1365.4351807</v>
      </c>
      <c r="I2339">
        <v>1273.1627197</v>
      </c>
      <c r="J2339">
        <v>1244.6717529</v>
      </c>
      <c r="K2339">
        <v>2400</v>
      </c>
      <c r="L2339">
        <v>0</v>
      </c>
      <c r="M2339">
        <v>0</v>
      </c>
      <c r="N2339">
        <v>2400</v>
      </c>
    </row>
    <row r="2340" spans="1:14" x14ac:dyDescent="0.25">
      <c r="A2340">
        <v>1563.3533649999999</v>
      </c>
      <c r="B2340" s="1">
        <f>DATE(2014,8,11) + TIME(8,28,50)</f>
        <v>41862.353356481479</v>
      </c>
      <c r="C2340">
        <v>90</v>
      </c>
      <c r="D2340">
        <v>89.958229064999998</v>
      </c>
      <c r="E2340">
        <v>30</v>
      </c>
      <c r="F2340">
        <v>29.712388992000001</v>
      </c>
      <c r="G2340">
        <v>1377.8720702999999</v>
      </c>
      <c r="H2340">
        <v>1365.385376</v>
      </c>
      <c r="I2340">
        <v>1273.1937256000001</v>
      </c>
      <c r="J2340">
        <v>1244.6990966999999</v>
      </c>
      <c r="K2340">
        <v>2400</v>
      </c>
      <c r="L2340">
        <v>0</v>
      </c>
      <c r="M2340">
        <v>0</v>
      </c>
      <c r="N2340">
        <v>2400</v>
      </c>
    </row>
    <row r="2341" spans="1:14" x14ac:dyDescent="0.25">
      <c r="A2341">
        <v>1564.8205929999999</v>
      </c>
      <c r="B2341" s="1">
        <f>DATE(2014,8,12) + TIME(19,41,39)</f>
        <v>41863.820590277777</v>
      </c>
      <c r="C2341">
        <v>90</v>
      </c>
      <c r="D2341">
        <v>89.958236693999993</v>
      </c>
      <c r="E2341">
        <v>30</v>
      </c>
      <c r="F2341">
        <v>29.791862488</v>
      </c>
      <c r="G2341">
        <v>1377.8131103999999</v>
      </c>
      <c r="H2341">
        <v>1365.3350829999999</v>
      </c>
      <c r="I2341">
        <v>1273.2266846</v>
      </c>
      <c r="J2341">
        <v>1244.7296143000001</v>
      </c>
      <c r="K2341">
        <v>2400</v>
      </c>
      <c r="L2341">
        <v>0</v>
      </c>
      <c r="M2341">
        <v>0</v>
      </c>
      <c r="N2341">
        <v>2400</v>
      </c>
    </row>
    <row r="2342" spans="1:14" x14ac:dyDescent="0.25">
      <c r="A2342">
        <v>1566.31693</v>
      </c>
      <c r="B2342" s="1">
        <f>DATE(2014,8,14) + TIME(7,36,22)</f>
        <v>41865.316921296297</v>
      </c>
      <c r="C2342">
        <v>90</v>
      </c>
      <c r="D2342">
        <v>89.958244324000006</v>
      </c>
      <c r="E2342">
        <v>30</v>
      </c>
      <c r="F2342">
        <v>29.878570557</v>
      </c>
      <c r="G2342">
        <v>1377.753418</v>
      </c>
      <c r="H2342">
        <v>1365.2841797000001</v>
      </c>
      <c r="I2342">
        <v>1273.2617187999999</v>
      </c>
      <c r="J2342">
        <v>1244.7635498</v>
      </c>
      <c r="K2342">
        <v>2400</v>
      </c>
      <c r="L2342">
        <v>0</v>
      </c>
      <c r="M2342">
        <v>0</v>
      </c>
      <c r="N2342">
        <v>2400</v>
      </c>
    </row>
    <row r="2343" spans="1:14" x14ac:dyDescent="0.25">
      <c r="A2343">
        <v>1567.8313900000001</v>
      </c>
      <c r="B2343" s="1">
        <f>DATE(2014,8,15) + TIME(19,57,12)</f>
        <v>41866.831388888888</v>
      </c>
      <c r="C2343">
        <v>90</v>
      </c>
      <c r="D2343">
        <v>89.958244324000006</v>
      </c>
      <c r="E2343">
        <v>30</v>
      </c>
      <c r="F2343">
        <v>29.972885131999998</v>
      </c>
      <c r="G2343">
        <v>1377.6931152</v>
      </c>
      <c r="H2343">
        <v>1365.2324219</v>
      </c>
      <c r="I2343">
        <v>1273.2990723</v>
      </c>
      <c r="J2343">
        <v>1244.8012695</v>
      </c>
      <c r="K2343">
        <v>2400</v>
      </c>
      <c r="L2343">
        <v>0</v>
      </c>
      <c r="M2343">
        <v>0</v>
      </c>
      <c r="N2343">
        <v>2400</v>
      </c>
    </row>
    <row r="2344" spans="1:14" x14ac:dyDescent="0.25">
      <c r="A2344">
        <v>1569.3668170000001</v>
      </c>
      <c r="B2344" s="1">
        <f>DATE(2014,8,17) + TIME(8,48,12)</f>
        <v>41868.366805555554</v>
      </c>
      <c r="C2344">
        <v>90</v>
      </c>
      <c r="D2344">
        <v>89.958259583</v>
      </c>
      <c r="E2344">
        <v>30</v>
      </c>
      <c r="F2344">
        <v>30.075149536000001</v>
      </c>
      <c r="G2344">
        <v>1377.6324463000001</v>
      </c>
      <c r="H2344">
        <v>1365.1804199000001</v>
      </c>
      <c r="I2344">
        <v>1273.338501</v>
      </c>
      <c r="J2344">
        <v>1244.8428954999999</v>
      </c>
      <c r="K2344">
        <v>2400</v>
      </c>
      <c r="L2344">
        <v>0</v>
      </c>
      <c r="M2344">
        <v>0</v>
      </c>
      <c r="N2344">
        <v>2400</v>
      </c>
    </row>
    <row r="2345" spans="1:14" x14ac:dyDescent="0.25">
      <c r="A2345">
        <v>1570.9070039999999</v>
      </c>
      <c r="B2345" s="1">
        <f>DATE(2014,8,18) + TIME(21,46,5)</f>
        <v>41869.907002314816</v>
      </c>
      <c r="C2345">
        <v>90</v>
      </c>
      <c r="D2345">
        <v>89.958267211999996</v>
      </c>
      <c r="E2345">
        <v>30</v>
      </c>
      <c r="F2345">
        <v>30.185451508</v>
      </c>
      <c r="G2345">
        <v>1377.5714111</v>
      </c>
      <c r="H2345">
        <v>1365.1280518000001</v>
      </c>
      <c r="I2345">
        <v>1273.380249</v>
      </c>
      <c r="J2345">
        <v>1244.8887939000001</v>
      </c>
      <c r="K2345">
        <v>2400</v>
      </c>
      <c r="L2345">
        <v>0</v>
      </c>
      <c r="M2345">
        <v>0</v>
      </c>
      <c r="N2345">
        <v>2400</v>
      </c>
    </row>
    <row r="2346" spans="1:14" x14ac:dyDescent="0.25">
      <c r="A2346">
        <v>1572.451249</v>
      </c>
      <c r="B2346" s="1">
        <f>DATE(2014,8,20) + TIME(10,49,47)</f>
        <v>41871.451238425929</v>
      </c>
      <c r="C2346">
        <v>90</v>
      </c>
      <c r="D2346">
        <v>89.958274841000005</v>
      </c>
      <c r="E2346">
        <v>30</v>
      </c>
      <c r="F2346">
        <v>30.303668976000001</v>
      </c>
      <c r="G2346">
        <v>1377.5106201000001</v>
      </c>
      <c r="H2346">
        <v>1365.0758057</v>
      </c>
      <c r="I2346">
        <v>1273.4239502</v>
      </c>
      <c r="J2346">
        <v>1244.9385986</v>
      </c>
      <c r="K2346">
        <v>2400</v>
      </c>
      <c r="L2346">
        <v>0</v>
      </c>
      <c r="M2346">
        <v>0</v>
      </c>
      <c r="N2346">
        <v>2400</v>
      </c>
    </row>
    <row r="2347" spans="1:14" x14ac:dyDescent="0.25">
      <c r="A2347">
        <v>1574.0062700000001</v>
      </c>
      <c r="B2347" s="1">
        <f>DATE(2014,8,22) + TIME(0,9,1)</f>
        <v>41873.006261574075</v>
      </c>
      <c r="C2347">
        <v>90</v>
      </c>
      <c r="D2347">
        <v>89.958282471000004</v>
      </c>
      <c r="E2347">
        <v>30</v>
      </c>
      <c r="F2347">
        <v>30.430131912</v>
      </c>
      <c r="G2347">
        <v>1377.4501952999999</v>
      </c>
      <c r="H2347">
        <v>1365.0236815999999</v>
      </c>
      <c r="I2347">
        <v>1273.4694824000001</v>
      </c>
      <c r="J2347">
        <v>1244.9926757999999</v>
      </c>
      <c r="K2347">
        <v>2400</v>
      </c>
      <c r="L2347">
        <v>0</v>
      </c>
      <c r="M2347">
        <v>0</v>
      </c>
      <c r="N2347">
        <v>2400</v>
      </c>
    </row>
    <row r="2348" spans="1:14" x14ac:dyDescent="0.25">
      <c r="A2348">
        <v>1575.575413</v>
      </c>
      <c r="B2348" s="1">
        <f>DATE(2014,8,23) + TIME(13,48,35)</f>
        <v>41874.57540509259</v>
      </c>
      <c r="C2348">
        <v>90</v>
      </c>
      <c r="D2348">
        <v>89.958290099999999</v>
      </c>
      <c r="E2348">
        <v>30</v>
      </c>
      <c r="F2348">
        <v>30.565479279000002</v>
      </c>
      <c r="G2348">
        <v>1377.3897704999999</v>
      </c>
      <c r="H2348">
        <v>1364.9715576000001</v>
      </c>
      <c r="I2348">
        <v>1273.5173339999999</v>
      </c>
      <c r="J2348">
        <v>1245.0512695</v>
      </c>
      <c r="K2348">
        <v>2400</v>
      </c>
      <c r="L2348">
        <v>0</v>
      </c>
      <c r="M2348">
        <v>0</v>
      </c>
      <c r="N2348">
        <v>2400</v>
      </c>
    </row>
    <row r="2349" spans="1:14" x14ac:dyDescent="0.25">
      <c r="A2349">
        <v>1577.162077</v>
      </c>
      <c r="B2349" s="1">
        <f>DATE(2014,8,25) + TIME(3,53,23)</f>
        <v>41876.16207175926</v>
      </c>
      <c r="C2349">
        <v>90</v>
      </c>
      <c r="D2349">
        <v>89.958297728999995</v>
      </c>
      <c r="E2349">
        <v>30</v>
      </c>
      <c r="F2349">
        <v>30.710430145</v>
      </c>
      <c r="G2349">
        <v>1377.3292236</v>
      </c>
      <c r="H2349">
        <v>1364.9191894999999</v>
      </c>
      <c r="I2349">
        <v>1273.5675048999999</v>
      </c>
      <c r="J2349">
        <v>1245.1148682</v>
      </c>
      <c r="K2349">
        <v>2400</v>
      </c>
      <c r="L2349">
        <v>0</v>
      </c>
      <c r="M2349">
        <v>0</v>
      </c>
      <c r="N2349">
        <v>2400</v>
      </c>
    </row>
    <row r="2350" spans="1:14" x14ac:dyDescent="0.25">
      <c r="A2350">
        <v>1578.769763</v>
      </c>
      <c r="B2350" s="1">
        <f>DATE(2014,8,26) + TIME(18,28,27)</f>
        <v>41877.769756944443</v>
      </c>
      <c r="C2350">
        <v>90</v>
      </c>
      <c r="D2350">
        <v>89.958312988000003</v>
      </c>
      <c r="E2350">
        <v>30</v>
      </c>
      <c r="F2350">
        <v>30.865793228000001</v>
      </c>
      <c r="G2350">
        <v>1377.2685547000001</v>
      </c>
      <c r="H2350">
        <v>1364.8665771000001</v>
      </c>
      <c r="I2350">
        <v>1273.6202393000001</v>
      </c>
      <c r="J2350">
        <v>1245.1838379000001</v>
      </c>
      <c r="K2350">
        <v>2400</v>
      </c>
      <c r="L2350">
        <v>0</v>
      </c>
      <c r="M2350">
        <v>0</v>
      </c>
      <c r="N2350">
        <v>2400</v>
      </c>
    </row>
    <row r="2351" spans="1:14" x14ac:dyDescent="0.25">
      <c r="A2351">
        <v>1580.402967</v>
      </c>
      <c r="B2351" s="1">
        <f>DATE(2014,8,28) + TIME(9,40,16)</f>
        <v>41879.402962962966</v>
      </c>
      <c r="C2351">
        <v>90</v>
      </c>
      <c r="D2351">
        <v>89.958320618000002</v>
      </c>
      <c r="E2351">
        <v>30</v>
      </c>
      <c r="F2351">
        <v>31.032499312999999</v>
      </c>
      <c r="G2351">
        <v>1377.2073975000001</v>
      </c>
      <c r="H2351">
        <v>1364.8135986</v>
      </c>
      <c r="I2351">
        <v>1273.6757812000001</v>
      </c>
      <c r="J2351">
        <v>1245.2586670000001</v>
      </c>
      <c r="K2351">
        <v>2400</v>
      </c>
      <c r="L2351">
        <v>0</v>
      </c>
      <c r="M2351">
        <v>0</v>
      </c>
      <c r="N2351">
        <v>2400</v>
      </c>
    </row>
    <row r="2352" spans="1:14" x14ac:dyDescent="0.25">
      <c r="A2352">
        <v>1582.0548309999999</v>
      </c>
      <c r="B2352" s="1">
        <f>DATE(2014,8,30) + TIME(1,18,57)</f>
        <v>41881.054826388892</v>
      </c>
      <c r="C2352">
        <v>90</v>
      </c>
      <c r="D2352">
        <v>89.958335876000007</v>
      </c>
      <c r="E2352">
        <v>30</v>
      </c>
      <c r="F2352">
        <v>31.211229324000001</v>
      </c>
      <c r="G2352">
        <v>1377.1457519999999</v>
      </c>
      <c r="H2352">
        <v>1364.7600098</v>
      </c>
      <c r="I2352">
        <v>1273.734375</v>
      </c>
      <c r="J2352">
        <v>1245.3399658000001</v>
      </c>
      <c r="K2352">
        <v>2400</v>
      </c>
      <c r="L2352">
        <v>0</v>
      </c>
      <c r="M2352">
        <v>0</v>
      </c>
      <c r="N2352">
        <v>2400</v>
      </c>
    </row>
    <row r="2353" spans="1:14" x14ac:dyDescent="0.25">
      <c r="A2353">
        <v>1583.7245370000001</v>
      </c>
      <c r="B2353" s="1">
        <f>DATE(2014,8,31) + TIME(17,23,20)</f>
        <v>41882.724537037036</v>
      </c>
      <c r="C2353">
        <v>90</v>
      </c>
      <c r="D2353">
        <v>89.958343506000006</v>
      </c>
      <c r="E2353">
        <v>30</v>
      </c>
      <c r="F2353">
        <v>31.402326584000001</v>
      </c>
      <c r="G2353">
        <v>1377.0838623</v>
      </c>
      <c r="H2353">
        <v>1364.7061768000001</v>
      </c>
      <c r="I2353">
        <v>1273.7960204999999</v>
      </c>
      <c r="J2353">
        <v>1245.4276123</v>
      </c>
      <c r="K2353">
        <v>2400</v>
      </c>
      <c r="L2353">
        <v>0</v>
      </c>
      <c r="M2353">
        <v>0</v>
      </c>
      <c r="N2353">
        <v>2400</v>
      </c>
    </row>
    <row r="2354" spans="1:14" x14ac:dyDescent="0.25">
      <c r="A2354">
        <v>1584</v>
      </c>
      <c r="B2354" s="1">
        <f>DATE(2014,9,1) + TIME(0,0,0)</f>
        <v>41883</v>
      </c>
      <c r="C2354">
        <v>90</v>
      </c>
      <c r="D2354">
        <v>89.958335876000007</v>
      </c>
      <c r="E2354">
        <v>30</v>
      </c>
      <c r="F2354">
        <v>31.478933334000001</v>
      </c>
      <c r="G2354">
        <v>1377.0236815999999</v>
      </c>
      <c r="H2354">
        <v>1364.6539307</v>
      </c>
      <c r="I2354">
        <v>1273.8945312000001</v>
      </c>
      <c r="J2354">
        <v>1245.5062256000001</v>
      </c>
      <c r="K2354">
        <v>2400</v>
      </c>
      <c r="L2354">
        <v>0</v>
      </c>
      <c r="M2354">
        <v>0</v>
      </c>
      <c r="N2354">
        <v>2400</v>
      </c>
    </row>
    <row r="2355" spans="1:14" x14ac:dyDescent="0.25">
      <c r="A2355">
        <v>1585.6921359999999</v>
      </c>
      <c r="B2355" s="1">
        <f>DATE(2014,9,2) + TIME(16,36,40)</f>
        <v>41884.692129629628</v>
      </c>
      <c r="C2355">
        <v>90</v>
      </c>
      <c r="D2355">
        <v>89.958358765</v>
      </c>
      <c r="E2355">
        <v>30</v>
      </c>
      <c r="F2355">
        <v>31.655757904000001</v>
      </c>
      <c r="G2355">
        <v>1377.0111084</v>
      </c>
      <c r="H2355">
        <v>1364.6427002</v>
      </c>
      <c r="I2355">
        <v>1273.8685303</v>
      </c>
      <c r="J2355">
        <v>1245.541626</v>
      </c>
      <c r="K2355">
        <v>2400</v>
      </c>
      <c r="L2355">
        <v>0</v>
      </c>
      <c r="M2355">
        <v>0</v>
      </c>
      <c r="N2355">
        <v>2400</v>
      </c>
    </row>
    <row r="2356" spans="1:14" x14ac:dyDescent="0.25">
      <c r="A2356">
        <v>1587.3967399999999</v>
      </c>
      <c r="B2356" s="1">
        <f>DATE(2014,9,4) + TIME(9,31,18)</f>
        <v>41886.396736111114</v>
      </c>
      <c r="C2356">
        <v>90</v>
      </c>
      <c r="D2356">
        <v>89.958374023000005</v>
      </c>
      <c r="E2356">
        <v>30</v>
      </c>
      <c r="F2356">
        <v>31.865730286000002</v>
      </c>
      <c r="G2356">
        <v>1376.9490966999999</v>
      </c>
      <c r="H2356">
        <v>1364.5886230000001</v>
      </c>
      <c r="I2356">
        <v>1273.9388428</v>
      </c>
      <c r="J2356">
        <v>1245.6424560999999</v>
      </c>
      <c r="K2356">
        <v>2400</v>
      </c>
      <c r="L2356">
        <v>0</v>
      </c>
      <c r="M2356">
        <v>0</v>
      </c>
      <c r="N2356">
        <v>2400</v>
      </c>
    </row>
    <row r="2357" spans="1:14" x14ac:dyDescent="0.25">
      <c r="A2357">
        <v>1588.255075</v>
      </c>
      <c r="B2357" s="1">
        <f>DATE(2014,9,5) + TIME(6,7,18)</f>
        <v>41887.255069444444</v>
      </c>
      <c r="C2357">
        <v>90</v>
      </c>
      <c r="D2357">
        <v>89.958366393999995</v>
      </c>
      <c r="E2357">
        <v>30</v>
      </c>
      <c r="F2357">
        <v>32.039993285999998</v>
      </c>
      <c r="G2357">
        <v>1376.8869629000001</v>
      </c>
      <c r="H2357">
        <v>1364.5343018000001</v>
      </c>
      <c r="I2357">
        <v>1274.0253906</v>
      </c>
      <c r="J2357">
        <v>1245.7445068</v>
      </c>
      <c r="K2357">
        <v>2400</v>
      </c>
      <c r="L2357">
        <v>0</v>
      </c>
      <c r="M2357">
        <v>0</v>
      </c>
      <c r="N2357">
        <v>2400</v>
      </c>
    </row>
    <row r="2358" spans="1:14" x14ac:dyDescent="0.25">
      <c r="A2358">
        <v>1589.820199</v>
      </c>
      <c r="B2358" s="1">
        <f>DATE(2014,9,6) + TIME(19,41,5)</f>
        <v>41888.820196759261</v>
      </c>
      <c r="C2358">
        <v>90</v>
      </c>
      <c r="D2358">
        <v>89.958389281999999</v>
      </c>
      <c r="E2358">
        <v>30</v>
      </c>
      <c r="F2358">
        <v>32.231048584</v>
      </c>
      <c r="G2358">
        <v>1376.8552245999999</v>
      </c>
      <c r="H2358">
        <v>1364.5064697</v>
      </c>
      <c r="I2358">
        <v>1274.0456543</v>
      </c>
      <c r="J2358">
        <v>1245.8139647999999</v>
      </c>
      <c r="K2358">
        <v>2400</v>
      </c>
      <c r="L2358">
        <v>0</v>
      </c>
      <c r="M2358">
        <v>0</v>
      </c>
      <c r="N2358">
        <v>2400</v>
      </c>
    </row>
    <row r="2359" spans="1:14" x14ac:dyDescent="0.25">
      <c r="A2359">
        <v>1591.5136930000001</v>
      </c>
      <c r="B2359" s="1">
        <f>DATE(2014,9,8) + TIME(12,19,43)</f>
        <v>41890.513692129629</v>
      </c>
      <c r="C2359">
        <v>90</v>
      </c>
      <c r="D2359">
        <v>89.958404540999993</v>
      </c>
      <c r="E2359">
        <v>30</v>
      </c>
      <c r="F2359">
        <v>32.457263947000001</v>
      </c>
      <c r="G2359">
        <v>1376.7988281</v>
      </c>
      <c r="H2359">
        <v>1364.4569091999999</v>
      </c>
      <c r="I2359">
        <v>1274.1149902</v>
      </c>
      <c r="J2359">
        <v>1245.9227295000001</v>
      </c>
      <c r="K2359">
        <v>2400</v>
      </c>
      <c r="L2359">
        <v>0</v>
      </c>
      <c r="M2359">
        <v>0</v>
      </c>
      <c r="N2359">
        <v>2400</v>
      </c>
    </row>
    <row r="2360" spans="1:14" x14ac:dyDescent="0.25">
      <c r="A2360">
        <v>1593.2154579999999</v>
      </c>
      <c r="B2360" s="1">
        <f>DATE(2014,9,10) + TIME(5,10,15)</f>
        <v>41892.215451388889</v>
      </c>
      <c r="C2360">
        <v>90</v>
      </c>
      <c r="D2360">
        <v>89.958419800000001</v>
      </c>
      <c r="E2360">
        <v>30</v>
      </c>
      <c r="F2360">
        <v>32.710762023999997</v>
      </c>
      <c r="G2360">
        <v>1376.7379149999999</v>
      </c>
      <c r="H2360">
        <v>1364.4035644999999</v>
      </c>
      <c r="I2360">
        <v>1274.1931152</v>
      </c>
      <c r="J2360">
        <v>1246.0465088000001</v>
      </c>
      <c r="K2360">
        <v>2400</v>
      </c>
      <c r="L2360">
        <v>0</v>
      </c>
      <c r="M2360">
        <v>0</v>
      </c>
      <c r="N2360">
        <v>2400</v>
      </c>
    </row>
    <row r="2361" spans="1:14" x14ac:dyDescent="0.25">
      <c r="A2361">
        <v>1594.070498</v>
      </c>
      <c r="B2361" s="1">
        <f>DATE(2014,9,11) + TIME(1,41,31)</f>
        <v>41893.070497685185</v>
      </c>
      <c r="C2361">
        <v>90</v>
      </c>
      <c r="D2361">
        <v>89.958412170000003</v>
      </c>
      <c r="E2361">
        <v>30</v>
      </c>
      <c r="F2361">
        <v>32.916870117000002</v>
      </c>
      <c r="G2361">
        <v>1376.6773682</v>
      </c>
      <c r="H2361">
        <v>1364.3503418</v>
      </c>
      <c r="I2361">
        <v>1274.2893065999999</v>
      </c>
      <c r="J2361">
        <v>1246.1688231999999</v>
      </c>
      <c r="K2361">
        <v>2400</v>
      </c>
      <c r="L2361">
        <v>0</v>
      </c>
      <c r="M2361">
        <v>0</v>
      </c>
      <c r="N2361">
        <v>2400</v>
      </c>
    </row>
    <row r="2362" spans="1:14" x14ac:dyDescent="0.25">
      <c r="A2362">
        <v>1595.6134460000001</v>
      </c>
      <c r="B2362" s="1">
        <f>DATE(2014,9,12) + TIME(14,43,21)</f>
        <v>41894.613437499997</v>
      </c>
      <c r="C2362">
        <v>90</v>
      </c>
      <c r="D2362">
        <v>89.958435058999996</v>
      </c>
      <c r="E2362">
        <v>30</v>
      </c>
      <c r="F2362">
        <v>33.139671325999998</v>
      </c>
      <c r="G2362">
        <v>1376.6466064000001</v>
      </c>
      <c r="H2362">
        <v>1364.3231201000001</v>
      </c>
      <c r="I2362">
        <v>1274.3118896000001</v>
      </c>
      <c r="J2362">
        <v>1246.2529297000001</v>
      </c>
      <c r="K2362">
        <v>2400</v>
      </c>
      <c r="L2362">
        <v>0</v>
      </c>
      <c r="M2362">
        <v>0</v>
      </c>
      <c r="N2362">
        <v>2400</v>
      </c>
    </row>
    <row r="2363" spans="1:14" x14ac:dyDescent="0.25">
      <c r="A2363">
        <v>1597.281673</v>
      </c>
      <c r="B2363" s="1">
        <f>DATE(2014,9,14) + TIME(6,45,36)</f>
        <v>41896.281666666669</v>
      </c>
      <c r="C2363">
        <v>90</v>
      </c>
      <c r="D2363">
        <v>89.958450317</v>
      </c>
      <c r="E2363">
        <v>30</v>
      </c>
      <c r="F2363">
        <v>33.399871826000002</v>
      </c>
      <c r="G2363">
        <v>1376.5922852000001</v>
      </c>
      <c r="H2363">
        <v>1364.2753906</v>
      </c>
      <c r="I2363">
        <v>1274.3876952999999</v>
      </c>
      <c r="J2363">
        <v>1246.3808594</v>
      </c>
      <c r="K2363">
        <v>2400</v>
      </c>
      <c r="L2363">
        <v>0</v>
      </c>
      <c r="M2363">
        <v>0</v>
      </c>
      <c r="N2363">
        <v>2400</v>
      </c>
    </row>
    <row r="2364" spans="1:14" x14ac:dyDescent="0.25">
      <c r="A2364">
        <v>1598.9523979999999</v>
      </c>
      <c r="B2364" s="1">
        <f>DATE(2014,9,15) + TIME(22,51,27)</f>
        <v>41897.95239583333</v>
      </c>
      <c r="C2364">
        <v>90</v>
      </c>
      <c r="D2364">
        <v>89.958465575999995</v>
      </c>
      <c r="E2364">
        <v>30</v>
      </c>
      <c r="F2364">
        <v>33.688488006999997</v>
      </c>
      <c r="G2364">
        <v>1376.5339355000001</v>
      </c>
      <c r="H2364">
        <v>1364.2238769999999</v>
      </c>
      <c r="I2364">
        <v>1274.4727783000001</v>
      </c>
      <c r="J2364">
        <v>1246.5250243999999</v>
      </c>
      <c r="K2364">
        <v>2400</v>
      </c>
      <c r="L2364">
        <v>0</v>
      </c>
      <c r="M2364">
        <v>0</v>
      </c>
      <c r="N2364">
        <v>2400</v>
      </c>
    </row>
    <row r="2365" spans="1:14" x14ac:dyDescent="0.25">
      <c r="A2365">
        <v>1600.6314400000001</v>
      </c>
      <c r="B2365" s="1">
        <f>DATE(2014,9,17) + TIME(15,9,16)</f>
        <v>41899.631435185183</v>
      </c>
      <c r="C2365">
        <v>90</v>
      </c>
      <c r="D2365">
        <v>89.958480835000003</v>
      </c>
      <c r="E2365">
        <v>30</v>
      </c>
      <c r="F2365">
        <v>33.994586945000002</v>
      </c>
      <c r="G2365">
        <v>1376.4758300999999</v>
      </c>
      <c r="H2365">
        <v>1364.1726074000001</v>
      </c>
      <c r="I2365">
        <v>1274.559082</v>
      </c>
      <c r="J2365">
        <v>1246.6773682</v>
      </c>
      <c r="K2365">
        <v>2400</v>
      </c>
      <c r="L2365">
        <v>0</v>
      </c>
      <c r="M2365">
        <v>0</v>
      </c>
      <c r="N2365">
        <v>2400</v>
      </c>
    </row>
    <row r="2366" spans="1:14" x14ac:dyDescent="0.25">
      <c r="A2366">
        <v>1601.472867</v>
      </c>
      <c r="B2366" s="1">
        <f>DATE(2014,9,18) + TIME(11,20,55)</f>
        <v>41900.472858796296</v>
      </c>
      <c r="C2366">
        <v>90</v>
      </c>
      <c r="D2366">
        <v>89.958480835000003</v>
      </c>
      <c r="E2366">
        <v>30</v>
      </c>
      <c r="F2366">
        <v>34.237800598</v>
      </c>
      <c r="G2366">
        <v>1376.4180908000001</v>
      </c>
      <c r="H2366">
        <v>1364.121582</v>
      </c>
      <c r="I2366">
        <v>1274.6658935999999</v>
      </c>
      <c r="J2366">
        <v>1246.8245850000001</v>
      </c>
      <c r="K2366">
        <v>2400</v>
      </c>
      <c r="L2366">
        <v>0</v>
      </c>
      <c r="M2366">
        <v>0</v>
      </c>
      <c r="N2366">
        <v>2400</v>
      </c>
    </row>
    <row r="2367" spans="1:14" x14ac:dyDescent="0.25">
      <c r="A2367">
        <v>1602.9805229999999</v>
      </c>
      <c r="B2367" s="1">
        <f>DATE(2014,9,19) + TIME(23,31,57)</f>
        <v>41901.980520833335</v>
      </c>
      <c r="C2367">
        <v>90</v>
      </c>
      <c r="D2367">
        <v>89.958496093999997</v>
      </c>
      <c r="E2367">
        <v>30</v>
      </c>
      <c r="F2367">
        <v>34.497505187999998</v>
      </c>
      <c r="G2367">
        <v>1376.3886719</v>
      </c>
      <c r="H2367">
        <v>1364.0954589999999</v>
      </c>
      <c r="I2367">
        <v>1274.6910399999999</v>
      </c>
      <c r="J2367">
        <v>1246.9263916</v>
      </c>
      <c r="K2367">
        <v>2400</v>
      </c>
      <c r="L2367">
        <v>0</v>
      </c>
      <c r="M2367">
        <v>0</v>
      </c>
      <c r="N2367">
        <v>2400</v>
      </c>
    </row>
    <row r="2368" spans="1:14" x14ac:dyDescent="0.25">
      <c r="A2368">
        <v>1604.621672</v>
      </c>
      <c r="B2368" s="1">
        <f>DATE(2014,9,21) + TIME(14,55,12)</f>
        <v>41903.621666666666</v>
      </c>
      <c r="C2368">
        <v>90</v>
      </c>
      <c r="D2368">
        <v>89.958511353000006</v>
      </c>
      <c r="E2368">
        <v>30</v>
      </c>
      <c r="F2368">
        <v>34.796928405999999</v>
      </c>
      <c r="G2368">
        <v>1376.3375243999999</v>
      </c>
      <c r="H2368">
        <v>1364.0501709</v>
      </c>
      <c r="I2368">
        <v>1274.7736815999999</v>
      </c>
      <c r="J2368">
        <v>1247.0772704999999</v>
      </c>
      <c r="K2368">
        <v>2400</v>
      </c>
      <c r="L2368">
        <v>0</v>
      </c>
      <c r="M2368">
        <v>0</v>
      </c>
      <c r="N2368">
        <v>2400</v>
      </c>
    </row>
    <row r="2369" spans="1:14" x14ac:dyDescent="0.25">
      <c r="A2369">
        <v>1606.272457</v>
      </c>
      <c r="B2369" s="1">
        <f>DATE(2014,9,23) + TIME(6,32,20)</f>
        <v>41905.272453703707</v>
      </c>
      <c r="C2369">
        <v>90</v>
      </c>
      <c r="D2369">
        <v>89.958526610999996</v>
      </c>
      <c r="E2369">
        <v>30</v>
      </c>
      <c r="F2369">
        <v>35.126953125</v>
      </c>
      <c r="G2369">
        <v>1376.2819824000001</v>
      </c>
      <c r="H2369">
        <v>1364.0008545000001</v>
      </c>
      <c r="I2369">
        <v>1274.8668213000001</v>
      </c>
      <c r="J2369">
        <v>1247.2462158000001</v>
      </c>
      <c r="K2369">
        <v>2400</v>
      </c>
      <c r="L2369">
        <v>0</v>
      </c>
      <c r="M2369">
        <v>0</v>
      </c>
      <c r="N2369">
        <v>2400</v>
      </c>
    </row>
    <row r="2370" spans="1:14" x14ac:dyDescent="0.25">
      <c r="A2370">
        <v>1607.9405529999999</v>
      </c>
      <c r="B2370" s="1">
        <f>DATE(2014,9,24) + TIME(22,34,23)</f>
        <v>41906.94054398148</v>
      </c>
      <c r="C2370">
        <v>90</v>
      </c>
      <c r="D2370">
        <v>89.958549500000004</v>
      </c>
      <c r="E2370">
        <v>30</v>
      </c>
      <c r="F2370">
        <v>35.475166321000003</v>
      </c>
      <c r="G2370">
        <v>1376.2264404</v>
      </c>
      <c r="H2370">
        <v>1363.9516602000001</v>
      </c>
      <c r="I2370">
        <v>1274.9611815999999</v>
      </c>
      <c r="J2370">
        <v>1247.4240723</v>
      </c>
      <c r="K2370">
        <v>2400</v>
      </c>
      <c r="L2370">
        <v>0</v>
      </c>
      <c r="M2370">
        <v>0</v>
      </c>
      <c r="N2370">
        <v>2400</v>
      </c>
    </row>
    <row r="2371" spans="1:14" x14ac:dyDescent="0.25">
      <c r="A2371">
        <v>1608.781377</v>
      </c>
      <c r="B2371" s="1">
        <f>DATE(2014,9,25) + TIME(18,45,10)</f>
        <v>41907.781365740739</v>
      </c>
      <c r="C2371">
        <v>90</v>
      </c>
      <c r="D2371">
        <v>89.958549500000004</v>
      </c>
      <c r="E2371">
        <v>30</v>
      </c>
      <c r="F2371">
        <v>35.751472473</v>
      </c>
      <c r="G2371">
        <v>1376.1712646000001</v>
      </c>
      <c r="H2371">
        <v>1363.9025879000001</v>
      </c>
      <c r="I2371">
        <v>1275.0772704999999</v>
      </c>
      <c r="J2371">
        <v>1247.5943603999999</v>
      </c>
      <c r="K2371">
        <v>2400</v>
      </c>
      <c r="L2371">
        <v>0</v>
      </c>
      <c r="M2371">
        <v>0</v>
      </c>
      <c r="N2371">
        <v>2400</v>
      </c>
    </row>
    <row r="2372" spans="1:14" x14ac:dyDescent="0.25">
      <c r="A2372">
        <v>1610.275768</v>
      </c>
      <c r="B2372" s="1">
        <f>DATE(2014,9,27) + TIME(6,37,6)</f>
        <v>41909.275763888887</v>
      </c>
      <c r="C2372">
        <v>90</v>
      </c>
      <c r="D2372">
        <v>89.958564757999994</v>
      </c>
      <c r="E2372">
        <v>30</v>
      </c>
      <c r="F2372">
        <v>36.042972564999999</v>
      </c>
      <c r="G2372">
        <v>1376.1428223</v>
      </c>
      <c r="H2372">
        <v>1363.8773193</v>
      </c>
      <c r="I2372">
        <v>1275.1062012</v>
      </c>
      <c r="J2372">
        <v>1247.7132568</v>
      </c>
      <c r="K2372">
        <v>2400</v>
      </c>
      <c r="L2372">
        <v>0</v>
      </c>
      <c r="M2372">
        <v>0</v>
      </c>
      <c r="N2372">
        <v>2400</v>
      </c>
    </row>
    <row r="2373" spans="1:14" x14ac:dyDescent="0.25">
      <c r="A2373">
        <v>1611.915962</v>
      </c>
      <c r="B2373" s="1">
        <f>DATE(2014,9,28) + TIME(21,58,59)</f>
        <v>41910.915960648148</v>
      </c>
      <c r="C2373">
        <v>90</v>
      </c>
      <c r="D2373">
        <v>89.958580017000003</v>
      </c>
      <c r="E2373">
        <v>30</v>
      </c>
      <c r="F2373">
        <v>36.376976012999997</v>
      </c>
      <c r="G2373">
        <v>1376.0938721</v>
      </c>
      <c r="H2373">
        <v>1363.8337402</v>
      </c>
      <c r="I2373">
        <v>1275.1955565999999</v>
      </c>
      <c r="J2373">
        <v>1247.885376</v>
      </c>
      <c r="K2373">
        <v>2400</v>
      </c>
      <c r="L2373">
        <v>0</v>
      </c>
      <c r="M2373">
        <v>0</v>
      </c>
      <c r="N2373">
        <v>2400</v>
      </c>
    </row>
    <row r="2374" spans="1:14" x14ac:dyDescent="0.25">
      <c r="A2374">
        <v>1613.581295</v>
      </c>
      <c r="B2374" s="1">
        <f>DATE(2014,9,30) + TIME(13,57,3)</f>
        <v>41912.581284722219</v>
      </c>
      <c r="C2374">
        <v>90</v>
      </c>
      <c r="D2374">
        <v>89.958602905000006</v>
      </c>
      <c r="E2374">
        <v>30</v>
      </c>
      <c r="F2374">
        <v>36.744445800999998</v>
      </c>
      <c r="G2374">
        <v>1376.0404053</v>
      </c>
      <c r="H2374">
        <v>1363.7861327999999</v>
      </c>
      <c r="I2374">
        <v>1275.2963867000001</v>
      </c>
      <c r="J2374">
        <v>1248.0783690999999</v>
      </c>
      <c r="K2374">
        <v>2400</v>
      </c>
      <c r="L2374">
        <v>0</v>
      </c>
      <c r="M2374">
        <v>0</v>
      </c>
      <c r="N2374">
        <v>2400</v>
      </c>
    </row>
    <row r="2375" spans="1:14" x14ac:dyDescent="0.25">
      <c r="A2375">
        <v>1614</v>
      </c>
      <c r="B2375" s="1">
        <f>DATE(2014,10,1) + TIME(0,0,0)</f>
        <v>41913</v>
      </c>
      <c r="C2375">
        <v>90</v>
      </c>
      <c r="D2375">
        <v>89.958595275999997</v>
      </c>
      <c r="E2375">
        <v>30</v>
      </c>
      <c r="F2375">
        <v>36.944286345999998</v>
      </c>
      <c r="G2375">
        <v>1375.9879149999999</v>
      </c>
      <c r="H2375">
        <v>1363.7395019999999</v>
      </c>
      <c r="I2375">
        <v>1275.4370117000001</v>
      </c>
      <c r="J2375">
        <v>1248.2446289</v>
      </c>
      <c r="K2375">
        <v>2400</v>
      </c>
      <c r="L2375">
        <v>0</v>
      </c>
      <c r="M2375">
        <v>0</v>
      </c>
      <c r="N2375">
        <v>2400</v>
      </c>
    </row>
    <row r="2376" spans="1:14" x14ac:dyDescent="0.25">
      <c r="A2376">
        <v>1615.6944100000001</v>
      </c>
      <c r="B2376" s="1">
        <f>DATE(2014,10,2) + TIME(16,39,57)</f>
        <v>41914.694409722222</v>
      </c>
      <c r="C2376">
        <v>90</v>
      </c>
      <c r="D2376">
        <v>89.958618164000001</v>
      </c>
      <c r="E2376">
        <v>30</v>
      </c>
      <c r="F2376">
        <v>37.262367249</v>
      </c>
      <c r="G2376">
        <v>1375.9727783000001</v>
      </c>
      <c r="H2376">
        <v>1363.7258300999999</v>
      </c>
      <c r="I2376">
        <v>1275.4217529</v>
      </c>
      <c r="J2376">
        <v>1248.3431396000001</v>
      </c>
      <c r="K2376">
        <v>2400</v>
      </c>
      <c r="L2376">
        <v>0</v>
      </c>
      <c r="M2376">
        <v>0</v>
      </c>
      <c r="N2376">
        <v>2400</v>
      </c>
    </row>
    <row r="2377" spans="1:14" x14ac:dyDescent="0.25">
      <c r="A2377">
        <v>1617.4273989999999</v>
      </c>
      <c r="B2377" s="1">
        <f>DATE(2014,10,4) + TIME(10,15,27)</f>
        <v>41916.427395833336</v>
      </c>
      <c r="C2377">
        <v>90</v>
      </c>
      <c r="D2377">
        <v>89.958641052000004</v>
      </c>
      <c r="E2377">
        <v>30</v>
      </c>
      <c r="F2377">
        <v>37.644817351999997</v>
      </c>
      <c r="G2377">
        <v>1375.9190673999999</v>
      </c>
      <c r="H2377">
        <v>1363.6778564000001</v>
      </c>
      <c r="I2377">
        <v>1275.5311279</v>
      </c>
      <c r="J2377">
        <v>1248.5483397999999</v>
      </c>
      <c r="K2377">
        <v>2400</v>
      </c>
      <c r="L2377">
        <v>0</v>
      </c>
      <c r="M2377">
        <v>0</v>
      </c>
      <c r="N2377">
        <v>2400</v>
      </c>
    </row>
    <row r="2378" spans="1:14" x14ac:dyDescent="0.25">
      <c r="A2378">
        <v>1619.178936</v>
      </c>
      <c r="B2378" s="1">
        <f>DATE(2014,10,6) + TIME(4,17,40)</f>
        <v>41918.178935185184</v>
      </c>
      <c r="C2378">
        <v>90</v>
      </c>
      <c r="D2378">
        <v>89.958656310999999</v>
      </c>
      <c r="E2378">
        <v>30</v>
      </c>
      <c r="F2378">
        <v>38.056102752999998</v>
      </c>
      <c r="G2378">
        <v>1375.8642577999999</v>
      </c>
      <c r="H2378">
        <v>1363.6290283000001</v>
      </c>
      <c r="I2378">
        <v>1275.6429443</v>
      </c>
      <c r="J2378">
        <v>1248.7675781</v>
      </c>
      <c r="K2378">
        <v>2400</v>
      </c>
      <c r="L2378">
        <v>0</v>
      </c>
      <c r="M2378">
        <v>0</v>
      </c>
      <c r="N2378">
        <v>2400</v>
      </c>
    </row>
    <row r="2379" spans="1:14" x14ac:dyDescent="0.25">
      <c r="A2379">
        <v>1620.952166</v>
      </c>
      <c r="B2379" s="1">
        <f>DATE(2014,10,7) + TIME(22,51,7)</f>
        <v>41919.952164351853</v>
      </c>
      <c r="C2379">
        <v>90</v>
      </c>
      <c r="D2379">
        <v>89.958679199000002</v>
      </c>
      <c r="E2379">
        <v>30</v>
      </c>
      <c r="F2379">
        <v>38.482753754000001</v>
      </c>
      <c r="G2379">
        <v>1375.8093262</v>
      </c>
      <c r="H2379">
        <v>1363.5800781</v>
      </c>
      <c r="I2379">
        <v>1275.7568358999999</v>
      </c>
      <c r="J2379">
        <v>1248.9956055</v>
      </c>
      <c r="K2379">
        <v>2400</v>
      </c>
      <c r="L2379">
        <v>0</v>
      </c>
      <c r="M2379">
        <v>0</v>
      </c>
      <c r="N2379">
        <v>2400</v>
      </c>
    </row>
    <row r="2380" spans="1:14" x14ac:dyDescent="0.25">
      <c r="A2380">
        <v>1622.7552720000001</v>
      </c>
      <c r="B2380" s="1">
        <f>DATE(2014,10,9) + TIME(18,7,35)</f>
        <v>41921.755266203705</v>
      </c>
      <c r="C2380">
        <v>90</v>
      </c>
      <c r="D2380">
        <v>89.958694457999997</v>
      </c>
      <c r="E2380">
        <v>30</v>
      </c>
      <c r="F2380">
        <v>38.921009064000003</v>
      </c>
      <c r="G2380">
        <v>1375.7543945</v>
      </c>
      <c r="H2380">
        <v>1363.5308838000001</v>
      </c>
      <c r="I2380">
        <v>1275.8734131000001</v>
      </c>
      <c r="J2380">
        <v>1249.2313231999999</v>
      </c>
      <c r="K2380">
        <v>2400</v>
      </c>
      <c r="L2380">
        <v>0</v>
      </c>
      <c r="M2380">
        <v>0</v>
      </c>
      <c r="N2380">
        <v>2400</v>
      </c>
    </row>
    <row r="2381" spans="1:14" x14ac:dyDescent="0.25">
      <c r="A2381">
        <v>1624.5943890000001</v>
      </c>
      <c r="B2381" s="1">
        <f>DATE(2014,10,11) + TIME(14,15,55)</f>
        <v>41923.594386574077</v>
      </c>
      <c r="C2381">
        <v>90</v>
      </c>
      <c r="D2381">
        <v>89.958717346</v>
      </c>
      <c r="E2381">
        <v>30</v>
      </c>
      <c r="F2381">
        <v>39.370239257999998</v>
      </c>
      <c r="G2381">
        <v>1375.6992187999999</v>
      </c>
      <c r="H2381">
        <v>1363.4815673999999</v>
      </c>
      <c r="I2381">
        <v>1275.9934082</v>
      </c>
      <c r="J2381">
        <v>1249.4747314000001</v>
      </c>
      <c r="K2381">
        <v>2400</v>
      </c>
      <c r="L2381">
        <v>0</v>
      </c>
      <c r="M2381">
        <v>0</v>
      </c>
      <c r="N2381">
        <v>2400</v>
      </c>
    </row>
    <row r="2382" spans="1:14" x14ac:dyDescent="0.25">
      <c r="A2382">
        <v>1626.4639999999999</v>
      </c>
      <c r="B2382" s="1">
        <f>DATE(2014,10,13) + TIME(11,8,9)</f>
        <v>41925.463993055557</v>
      </c>
      <c r="C2382">
        <v>90</v>
      </c>
      <c r="D2382">
        <v>89.958732604999994</v>
      </c>
      <c r="E2382">
        <v>30</v>
      </c>
      <c r="F2382">
        <v>39.829807281000001</v>
      </c>
      <c r="G2382">
        <v>1375.6435547000001</v>
      </c>
      <c r="H2382">
        <v>1363.4317627</v>
      </c>
      <c r="I2382">
        <v>1276.1174315999999</v>
      </c>
      <c r="J2382">
        <v>1249.7260742000001</v>
      </c>
      <c r="K2382">
        <v>2400</v>
      </c>
      <c r="L2382">
        <v>0</v>
      </c>
      <c r="M2382">
        <v>0</v>
      </c>
      <c r="N2382">
        <v>2400</v>
      </c>
    </row>
    <row r="2383" spans="1:14" x14ac:dyDescent="0.25">
      <c r="A2383">
        <v>1628.359727</v>
      </c>
      <c r="B2383" s="1">
        <f>DATE(2014,10,15) + TIME(8,38,0)</f>
        <v>41927.359722222223</v>
      </c>
      <c r="C2383">
        <v>90</v>
      </c>
      <c r="D2383">
        <v>89.958755492999998</v>
      </c>
      <c r="E2383">
        <v>30</v>
      </c>
      <c r="F2383">
        <v>40.298004149999997</v>
      </c>
      <c r="G2383">
        <v>1375.5876464999999</v>
      </c>
      <c r="H2383">
        <v>1363.3817139</v>
      </c>
      <c r="I2383">
        <v>1276.2449951000001</v>
      </c>
      <c r="J2383">
        <v>1249.9846190999999</v>
      </c>
      <c r="K2383">
        <v>2400</v>
      </c>
      <c r="L2383">
        <v>0</v>
      </c>
      <c r="M2383">
        <v>0</v>
      </c>
      <c r="N2383">
        <v>2400</v>
      </c>
    </row>
    <row r="2384" spans="1:14" x14ac:dyDescent="0.25">
      <c r="A2384">
        <v>1630.286908</v>
      </c>
      <c r="B2384" s="1">
        <f>DATE(2014,10,17) + TIME(6,53,8)</f>
        <v>41929.286898148152</v>
      </c>
      <c r="C2384">
        <v>90</v>
      </c>
      <c r="D2384">
        <v>89.958778381000002</v>
      </c>
      <c r="E2384">
        <v>30</v>
      </c>
      <c r="F2384">
        <v>40.773353577000002</v>
      </c>
      <c r="G2384">
        <v>1375.5316161999999</v>
      </c>
      <c r="H2384">
        <v>1363.3316649999999</v>
      </c>
      <c r="I2384">
        <v>1276.3757324000001</v>
      </c>
      <c r="J2384">
        <v>1250.2493896000001</v>
      </c>
      <c r="K2384">
        <v>2400</v>
      </c>
      <c r="L2384">
        <v>0</v>
      </c>
      <c r="M2384">
        <v>0</v>
      </c>
      <c r="N2384">
        <v>2400</v>
      </c>
    </row>
    <row r="2385" spans="1:14" x14ac:dyDescent="0.25">
      <c r="A2385">
        <v>1632.238008</v>
      </c>
      <c r="B2385" s="1">
        <f>DATE(2014,10,19) + TIME(5,42,43)</f>
        <v>41931.237997685188</v>
      </c>
      <c r="C2385">
        <v>90</v>
      </c>
      <c r="D2385">
        <v>89.958801269999995</v>
      </c>
      <c r="E2385">
        <v>30</v>
      </c>
      <c r="F2385">
        <v>41.254421233999999</v>
      </c>
      <c r="G2385">
        <v>1375.4754639</v>
      </c>
      <c r="H2385">
        <v>1363.2813721</v>
      </c>
      <c r="I2385">
        <v>1276.5098877</v>
      </c>
      <c r="J2385">
        <v>1250.5206298999999</v>
      </c>
      <c r="K2385">
        <v>2400</v>
      </c>
      <c r="L2385">
        <v>0</v>
      </c>
      <c r="M2385">
        <v>0</v>
      </c>
      <c r="N2385">
        <v>2400</v>
      </c>
    </row>
    <row r="2386" spans="1:14" x14ac:dyDescent="0.25">
      <c r="A2386">
        <v>1634.208554</v>
      </c>
      <c r="B2386" s="1">
        <f>DATE(2014,10,21) + TIME(5,0,19)</f>
        <v>41933.208553240744</v>
      </c>
      <c r="C2386">
        <v>90</v>
      </c>
      <c r="D2386">
        <v>89.958816528</v>
      </c>
      <c r="E2386">
        <v>30</v>
      </c>
      <c r="F2386">
        <v>41.738780974999997</v>
      </c>
      <c r="G2386">
        <v>1375.4194336</v>
      </c>
      <c r="H2386">
        <v>1363.2310791</v>
      </c>
      <c r="I2386">
        <v>1276.6470947</v>
      </c>
      <c r="J2386">
        <v>1250.796875</v>
      </c>
      <c r="K2386">
        <v>2400</v>
      </c>
      <c r="L2386">
        <v>0</v>
      </c>
      <c r="M2386">
        <v>0</v>
      </c>
      <c r="N2386">
        <v>2400</v>
      </c>
    </row>
    <row r="2387" spans="1:14" x14ac:dyDescent="0.25">
      <c r="A2387">
        <v>1636.203796</v>
      </c>
      <c r="B2387" s="1">
        <f>DATE(2014,10,23) + TIME(4,53,28)</f>
        <v>41935.203796296293</v>
      </c>
      <c r="C2387">
        <v>90</v>
      </c>
      <c r="D2387">
        <v>89.958839416999993</v>
      </c>
      <c r="E2387">
        <v>30</v>
      </c>
      <c r="F2387">
        <v>42.224777222</v>
      </c>
      <c r="G2387">
        <v>1375.3635254000001</v>
      </c>
      <c r="H2387">
        <v>1363.1810303</v>
      </c>
      <c r="I2387">
        <v>1276.7867432</v>
      </c>
      <c r="J2387">
        <v>1251.0771483999999</v>
      </c>
      <c r="K2387">
        <v>2400</v>
      </c>
      <c r="L2387">
        <v>0</v>
      </c>
      <c r="M2387">
        <v>0</v>
      </c>
      <c r="N2387">
        <v>2400</v>
      </c>
    </row>
    <row r="2388" spans="1:14" x14ac:dyDescent="0.25">
      <c r="A2388">
        <v>1638.2168670000001</v>
      </c>
      <c r="B2388" s="1">
        <f>DATE(2014,10,25) + TIME(5,12,17)</f>
        <v>41937.216863425929</v>
      </c>
      <c r="C2388">
        <v>90</v>
      </c>
      <c r="D2388">
        <v>89.958862304999997</v>
      </c>
      <c r="E2388">
        <v>30</v>
      </c>
      <c r="F2388">
        <v>42.711196899000001</v>
      </c>
      <c r="G2388">
        <v>1375.3078613</v>
      </c>
      <c r="H2388">
        <v>1363.1311035000001</v>
      </c>
      <c r="I2388">
        <v>1276.9293213000001</v>
      </c>
      <c r="J2388">
        <v>1251.3616943</v>
      </c>
      <c r="K2388">
        <v>2400</v>
      </c>
      <c r="L2388">
        <v>0</v>
      </c>
      <c r="M2388">
        <v>0</v>
      </c>
      <c r="N2388">
        <v>2400</v>
      </c>
    </row>
    <row r="2389" spans="1:14" x14ac:dyDescent="0.25">
      <c r="A2389">
        <v>1640.2516700000001</v>
      </c>
      <c r="B2389" s="1">
        <f>DATE(2014,10,27) + TIME(6,2,24)</f>
        <v>41939.251666666663</v>
      </c>
      <c r="C2389">
        <v>90</v>
      </c>
      <c r="D2389">
        <v>89.958885193</v>
      </c>
      <c r="E2389">
        <v>30</v>
      </c>
      <c r="F2389">
        <v>43.196178435999997</v>
      </c>
      <c r="G2389">
        <v>1375.2524414</v>
      </c>
      <c r="H2389">
        <v>1363.081543</v>
      </c>
      <c r="I2389">
        <v>1277.0740966999999</v>
      </c>
      <c r="J2389">
        <v>1251.6492920000001</v>
      </c>
      <c r="K2389">
        <v>2400</v>
      </c>
      <c r="L2389">
        <v>0</v>
      </c>
      <c r="M2389">
        <v>0</v>
      </c>
      <c r="N2389">
        <v>2400</v>
      </c>
    </row>
    <row r="2390" spans="1:14" x14ac:dyDescent="0.25">
      <c r="A2390">
        <v>1642.2996680000001</v>
      </c>
      <c r="B2390" s="1">
        <f>DATE(2014,10,29) + TIME(7,11,31)</f>
        <v>41941.299664351849</v>
      </c>
      <c r="C2390">
        <v>90</v>
      </c>
      <c r="D2390">
        <v>89.958908081000004</v>
      </c>
      <c r="E2390">
        <v>30</v>
      </c>
      <c r="F2390">
        <v>43.678451537999997</v>
      </c>
      <c r="G2390">
        <v>1375.1972656</v>
      </c>
      <c r="H2390">
        <v>1363.0321045000001</v>
      </c>
      <c r="I2390">
        <v>1277.2213135</v>
      </c>
      <c r="J2390">
        <v>1251.9396973</v>
      </c>
      <c r="K2390">
        <v>2400</v>
      </c>
      <c r="L2390">
        <v>0</v>
      </c>
      <c r="M2390">
        <v>0</v>
      </c>
      <c r="N2390">
        <v>2400</v>
      </c>
    </row>
    <row r="2391" spans="1:14" x14ac:dyDescent="0.25">
      <c r="A2391">
        <v>1644.3627570000001</v>
      </c>
      <c r="B2391" s="1">
        <f>DATE(2014,10,31) + TIME(8,42,22)</f>
        <v>41943.362754629627</v>
      </c>
      <c r="C2391">
        <v>90</v>
      </c>
      <c r="D2391">
        <v>89.958930968999994</v>
      </c>
      <c r="E2391">
        <v>30</v>
      </c>
      <c r="F2391">
        <v>44.156116486000002</v>
      </c>
      <c r="G2391">
        <v>1375.1427002</v>
      </c>
      <c r="H2391">
        <v>1362.9831543</v>
      </c>
      <c r="I2391">
        <v>1277.3702393000001</v>
      </c>
      <c r="J2391">
        <v>1252.2316894999999</v>
      </c>
      <c r="K2391">
        <v>2400</v>
      </c>
      <c r="L2391">
        <v>0</v>
      </c>
      <c r="M2391">
        <v>0</v>
      </c>
      <c r="N2391">
        <v>2400</v>
      </c>
    </row>
    <row r="2392" spans="1:14" x14ac:dyDescent="0.25">
      <c r="A2392">
        <v>1645</v>
      </c>
      <c r="B2392" s="1">
        <f>DATE(2014,11,1) + TIME(0,0,0)</f>
        <v>41944</v>
      </c>
      <c r="C2392">
        <v>90</v>
      </c>
      <c r="D2392">
        <v>89.958930968999994</v>
      </c>
      <c r="E2392">
        <v>30</v>
      </c>
      <c r="F2392">
        <v>44.456253052000001</v>
      </c>
      <c r="G2392">
        <v>1375.0894774999999</v>
      </c>
      <c r="H2392">
        <v>1362.9356689000001</v>
      </c>
      <c r="I2392">
        <v>1277.541626</v>
      </c>
      <c r="J2392">
        <v>1252.4818115</v>
      </c>
      <c r="K2392">
        <v>2400</v>
      </c>
      <c r="L2392">
        <v>0</v>
      </c>
      <c r="M2392">
        <v>0</v>
      </c>
      <c r="N2392">
        <v>2400</v>
      </c>
    </row>
    <row r="2393" spans="1:14" x14ac:dyDescent="0.25">
      <c r="A2393">
        <v>1645.0000010000001</v>
      </c>
      <c r="B2393" s="1">
        <f>DATE(2014,11,1) + TIME(0,0,0)</f>
        <v>41944</v>
      </c>
      <c r="C2393">
        <v>90</v>
      </c>
      <c r="D2393">
        <v>89.958801269999995</v>
      </c>
      <c r="E2393">
        <v>30</v>
      </c>
      <c r="F2393">
        <v>44.456363678000002</v>
      </c>
      <c r="G2393">
        <v>1362.0648193</v>
      </c>
      <c r="H2393">
        <v>1351.6081543</v>
      </c>
      <c r="I2393">
        <v>1304.1920166</v>
      </c>
      <c r="J2393">
        <v>1278.5970459</v>
      </c>
      <c r="K2393">
        <v>0</v>
      </c>
      <c r="L2393">
        <v>2400</v>
      </c>
      <c r="M2393">
        <v>2400</v>
      </c>
      <c r="N2393">
        <v>0</v>
      </c>
    </row>
    <row r="2394" spans="1:14" x14ac:dyDescent="0.25">
      <c r="A2394">
        <v>1645.000004</v>
      </c>
      <c r="B2394" s="1">
        <f>DATE(2014,11,1) + TIME(0,0,0)</f>
        <v>41944</v>
      </c>
      <c r="C2394">
        <v>90</v>
      </c>
      <c r="D2394">
        <v>89.958488463999998</v>
      </c>
      <c r="E2394">
        <v>30</v>
      </c>
      <c r="F2394">
        <v>44.456649779999999</v>
      </c>
      <c r="G2394">
        <v>1359.9045410000001</v>
      </c>
      <c r="H2394">
        <v>1349.4475098</v>
      </c>
      <c r="I2394">
        <v>1306.6428223</v>
      </c>
      <c r="J2394">
        <v>1281.4339600000001</v>
      </c>
      <c r="K2394">
        <v>0</v>
      </c>
      <c r="L2394">
        <v>2400</v>
      </c>
      <c r="M2394">
        <v>2400</v>
      </c>
      <c r="N2394">
        <v>0</v>
      </c>
    </row>
    <row r="2395" spans="1:14" x14ac:dyDescent="0.25">
      <c r="A2395">
        <v>1645.0000130000001</v>
      </c>
      <c r="B2395" s="1">
        <f>DATE(2014,11,1) + TIME(0,0,1)</f>
        <v>41944.000011574077</v>
      </c>
      <c r="C2395">
        <v>90</v>
      </c>
      <c r="D2395">
        <v>89.957862853999998</v>
      </c>
      <c r="E2395">
        <v>30</v>
      </c>
      <c r="F2395">
        <v>44.457275391000003</v>
      </c>
      <c r="G2395">
        <v>1355.6837158000001</v>
      </c>
      <c r="H2395">
        <v>1345.2264404</v>
      </c>
      <c r="I2395">
        <v>1312.4592285000001</v>
      </c>
      <c r="J2395">
        <v>1287.9188231999999</v>
      </c>
      <c r="K2395">
        <v>0</v>
      </c>
      <c r="L2395">
        <v>2400</v>
      </c>
      <c r="M2395">
        <v>2400</v>
      </c>
      <c r="N2395">
        <v>0</v>
      </c>
    </row>
    <row r="2396" spans="1:14" x14ac:dyDescent="0.25">
      <c r="A2396">
        <v>1645.0000399999999</v>
      </c>
      <c r="B2396" s="1">
        <f>DATE(2014,11,1) + TIME(0,0,3)</f>
        <v>41944.000034722223</v>
      </c>
      <c r="C2396">
        <v>90</v>
      </c>
      <c r="D2396">
        <v>89.956985474000007</v>
      </c>
      <c r="E2396">
        <v>30</v>
      </c>
      <c r="F2396">
        <v>44.458095551</v>
      </c>
      <c r="G2396">
        <v>1349.7388916</v>
      </c>
      <c r="H2396">
        <v>1339.2833252</v>
      </c>
      <c r="I2396">
        <v>1322.9927978999999</v>
      </c>
      <c r="J2396">
        <v>1298.9499512</v>
      </c>
      <c r="K2396">
        <v>0</v>
      </c>
      <c r="L2396">
        <v>2400</v>
      </c>
      <c r="M2396">
        <v>2400</v>
      </c>
      <c r="N2396">
        <v>0</v>
      </c>
    </row>
    <row r="2397" spans="1:14" x14ac:dyDescent="0.25">
      <c r="A2397">
        <v>1645.000121</v>
      </c>
      <c r="B2397" s="1">
        <f>DATE(2014,11,1) + TIME(0,0,10)</f>
        <v>41944.000115740739</v>
      </c>
      <c r="C2397">
        <v>90</v>
      </c>
      <c r="D2397">
        <v>89.956024170000006</v>
      </c>
      <c r="E2397">
        <v>30</v>
      </c>
      <c r="F2397">
        <v>44.458209990999997</v>
      </c>
      <c r="G2397">
        <v>1343.2585449000001</v>
      </c>
      <c r="H2397">
        <v>1332.8067627</v>
      </c>
      <c r="I2397">
        <v>1336.8648682</v>
      </c>
      <c r="J2397">
        <v>1312.8537598</v>
      </c>
      <c r="K2397">
        <v>0</v>
      </c>
      <c r="L2397">
        <v>2400</v>
      </c>
      <c r="M2397">
        <v>2400</v>
      </c>
      <c r="N2397">
        <v>0</v>
      </c>
    </row>
    <row r="2398" spans="1:14" x14ac:dyDescent="0.25">
      <c r="A2398">
        <v>1645.000364</v>
      </c>
      <c r="B2398" s="1">
        <f>DATE(2014,11,1) + TIME(0,0,31)</f>
        <v>41944.000358796293</v>
      </c>
      <c r="C2398">
        <v>90</v>
      </c>
      <c r="D2398">
        <v>89.955024718999994</v>
      </c>
      <c r="E2398">
        <v>30</v>
      </c>
      <c r="F2398">
        <v>44.455245972</v>
      </c>
      <c r="G2398">
        <v>1336.7661132999999</v>
      </c>
      <c r="H2398">
        <v>1326.3150635</v>
      </c>
      <c r="I2398">
        <v>1351.7281493999999</v>
      </c>
      <c r="J2398">
        <v>1327.6765137</v>
      </c>
      <c r="K2398">
        <v>0</v>
      </c>
      <c r="L2398">
        <v>2400</v>
      </c>
      <c r="M2398">
        <v>2400</v>
      </c>
      <c r="N2398">
        <v>0</v>
      </c>
    </row>
    <row r="2399" spans="1:14" x14ac:dyDescent="0.25">
      <c r="A2399">
        <v>1645.0010930000001</v>
      </c>
      <c r="B2399" s="1">
        <f>DATE(2014,11,1) + TIME(0,1,34)</f>
        <v>41944.001087962963</v>
      </c>
      <c r="C2399">
        <v>90</v>
      </c>
      <c r="D2399">
        <v>89.953918457</v>
      </c>
      <c r="E2399">
        <v>30</v>
      </c>
      <c r="F2399">
        <v>44.442745209000002</v>
      </c>
      <c r="G2399">
        <v>1330.1970214999999</v>
      </c>
      <c r="H2399">
        <v>1319.6979980000001</v>
      </c>
      <c r="I2399">
        <v>1366.7751464999999</v>
      </c>
      <c r="J2399">
        <v>1342.7049560999999</v>
      </c>
      <c r="K2399">
        <v>0</v>
      </c>
      <c r="L2399">
        <v>2400</v>
      </c>
      <c r="M2399">
        <v>2400</v>
      </c>
      <c r="N2399">
        <v>0</v>
      </c>
    </row>
    <row r="2400" spans="1:14" x14ac:dyDescent="0.25">
      <c r="A2400">
        <v>1645.0032799999999</v>
      </c>
      <c r="B2400" s="1">
        <f>DATE(2014,11,1) + TIME(0,4,43)</f>
        <v>41944.003275462965</v>
      </c>
      <c r="C2400">
        <v>90</v>
      </c>
      <c r="D2400">
        <v>89.952484131000006</v>
      </c>
      <c r="E2400">
        <v>30</v>
      </c>
      <c r="F2400">
        <v>44.401420592999997</v>
      </c>
      <c r="G2400">
        <v>1323.2938231999999</v>
      </c>
      <c r="H2400">
        <v>1312.6279297000001</v>
      </c>
      <c r="I2400">
        <v>1381.6795654</v>
      </c>
      <c r="J2400">
        <v>1357.4630127</v>
      </c>
      <c r="K2400">
        <v>0</v>
      </c>
      <c r="L2400">
        <v>2400</v>
      </c>
      <c r="M2400">
        <v>2400</v>
      </c>
      <c r="N2400">
        <v>0</v>
      </c>
    </row>
    <row r="2401" spans="1:14" x14ac:dyDescent="0.25">
      <c r="A2401">
        <v>1645.0098410000001</v>
      </c>
      <c r="B2401" s="1">
        <f>DATE(2014,11,1) + TIME(0,14,10)</f>
        <v>41944.009837962964</v>
      </c>
      <c r="C2401">
        <v>90</v>
      </c>
      <c r="D2401">
        <v>89.950180054</v>
      </c>
      <c r="E2401">
        <v>30</v>
      </c>
      <c r="F2401">
        <v>44.273399353000002</v>
      </c>
      <c r="G2401">
        <v>1316.3140868999999</v>
      </c>
      <c r="H2401">
        <v>1305.4506836</v>
      </c>
      <c r="I2401">
        <v>1395.0377197</v>
      </c>
      <c r="J2401">
        <v>1370.5041504000001</v>
      </c>
      <c r="K2401">
        <v>0</v>
      </c>
      <c r="L2401">
        <v>2400</v>
      </c>
      <c r="M2401">
        <v>2400</v>
      </c>
      <c r="N2401">
        <v>0</v>
      </c>
    </row>
    <row r="2402" spans="1:14" x14ac:dyDescent="0.25">
      <c r="A2402">
        <v>1645.029524</v>
      </c>
      <c r="B2402" s="1">
        <f>DATE(2014,11,1) + TIME(0,42,30)</f>
        <v>41944.029513888891</v>
      </c>
      <c r="C2402">
        <v>90</v>
      </c>
      <c r="D2402">
        <v>89.945556640999996</v>
      </c>
      <c r="E2402">
        <v>30</v>
      </c>
      <c r="F2402">
        <v>43.892925261999999</v>
      </c>
      <c r="G2402">
        <v>1310.6671143000001</v>
      </c>
      <c r="H2402">
        <v>1299.7038574000001</v>
      </c>
      <c r="I2402">
        <v>1404.3339844</v>
      </c>
      <c r="J2402">
        <v>1379.4277344</v>
      </c>
      <c r="K2402">
        <v>0</v>
      </c>
      <c r="L2402">
        <v>2400</v>
      </c>
      <c r="M2402">
        <v>2400</v>
      </c>
      <c r="N2402">
        <v>0</v>
      </c>
    </row>
    <row r="2403" spans="1:14" x14ac:dyDescent="0.25">
      <c r="A2403">
        <v>1645.074253</v>
      </c>
      <c r="B2403" s="1">
        <f>DATE(2014,11,1) + TIME(1,46,55)</f>
        <v>41944.074247685188</v>
      </c>
      <c r="C2403">
        <v>90</v>
      </c>
      <c r="D2403">
        <v>89.936828613000003</v>
      </c>
      <c r="E2403">
        <v>30</v>
      </c>
      <c r="F2403">
        <v>43.078365325999997</v>
      </c>
      <c r="G2403">
        <v>1308.0085449000001</v>
      </c>
      <c r="H2403">
        <v>1297.0181885</v>
      </c>
      <c r="I2403">
        <v>1408.1730957</v>
      </c>
      <c r="J2403">
        <v>1382.9285889</v>
      </c>
      <c r="K2403">
        <v>0</v>
      </c>
      <c r="L2403">
        <v>2400</v>
      </c>
      <c r="M2403">
        <v>2400</v>
      </c>
      <c r="N2403">
        <v>0</v>
      </c>
    </row>
    <row r="2404" spans="1:14" x14ac:dyDescent="0.25">
      <c r="A2404">
        <v>1645.1219369999999</v>
      </c>
      <c r="B2404" s="1">
        <f>DATE(2014,11,1) + TIME(2,55,35)</f>
        <v>41944.121932870374</v>
      </c>
      <c r="C2404">
        <v>90</v>
      </c>
      <c r="D2404">
        <v>89.927978515999996</v>
      </c>
      <c r="E2404">
        <v>30</v>
      </c>
      <c r="F2404">
        <v>42.268341063999998</v>
      </c>
      <c r="G2404">
        <v>1307.3389893000001</v>
      </c>
      <c r="H2404">
        <v>1296.3435059000001</v>
      </c>
      <c r="I2404">
        <v>1409.0985106999999</v>
      </c>
      <c r="J2404">
        <v>1383.6159668</v>
      </c>
      <c r="K2404">
        <v>0</v>
      </c>
      <c r="L2404">
        <v>2400</v>
      </c>
      <c r="M2404">
        <v>2400</v>
      </c>
      <c r="N2404">
        <v>0</v>
      </c>
    </row>
    <row r="2405" spans="1:14" x14ac:dyDescent="0.25">
      <c r="A2405">
        <v>1645.173243</v>
      </c>
      <c r="B2405" s="1">
        <f>DATE(2014,11,1) + TIME(4,9,28)</f>
        <v>41944.17324074074</v>
      </c>
      <c r="C2405">
        <v>90</v>
      </c>
      <c r="D2405">
        <v>89.918708800999994</v>
      </c>
      <c r="E2405">
        <v>30</v>
      </c>
      <c r="F2405">
        <v>41.459827423</v>
      </c>
      <c r="G2405">
        <v>1307.1580810999999</v>
      </c>
      <c r="H2405">
        <v>1296.1612548999999</v>
      </c>
      <c r="I2405">
        <v>1409.4204102000001</v>
      </c>
      <c r="J2405">
        <v>1383.71875</v>
      </c>
      <c r="K2405">
        <v>0</v>
      </c>
      <c r="L2405">
        <v>2400</v>
      </c>
      <c r="M2405">
        <v>2400</v>
      </c>
      <c r="N2405">
        <v>0</v>
      </c>
    </row>
    <row r="2406" spans="1:14" x14ac:dyDescent="0.25">
      <c r="A2406">
        <v>1645.228746</v>
      </c>
      <c r="B2406" s="1">
        <f>DATE(2014,11,1) + TIME(5,29,23)</f>
        <v>41944.228738425925</v>
      </c>
      <c r="C2406">
        <v>90</v>
      </c>
      <c r="D2406">
        <v>89.908905028999996</v>
      </c>
      <c r="E2406">
        <v>30</v>
      </c>
      <c r="F2406">
        <v>40.652690886999999</v>
      </c>
      <c r="G2406">
        <v>1307.1046143000001</v>
      </c>
      <c r="H2406">
        <v>1296.1071777</v>
      </c>
      <c r="I2406">
        <v>1409.6185303</v>
      </c>
      <c r="J2406">
        <v>1383.7004394999999</v>
      </c>
      <c r="K2406">
        <v>0</v>
      </c>
      <c r="L2406">
        <v>2400</v>
      </c>
      <c r="M2406">
        <v>2400</v>
      </c>
      <c r="N2406">
        <v>0</v>
      </c>
    </row>
    <row r="2407" spans="1:14" x14ac:dyDescent="0.25">
      <c r="A2407">
        <v>1645.289104</v>
      </c>
      <c r="B2407" s="1">
        <f>DATE(2014,11,1) + TIME(6,56,18)</f>
        <v>41944.289097222223</v>
      </c>
      <c r="C2407">
        <v>90</v>
      </c>
      <c r="D2407">
        <v>89.898475646999998</v>
      </c>
      <c r="E2407">
        <v>30</v>
      </c>
      <c r="F2407">
        <v>39.847400665000002</v>
      </c>
      <c r="G2407">
        <v>1307.0853271000001</v>
      </c>
      <c r="H2407">
        <v>1296.0876464999999</v>
      </c>
      <c r="I2407">
        <v>1409.7966309000001</v>
      </c>
      <c r="J2407">
        <v>1383.6613769999999</v>
      </c>
      <c r="K2407">
        <v>0</v>
      </c>
      <c r="L2407">
        <v>2400</v>
      </c>
      <c r="M2407">
        <v>2400</v>
      </c>
      <c r="N2407">
        <v>0</v>
      </c>
    </row>
    <row r="2408" spans="1:14" x14ac:dyDescent="0.25">
      <c r="A2408">
        <v>1645.3551199999999</v>
      </c>
      <c r="B2408" s="1">
        <f>DATE(2014,11,1) + TIME(8,31,22)</f>
        <v>41944.355115740742</v>
      </c>
      <c r="C2408">
        <v>90</v>
      </c>
      <c r="D2408">
        <v>89.887329101999995</v>
      </c>
      <c r="E2408">
        <v>30</v>
      </c>
      <c r="F2408">
        <v>39.044746398999997</v>
      </c>
      <c r="G2408">
        <v>1307.0755615</v>
      </c>
      <c r="H2408">
        <v>1296.0777588000001</v>
      </c>
      <c r="I2408">
        <v>1409.9748535000001</v>
      </c>
      <c r="J2408">
        <v>1383.6212158000001</v>
      </c>
      <c r="K2408">
        <v>0</v>
      </c>
      <c r="L2408">
        <v>2400</v>
      </c>
      <c r="M2408">
        <v>2400</v>
      </c>
      <c r="N2408">
        <v>0</v>
      </c>
    </row>
    <row r="2409" spans="1:14" x14ac:dyDescent="0.25">
      <c r="A2409">
        <v>1645.4278019999999</v>
      </c>
      <c r="B2409" s="1">
        <f>DATE(2014,11,1) + TIME(10,16,2)</f>
        <v>41944.427800925929</v>
      </c>
      <c r="C2409">
        <v>90</v>
      </c>
      <c r="D2409">
        <v>89.875343322999996</v>
      </c>
      <c r="E2409">
        <v>30</v>
      </c>
      <c r="F2409">
        <v>38.245422363000003</v>
      </c>
      <c r="G2409">
        <v>1307.0684814000001</v>
      </c>
      <c r="H2409">
        <v>1296.0703125</v>
      </c>
      <c r="I2409">
        <v>1410.15625</v>
      </c>
      <c r="J2409">
        <v>1383.5828856999999</v>
      </c>
      <c r="K2409">
        <v>0</v>
      </c>
      <c r="L2409">
        <v>2400</v>
      </c>
      <c r="M2409">
        <v>2400</v>
      </c>
      <c r="N2409">
        <v>0</v>
      </c>
    </row>
    <row r="2410" spans="1:14" x14ac:dyDescent="0.25">
      <c r="A2410">
        <v>1645.5084549999999</v>
      </c>
      <c r="B2410" s="1">
        <f>DATE(2014,11,1) + TIME(12,12,10)</f>
        <v>41944.508449074077</v>
      </c>
      <c r="C2410">
        <v>90</v>
      </c>
      <c r="D2410">
        <v>89.862373352000006</v>
      </c>
      <c r="E2410">
        <v>30</v>
      </c>
      <c r="F2410">
        <v>37.450328827</v>
      </c>
      <c r="G2410">
        <v>1307.0620117000001</v>
      </c>
      <c r="H2410">
        <v>1296.0634766000001</v>
      </c>
      <c r="I2410">
        <v>1410.3404541</v>
      </c>
      <c r="J2410">
        <v>1383.546875</v>
      </c>
      <c r="K2410">
        <v>0</v>
      </c>
      <c r="L2410">
        <v>2400</v>
      </c>
      <c r="M2410">
        <v>2400</v>
      </c>
      <c r="N2410">
        <v>0</v>
      </c>
    </row>
    <row r="2411" spans="1:14" x14ac:dyDescent="0.25">
      <c r="A2411">
        <v>1645.598743</v>
      </c>
      <c r="B2411" s="1">
        <f>DATE(2014,11,1) + TIME(14,22,11)</f>
        <v>41944.598738425928</v>
      </c>
      <c r="C2411">
        <v>90</v>
      </c>
      <c r="D2411">
        <v>89.848258971999996</v>
      </c>
      <c r="E2411">
        <v>30</v>
      </c>
      <c r="F2411">
        <v>36.660972594999997</v>
      </c>
      <c r="G2411">
        <v>1307.0552978999999</v>
      </c>
      <c r="H2411">
        <v>1296.0565185999999</v>
      </c>
      <c r="I2411">
        <v>1410.5272216999999</v>
      </c>
      <c r="J2411">
        <v>1383.5131836</v>
      </c>
      <c r="K2411">
        <v>0</v>
      </c>
      <c r="L2411">
        <v>2400</v>
      </c>
      <c r="M2411">
        <v>2400</v>
      </c>
      <c r="N2411">
        <v>0</v>
      </c>
    </row>
    <row r="2412" spans="1:14" x14ac:dyDescent="0.25">
      <c r="A2412">
        <v>1645.696152</v>
      </c>
      <c r="B2412" s="1">
        <f>DATE(2014,11,1) + TIME(16,42,27)</f>
        <v>41944.696145833332</v>
      </c>
      <c r="C2412">
        <v>90</v>
      </c>
      <c r="D2412">
        <v>89.833396911999998</v>
      </c>
      <c r="E2412">
        <v>30</v>
      </c>
      <c r="F2412">
        <v>35.911224365000002</v>
      </c>
      <c r="G2412">
        <v>1307.0482178</v>
      </c>
      <c r="H2412">
        <v>1296.0490723</v>
      </c>
      <c r="I2412">
        <v>1410.7073975000001</v>
      </c>
      <c r="J2412">
        <v>1383.4835204999999</v>
      </c>
      <c r="K2412">
        <v>0</v>
      </c>
      <c r="L2412">
        <v>2400</v>
      </c>
      <c r="M2412">
        <v>2400</v>
      </c>
      <c r="N2412">
        <v>0</v>
      </c>
    </row>
    <row r="2413" spans="1:14" x14ac:dyDescent="0.25">
      <c r="A2413">
        <v>1645.7952009999999</v>
      </c>
      <c r="B2413" s="1">
        <f>DATE(2014,11,1) + TIME(19,5,5)</f>
        <v>41944.79519675926</v>
      </c>
      <c r="C2413">
        <v>90</v>
      </c>
      <c r="D2413">
        <v>89.818550110000004</v>
      </c>
      <c r="E2413">
        <v>30</v>
      </c>
      <c r="F2413">
        <v>35.240345001000001</v>
      </c>
      <c r="G2413">
        <v>1307.0408935999999</v>
      </c>
      <c r="H2413">
        <v>1296.0413818</v>
      </c>
      <c r="I2413">
        <v>1410.8713379000001</v>
      </c>
      <c r="J2413">
        <v>1383.4599608999999</v>
      </c>
      <c r="K2413">
        <v>0</v>
      </c>
      <c r="L2413">
        <v>2400</v>
      </c>
      <c r="M2413">
        <v>2400</v>
      </c>
      <c r="N2413">
        <v>0</v>
      </c>
    </row>
    <row r="2414" spans="1:14" x14ac:dyDescent="0.25">
      <c r="A2414">
        <v>1645.89663</v>
      </c>
      <c r="B2414" s="1">
        <f>DATE(2014,11,1) + TIME(21,31,8)</f>
        <v>41944.896620370368</v>
      </c>
      <c r="C2414">
        <v>90</v>
      </c>
      <c r="D2414">
        <v>89.803611755000006</v>
      </c>
      <c r="E2414">
        <v>30</v>
      </c>
      <c r="F2414">
        <v>34.636619568</v>
      </c>
      <c r="G2414">
        <v>1307.0336914</v>
      </c>
      <c r="H2414">
        <v>1296.0338135</v>
      </c>
      <c r="I2414">
        <v>1411.0220947</v>
      </c>
      <c r="J2414">
        <v>1383.4417725000001</v>
      </c>
      <c r="K2414">
        <v>0</v>
      </c>
      <c r="L2414">
        <v>2400</v>
      </c>
      <c r="M2414">
        <v>2400</v>
      </c>
      <c r="N2414">
        <v>0</v>
      </c>
    </row>
    <row r="2415" spans="1:14" x14ac:dyDescent="0.25">
      <c r="A2415">
        <v>1646.0008210000001</v>
      </c>
      <c r="B2415" s="1">
        <f>DATE(2014,11,2) + TIME(0,1,10)</f>
        <v>41945.000810185185</v>
      </c>
      <c r="C2415">
        <v>90</v>
      </c>
      <c r="D2415">
        <v>89.788528442</v>
      </c>
      <c r="E2415">
        <v>30</v>
      </c>
      <c r="F2415">
        <v>34.092643738</v>
      </c>
      <c r="G2415">
        <v>1307.0264893000001</v>
      </c>
      <c r="H2415">
        <v>1296.0262451000001</v>
      </c>
      <c r="I2415">
        <v>1411.1610106999999</v>
      </c>
      <c r="J2415">
        <v>1383.4284668</v>
      </c>
      <c r="K2415">
        <v>0</v>
      </c>
      <c r="L2415">
        <v>2400</v>
      </c>
      <c r="M2415">
        <v>2400</v>
      </c>
      <c r="N2415">
        <v>0</v>
      </c>
    </row>
    <row r="2416" spans="1:14" x14ac:dyDescent="0.25">
      <c r="A2416">
        <v>1646.108189</v>
      </c>
      <c r="B2416" s="1">
        <f>DATE(2014,11,2) + TIME(2,35,47)</f>
        <v>41945.108182870368</v>
      </c>
      <c r="C2416">
        <v>90</v>
      </c>
      <c r="D2416">
        <v>89.773246764999996</v>
      </c>
      <c r="E2416">
        <v>30</v>
      </c>
      <c r="F2416">
        <v>33.602130889999998</v>
      </c>
      <c r="G2416">
        <v>1307.0192870999999</v>
      </c>
      <c r="H2416">
        <v>1296.0185547000001</v>
      </c>
      <c r="I2416">
        <v>1411.2891846</v>
      </c>
      <c r="J2416">
        <v>1383.4199219</v>
      </c>
      <c r="K2416">
        <v>0</v>
      </c>
      <c r="L2416">
        <v>2400</v>
      </c>
      <c r="M2416">
        <v>2400</v>
      </c>
      <c r="N2416">
        <v>0</v>
      </c>
    </row>
    <row r="2417" spans="1:14" x14ac:dyDescent="0.25">
      <c r="A2417">
        <v>1646.2191660000001</v>
      </c>
      <c r="B2417" s="1">
        <f>DATE(2014,11,2) + TIME(5,15,35)</f>
        <v>41945.219155092593</v>
      </c>
      <c r="C2417">
        <v>90</v>
      </c>
      <c r="D2417">
        <v>89.757698059000006</v>
      </c>
      <c r="E2417">
        <v>30</v>
      </c>
      <c r="F2417">
        <v>33.159778594999999</v>
      </c>
      <c r="G2417">
        <v>1307.0120850000001</v>
      </c>
      <c r="H2417">
        <v>1296.0108643000001</v>
      </c>
      <c r="I2417">
        <v>1411.4074707</v>
      </c>
      <c r="J2417">
        <v>1383.4155272999999</v>
      </c>
      <c r="K2417">
        <v>0</v>
      </c>
      <c r="L2417">
        <v>2400</v>
      </c>
      <c r="M2417">
        <v>2400</v>
      </c>
      <c r="N2417">
        <v>0</v>
      </c>
    </row>
    <row r="2418" spans="1:14" x14ac:dyDescent="0.25">
      <c r="A2418">
        <v>1646.3342150000001</v>
      </c>
      <c r="B2418" s="1">
        <f>DATE(2014,11,2) + TIME(8,1,16)</f>
        <v>41945.33421296296</v>
      </c>
      <c r="C2418">
        <v>90</v>
      </c>
      <c r="D2418">
        <v>89.741844177000004</v>
      </c>
      <c r="E2418">
        <v>30</v>
      </c>
      <c r="F2418">
        <v>32.761054993000002</v>
      </c>
      <c r="G2418">
        <v>1307.0047606999999</v>
      </c>
      <c r="H2418">
        <v>1296.0030518000001</v>
      </c>
      <c r="I2418">
        <v>1411.5168457</v>
      </c>
      <c r="J2418">
        <v>1383.4152832</v>
      </c>
      <c r="K2418">
        <v>0</v>
      </c>
      <c r="L2418">
        <v>2400</v>
      </c>
      <c r="M2418">
        <v>2400</v>
      </c>
      <c r="N2418">
        <v>0</v>
      </c>
    </row>
    <row r="2419" spans="1:14" x14ac:dyDescent="0.25">
      <c r="A2419">
        <v>1646.453798</v>
      </c>
      <c r="B2419" s="1">
        <f>DATE(2014,11,2) + TIME(10,53,28)</f>
        <v>41945.453796296293</v>
      </c>
      <c r="C2419">
        <v>90</v>
      </c>
      <c r="D2419">
        <v>89.725608825999998</v>
      </c>
      <c r="E2419">
        <v>30</v>
      </c>
      <c r="F2419">
        <v>32.402149199999997</v>
      </c>
      <c r="G2419">
        <v>1306.9973144999999</v>
      </c>
      <c r="H2419">
        <v>1295.9951172000001</v>
      </c>
      <c r="I2419">
        <v>1411.6177978999999</v>
      </c>
      <c r="J2419">
        <v>1383.4189452999999</v>
      </c>
      <c r="K2419">
        <v>0</v>
      </c>
      <c r="L2419">
        <v>2400</v>
      </c>
      <c r="M2419">
        <v>2400</v>
      </c>
      <c r="N2419">
        <v>0</v>
      </c>
    </row>
    <row r="2420" spans="1:14" x14ac:dyDescent="0.25">
      <c r="A2420">
        <v>1646.578514</v>
      </c>
      <c r="B2420" s="1">
        <f>DATE(2014,11,2) + TIME(13,53,3)</f>
        <v>41945.578506944446</v>
      </c>
      <c r="C2420">
        <v>90</v>
      </c>
      <c r="D2420">
        <v>89.708930968999994</v>
      </c>
      <c r="E2420">
        <v>30</v>
      </c>
      <c r="F2420">
        <v>32.079490661999998</v>
      </c>
      <c r="G2420">
        <v>1306.9897461</v>
      </c>
      <c r="H2420">
        <v>1295.9869385</v>
      </c>
      <c r="I2420">
        <v>1411.7114257999999</v>
      </c>
      <c r="J2420">
        <v>1383.4262695</v>
      </c>
      <c r="K2420">
        <v>0</v>
      </c>
      <c r="L2420">
        <v>2400</v>
      </c>
      <c r="M2420">
        <v>2400</v>
      </c>
      <c r="N2420">
        <v>0</v>
      </c>
    </row>
    <row r="2421" spans="1:14" x14ac:dyDescent="0.25">
      <c r="A2421">
        <v>1646.7090029999999</v>
      </c>
      <c r="B2421" s="1">
        <f>DATE(2014,11,2) + TIME(17,0,57)</f>
        <v>41945.708993055552</v>
      </c>
      <c r="C2421">
        <v>90</v>
      </c>
      <c r="D2421">
        <v>89.691749572999996</v>
      </c>
      <c r="E2421">
        <v>30</v>
      </c>
      <c r="F2421">
        <v>31.790033340000001</v>
      </c>
      <c r="G2421">
        <v>1306.9820557</v>
      </c>
      <c r="H2421">
        <v>1295.9786377</v>
      </c>
      <c r="I2421">
        <v>1411.7980957</v>
      </c>
      <c r="J2421">
        <v>1383.4373779</v>
      </c>
      <c r="K2421">
        <v>0</v>
      </c>
      <c r="L2421">
        <v>2400</v>
      </c>
      <c r="M2421">
        <v>2400</v>
      </c>
      <c r="N2421">
        <v>0</v>
      </c>
    </row>
    <row r="2422" spans="1:14" x14ac:dyDescent="0.25">
      <c r="A2422">
        <v>1646.845992</v>
      </c>
      <c r="B2422" s="1">
        <f>DATE(2014,11,2) + TIME(20,18,13)</f>
        <v>41945.845983796295</v>
      </c>
      <c r="C2422">
        <v>90</v>
      </c>
      <c r="D2422">
        <v>89.673965453999998</v>
      </c>
      <c r="E2422">
        <v>30</v>
      </c>
      <c r="F2422">
        <v>31.531061172000001</v>
      </c>
      <c r="G2422">
        <v>1306.973999</v>
      </c>
      <c r="H2422">
        <v>1295.9700928</v>
      </c>
      <c r="I2422">
        <v>1411.8785399999999</v>
      </c>
      <c r="J2422">
        <v>1383.4520264</v>
      </c>
      <c r="K2422">
        <v>0</v>
      </c>
      <c r="L2422">
        <v>2400</v>
      </c>
      <c r="M2422">
        <v>2400</v>
      </c>
      <c r="N2422">
        <v>0</v>
      </c>
    </row>
    <row r="2423" spans="1:14" x14ac:dyDescent="0.25">
      <c r="A2423">
        <v>1646.9903179999999</v>
      </c>
      <c r="B2423" s="1">
        <f>DATE(2014,11,2) + TIME(23,46,3)</f>
        <v>41945.990312499998</v>
      </c>
      <c r="C2423">
        <v>90</v>
      </c>
      <c r="D2423">
        <v>89.655502318999993</v>
      </c>
      <c r="E2423">
        <v>30</v>
      </c>
      <c r="F2423">
        <v>31.300140380999999</v>
      </c>
      <c r="G2423">
        <v>1306.9658202999999</v>
      </c>
      <c r="H2423">
        <v>1295.9611815999999</v>
      </c>
      <c r="I2423">
        <v>1411.9533690999999</v>
      </c>
      <c r="J2423">
        <v>1383.4700928</v>
      </c>
      <c r="K2423">
        <v>0</v>
      </c>
      <c r="L2423">
        <v>2400</v>
      </c>
      <c r="M2423">
        <v>2400</v>
      </c>
      <c r="N2423">
        <v>0</v>
      </c>
    </row>
    <row r="2424" spans="1:14" x14ac:dyDescent="0.25">
      <c r="A2424">
        <v>1647.142961</v>
      </c>
      <c r="B2424" s="1">
        <f>DATE(2014,11,3) + TIME(3,25,51)</f>
        <v>41946.142951388887</v>
      </c>
      <c r="C2424">
        <v>90</v>
      </c>
      <c r="D2424">
        <v>89.636253357000001</v>
      </c>
      <c r="E2424">
        <v>30</v>
      </c>
      <c r="F2424">
        <v>31.095058440999999</v>
      </c>
      <c r="G2424">
        <v>1306.9572754000001</v>
      </c>
      <c r="H2424">
        <v>1295.9520264</v>
      </c>
      <c r="I2424">
        <v>1412.0231934000001</v>
      </c>
      <c r="J2424">
        <v>1383.4918213000001</v>
      </c>
      <c r="K2424">
        <v>0</v>
      </c>
      <c r="L2424">
        <v>2400</v>
      </c>
      <c r="M2424">
        <v>2400</v>
      </c>
      <c r="N2424">
        <v>0</v>
      </c>
    </row>
    <row r="2425" spans="1:14" x14ac:dyDescent="0.25">
      <c r="A2425">
        <v>1647.3050780000001</v>
      </c>
      <c r="B2425" s="1">
        <f>DATE(2014,11,3) + TIME(7,19,18)</f>
        <v>41946.305069444446</v>
      </c>
      <c r="C2425">
        <v>90</v>
      </c>
      <c r="D2425">
        <v>89.616111755000006</v>
      </c>
      <c r="E2425">
        <v>30</v>
      </c>
      <c r="F2425">
        <v>30.913795471</v>
      </c>
      <c r="G2425">
        <v>1306.9484863</v>
      </c>
      <c r="H2425">
        <v>1295.9423827999999</v>
      </c>
      <c r="I2425">
        <v>1412.0883789</v>
      </c>
      <c r="J2425">
        <v>1383.5169678</v>
      </c>
      <c r="K2425">
        <v>0</v>
      </c>
      <c r="L2425">
        <v>2400</v>
      </c>
      <c r="M2425">
        <v>2400</v>
      </c>
      <c r="N2425">
        <v>0</v>
      </c>
    </row>
    <row r="2426" spans="1:14" x14ac:dyDescent="0.25">
      <c r="A2426">
        <v>1647.4780539999999</v>
      </c>
      <c r="B2426" s="1">
        <f>DATE(2014,11,3) + TIME(11,28,23)</f>
        <v>41946.478043981479</v>
      </c>
      <c r="C2426">
        <v>90</v>
      </c>
      <c r="D2426">
        <v>89.594924926999994</v>
      </c>
      <c r="E2426">
        <v>30</v>
      </c>
      <c r="F2426">
        <v>30.754491806000001</v>
      </c>
      <c r="G2426">
        <v>1306.9390868999999</v>
      </c>
      <c r="H2426">
        <v>1295.932251</v>
      </c>
      <c r="I2426">
        <v>1412.1495361</v>
      </c>
      <c r="J2426">
        <v>1383.5456543</v>
      </c>
      <c r="K2426">
        <v>0</v>
      </c>
      <c r="L2426">
        <v>2400</v>
      </c>
      <c r="M2426">
        <v>2400</v>
      </c>
      <c r="N2426">
        <v>0</v>
      </c>
    </row>
    <row r="2427" spans="1:14" x14ac:dyDescent="0.25">
      <c r="A2427">
        <v>1647.663564</v>
      </c>
      <c r="B2427" s="1">
        <f>DATE(2014,11,3) + TIME(15,55,31)</f>
        <v>41946.663553240738</v>
      </c>
      <c r="C2427">
        <v>90</v>
      </c>
      <c r="D2427">
        <v>89.572540282999995</v>
      </c>
      <c r="E2427">
        <v>30</v>
      </c>
      <c r="F2427">
        <v>30.615417480000001</v>
      </c>
      <c r="G2427">
        <v>1306.9293213000001</v>
      </c>
      <c r="H2427">
        <v>1295.9216309000001</v>
      </c>
      <c r="I2427">
        <v>1412.2071533000001</v>
      </c>
      <c r="J2427">
        <v>1383.5778809000001</v>
      </c>
      <c r="K2427">
        <v>0</v>
      </c>
      <c r="L2427">
        <v>2400</v>
      </c>
      <c r="M2427">
        <v>2400</v>
      </c>
      <c r="N2427">
        <v>0</v>
      </c>
    </row>
    <row r="2428" spans="1:14" x14ac:dyDescent="0.25">
      <c r="A2428">
        <v>1647.863666</v>
      </c>
      <c r="B2428" s="1">
        <f>DATE(2014,11,3) + TIME(20,43,40)</f>
        <v>41946.863657407404</v>
      </c>
      <c r="C2428">
        <v>90</v>
      </c>
      <c r="D2428">
        <v>89.548759459999999</v>
      </c>
      <c r="E2428">
        <v>30</v>
      </c>
      <c r="F2428">
        <v>30.494953156000001</v>
      </c>
      <c r="G2428">
        <v>1306.9189452999999</v>
      </c>
      <c r="H2428">
        <v>1295.9104004000001</v>
      </c>
      <c r="I2428">
        <v>1412.2618408000001</v>
      </c>
      <c r="J2428">
        <v>1383.6138916</v>
      </c>
      <c r="K2428">
        <v>0</v>
      </c>
      <c r="L2428">
        <v>2400</v>
      </c>
      <c r="M2428">
        <v>2400</v>
      </c>
      <c r="N2428">
        <v>0</v>
      </c>
    </row>
    <row r="2429" spans="1:14" x14ac:dyDescent="0.25">
      <c r="A2429">
        <v>1648.070639</v>
      </c>
      <c r="B2429" s="1">
        <f>DATE(2014,11,4) + TIME(1,41,43)</f>
        <v>41947.070636574077</v>
      </c>
      <c r="C2429">
        <v>90</v>
      </c>
      <c r="D2429">
        <v>89.524299622000001</v>
      </c>
      <c r="E2429">
        <v>30</v>
      </c>
      <c r="F2429">
        <v>30.395486832</v>
      </c>
      <c r="G2429">
        <v>1306.9078368999999</v>
      </c>
      <c r="H2429">
        <v>1295.8983154</v>
      </c>
      <c r="I2429">
        <v>1412.3129882999999</v>
      </c>
      <c r="J2429">
        <v>1383.6539307</v>
      </c>
      <c r="K2429">
        <v>0</v>
      </c>
      <c r="L2429">
        <v>2400</v>
      </c>
      <c r="M2429">
        <v>2400</v>
      </c>
      <c r="N2429">
        <v>0</v>
      </c>
    </row>
    <row r="2430" spans="1:14" x14ac:dyDescent="0.25">
      <c r="A2430">
        <v>1648.2798809999999</v>
      </c>
      <c r="B2430" s="1">
        <f>DATE(2014,11,4) + TIME(6,43,1)</f>
        <v>41947.279872685183</v>
      </c>
      <c r="C2430">
        <v>90</v>
      </c>
      <c r="D2430">
        <v>89.499618530000006</v>
      </c>
      <c r="E2430">
        <v>30</v>
      </c>
      <c r="F2430">
        <v>30.315324783000001</v>
      </c>
      <c r="G2430">
        <v>1306.8964844</v>
      </c>
      <c r="H2430">
        <v>1295.8859863</v>
      </c>
      <c r="I2430">
        <v>1412.3598632999999</v>
      </c>
      <c r="J2430">
        <v>1383.6958007999999</v>
      </c>
      <c r="K2430">
        <v>0</v>
      </c>
      <c r="L2430">
        <v>2400</v>
      </c>
      <c r="M2430">
        <v>2400</v>
      </c>
      <c r="N2430">
        <v>0</v>
      </c>
    </row>
    <row r="2431" spans="1:14" x14ac:dyDescent="0.25">
      <c r="A2431">
        <v>1648.4922939999999</v>
      </c>
      <c r="B2431" s="1">
        <f>DATE(2014,11,4) + TIME(11,48,54)</f>
        <v>41947.492291666669</v>
      </c>
      <c r="C2431">
        <v>90</v>
      </c>
      <c r="D2431">
        <v>89.474647521999998</v>
      </c>
      <c r="E2431">
        <v>30</v>
      </c>
      <c r="F2431">
        <v>30.250602722</v>
      </c>
      <c r="G2431">
        <v>1306.8850098</v>
      </c>
      <c r="H2431">
        <v>1295.8736572</v>
      </c>
      <c r="I2431">
        <v>1412.402832</v>
      </c>
      <c r="J2431">
        <v>1383.7380370999999</v>
      </c>
      <c r="K2431">
        <v>0</v>
      </c>
      <c r="L2431">
        <v>2400</v>
      </c>
      <c r="M2431">
        <v>2400</v>
      </c>
      <c r="N2431">
        <v>0</v>
      </c>
    </row>
    <row r="2432" spans="1:14" x14ac:dyDescent="0.25">
      <c r="A2432">
        <v>1648.708721</v>
      </c>
      <c r="B2432" s="1">
        <f>DATE(2014,11,4) + TIME(17,0,33)</f>
        <v>41947.708715277775</v>
      </c>
      <c r="C2432">
        <v>90</v>
      </c>
      <c r="D2432">
        <v>89.449325561999999</v>
      </c>
      <c r="E2432">
        <v>30</v>
      </c>
      <c r="F2432">
        <v>30.198316574</v>
      </c>
      <c r="G2432">
        <v>1306.8735352000001</v>
      </c>
      <c r="H2432">
        <v>1295.8610839999999</v>
      </c>
      <c r="I2432">
        <v>1412.4425048999999</v>
      </c>
      <c r="J2432">
        <v>1383.7805175999999</v>
      </c>
      <c r="K2432">
        <v>0</v>
      </c>
      <c r="L2432">
        <v>2400</v>
      </c>
      <c r="M2432">
        <v>2400</v>
      </c>
      <c r="N2432">
        <v>0</v>
      </c>
    </row>
    <row r="2433" spans="1:14" x14ac:dyDescent="0.25">
      <c r="A2433">
        <v>1648.9299960000001</v>
      </c>
      <c r="B2433" s="1">
        <f>DATE(2014,11,4) + TIME(22,19,11)</f>
        <v>41947.929988425924</v>
      </c>
      <c r="C2433">
        <v>90</v>
      </c>
      <c r="D2433">
        <v>89.423583984000004</v>
      </c>
      <c r="E2433">
        <v>30</v>
      </c>
      <c r="F2433">
        <v>30.15609169</v>
      </c>
      <c r="G2433">
        <v>1306.8619385</v>
      </c>
      <c r="H2433">
        <v>1295.8483887</v>
      </c>
      <c r="I2433">
        <v>1412.4797363</v>
      </c>
      <c r="J2433">
        <v>1383.8231201000001</v>
      </c>
      <c r="K2433">
        <v>0</v>
      </c>
      <c r="L2433">
        <v>2400</v>
      </c>
      <c r="M2433">
        <v>2400</v>
      </c>
      <c r="N2433">
        <v>0</v>
      </c>
    </row>
    <row r="2434" spans="1:14" x14ac:dyDescent="0.25">
      <c r="A2434">
        <v>1649.156974</v>
      </c>
      <c r="B2434" s="1">
        <f>DATE(2014,11,5) + TIME(3,46,2)</f>
        <v>41948.156967592593</v>
      </c>
      <c r="C2434">
        <v>90</v>
      </c>
      <c r="D2434">
        <v>89.397361755000006</v>
      </c>
      <c r="E2434">
        <v>30</v>
      </c>
      <c r="F2434">
        <v>30.122037888000001</v>
      </c>
      <c r="G2434">
        <v>1306.8500977000001</v>
      </c>
      <c r="H2434">
        <v>1295.8355713000001</v>
      </c>
      <c r="I2434">
        <v>1412.5147704999999</v>
      </c>
      <c r="J2434">
        <v>1383.8659668</v>
      </c>
      <c r="K2434">
        <v>0</v>
      </c>
      <c r="L2434">
        <v>2400</v>
      </c>
      <c r="M2434">
        <v>2400</v>
      </c>
      <c r="N2434">
        <v>0</v>
      </c>
    </row>
    <row r="2435" spans="1:14" x14ac:dyDescent="0.25">
      <c r="A2435">
        <v>1649.3905520000001</v>
      </c>
      <c r="B2435" s="1">
        <f>DATE(2014,11,5) + TIME(9,22,23)</f>
        <v>41948.390543981484</v>
      </c>
      <c r="C2435">
        <v>90</v>
      </c>
      <c r="D2435">
        <v>89.370574950999995</v>
      </c>
      <c r="E2435">
        <v>30</v>
      </c>
      <c r="F2435">
        <v>30.094633102</v>
      </c>
      <c r="G2435">
        <v>1306.8381348</v>
      </c>
      <c r="H2435">
        <v>1295.8223877</v>
      </c>
      <c r="I2435">
        <v>1412.5480957</v>
      </c>
      <c r="J2435">
        <v>1383.9089355000001</v>
      </c>
      <c r="K2435">
        <v>0</v>
      </c>
      <c r="L2435">
        <v>2400</v>
      </c>
      <c r="M2435">
        <v>2400</v>
      </c>
      <c r="N2435">
        <v>0</v>
      </c>
    </row>
    <row r="2436" spans="1:14" x14ac:dyDescent="0.25">
      <c r="A2436">
        <v>1649.6316099999999</v>
      </c>
      <c r="B2436" s="1">
        <f>DATE(2014,11,5) + TIME(15,9,31)</f>
        <v>41948.631608796299</v>
      </c>
      <c r="C2436">
        <v>90</v>
      </c>
      <c r="D2436">
        <v>89.343147278000004</v>
      </c>
      <c r="E2436">
        <v>30</v>
      </c>
      <c r="F2436">
        <v>30.072647095000001</v>
      </c>
      <c r="G2436">
        <v>1306.8258057</v>
      </c>
      <c r="H2436">
        <v>1295.8089600000001</v>
      </c>
      <c r="I2436">
        <v>1412.5802002</v>
      </c>
      <c r="J2436">
        <v>1383.9520264</v>
      </c>
      <c r="K2436">
        <v>0</v>
      </c>
      <c r="L2436">
        <v>2400</v>
      </c>
      <c r="M2436">
        <v>2400</v>
      </c>
      <c r="N2436">
        <v>0</v>
      </c>
    </row>
    <row r="2437" spans="1:14" x14ac:dyDescent="0.25">
      <c r="A2437">
        <v>1649.8812439999999</v>
      </c>
      <c r="B2437" s="1">
        <f>DATE(2014,11,5) + TIME(21,8,59)</f>
        <v>41948.881238425929</v>
      </c>
      <c r="C2437">
        <v>90</v>
      </c>
      <c r="D2437">
        <v>89.314994811999995</v>
      </c>
      <c r="E2437">
        <v>30</v>
      </c>
      <c r="F2437">
        <v>30.055068970000001</v>
      </c>
      <c r="G2437">
        <v>1306.8131103999999</v>
      </c>
      <c r="H2437">
        <v>1295.7950439000001</v>
      </c>
      <c r="I2437">
        <v>1412.6112060999999</v>
      </c>
      <c r="J2437">
        <v>1383.9951172000001</v>
      </c>
      <c r="K2437">
        <v>0</v>
      </c>
      <c r="L2437">
        <v>2400</v>
      </c>
      <c r="M2437">
        <v>2400</v>
      </c>
      <c r="N2437">
        <v>0</v>
      </c>
    </row>
    <row r="2438" spans="1:14" x14ac:dyDescent="0.25">
      <c r="A2438">
        <v>1650.140643</v>
      </c>
      <c r="B2438" s="1">
        <f>DATE(2014,11,6) + TIME(3,22,31)</f>
        <v>41949.140636574077</v>
      </c>
      <c r="C2438">
        <v>90</v>
      </c>
      <c r="D2438">
        <v>89.285995482999994</v>
      </c>
      <c r="E2438">
        <v>30</v>
      </c>
      <c r="F2438">
        <v>30.041072844999999</v>
      </c>
      <c r="G2438">
        <v>1306.8001709</v>
      </c>
      <c r="H2438">
        <v>1295.7807617000001</v>
      </c>
      <c r="I2438">
        <v>1412.6414795000001</v>
      </c>
      <c r="J2438">
        <v>1384.0384521000001</v>
      </c>
      <c r="K2438">
        <v>0</v>
      </c>
      <c r="L2438">
        <v>2400</v>
      </c>
      <c r="M2438">
        <v>2400</v>
      </c>
      <c r="N2438">
        <v>0</v>
      </c>
    </row>
    <row r="2439" spans="1:14" x14ac:dyDescent="0.25">
      <c r="A2439">
        <v>1650.41112</v>
      </c>
      <c r="B2439" s="1">
        <f>DATE(2014,11,6) + TIME(9,52,0)</f>
        <v>41949.411111111112</v>
      </c>
      <c r="C2439">
        <v>90</v>
      </c>
      <c r="D2439">
        <v>89.256050110000004</v>
      </c>
      <c r="E2439">
        <v>30</v>
      </c>
      <c r="F2439">
        <v>30.029985428</v>
      </c>
      <c r="G2439">
        <v>1306.7866211</v>
      </c>
      <c r="H2439">
        <v>1295.7659911999999</v>
      </c>
      <c r="I2439">
        <v>1412.6712646000001</v>
      </c>
      <c r="J2439">
        <v>1384.0820312000001</v>
      </c>
      <c r="K2439">
        <v>0</v>
      </c>
      <c r="L2439">
        <v>2400</v>
      </c>
      <c r="M2439">
        <v>2400</v>
      </c>
      <c r="N2439">
        <v>0</v>
      </c>
    </row>
    <row r="2440" spans="1:14" x14ac:dyDescent="0.25">
      <c r="A2440">
        <v>1650.6941850000001</v>
      </c>
      <c r="B2440" s="1">
        <f>DATE(2014,11,6) + TIME(16,39,37)</f>
        <v>41949.694178240738</v>
      </c>
      <c r="C2440">
        <v>90</v>
      </c>
      <c r="D2440">
        <v>89.225013732999997</v>
      </c>
      <c r="E2440">
        <v>30</v>
      </c>
      <c r="F2440">
        <v>30.021253586</v>
      </c>
      <c r="G2440">
        <v>1306.7727050999999</v>
      </c>
      <c r="H2440">
        <v>1295.7506103999999</v>
      </c>
      <c r="I2440">
        <v>1412.7005615</v>
      </c>
      <c r="J2440">
        <v>1384.1258545000001</v>
      </c>
      <c r="K2440">
        <v>0</v>
      </c>
      <c r="L2440">
        <v>2400</v>
      </c>
      <c r="M2440">
        <v>2400</v>
      </c>
      <c r="N2440">
        <v>0</v>
      </c>
    </row>
    <row r="2441" spans="1:14" x14ac:dyDescent="0.25">
      <c r="A2441">
        <v>1650.991587</v>
      </c>
      <c r="B2441" s="1">
        <f>DATE(2014,11,6) + TIME(23,47,53)</f>
        <v>41949.991585648146</v>
      </c>
      <c r="C2441">
        <v>90</v>
      </c>
      <c r="D2441">
        <v>89.192741393999995</v>
      </c>
      <c r="E2441">
        <v>30</v>
      </c>
      <c r="F2441">
        <v>30.014417647999998</v>
      </c>
      <c r="G2441">
        <v>1306.7581786999999</v>
      </c>
      <c r="H2441">
        <v>1295.7346190999999</v>
      </c>
      <c r="I2441">
        <v>1412.7297363</v>
      </c>
      <c r="J2441">
        <v>1384.1699219</v>
      </c>
      <c r="K2441">
        <v>0</v>
      </c>
      <c r="L2441">
        <v>2400</v>
      </c>
      <c r="M2441">
        <v>2400</v>
      </c>
      <c r="N2441">
        <v>0</v>
      </c>
    </row>
    <row r="2442" spans="1:14" x14ac:dyDescent="0.25">
      <c r="A2442">
        <v>1651.305376</v>
      </c>
      <c r="B2442" s="1">
        <f>DATE(2014,11,7) + TIME(7,19,44)</f>
        <v>41950.30537037037</v>
      </c>
      <c r="C2442">
        <v>90</v>
      </c>
      <c r="D2442">
        <v>89.159065247000001</v>
      </c>
      <c r="E2442">
        <v>30</v>
      </c>
      <c r="F2442">
        <v>30.009107589999999</v>
      </c>
      <c r="G2442">
        <v>1306.7429199000001</v>
      </c>
      <c r="H2442">
        <v>1295.7178954999999</v>
      </c>
      <c r="I2442">
        <v>1412.7589111</v>
      </c>
      <c r="J2442">
        <v>1384.2145995999999</v>
      </c>
      <c r="K2442">
        <v>0</v>
      </c>
      <c r="L2442">
        <v>2400</v>
      </c>
      <c r="M2442">
        <v>2400</v>
      </c>
      <c r="N2442">
        <v>0</v>
      </c>
    </row>
    <row r="2443" spans="1:14" x14ac:dyDescent="0.25">
      <c r="A2443">
        <v>1651.6379910000001</v>
      </c>
      <c r="B2443" s="1">
        <f>DATE(2014,11,7) + TIME(15,18,42)</f>
        <v>41950.637986111113</v>
      </c>
      <c r="C2443">
        <v>90</v>
      </c>
      <c r="D2443">
        <v>89.123771667</v>
      </c>
      <c r="E2443">
        <v>30</v>
      </c>
      <c r="F2443">
        <v>30.005010604999999</v>
      </c>
      <c r="G2443">
        <v>1306.7268065999999</v>
      </c>
      <c r="H2443">
        <v>1295.7001952999999</v>
      </c>
      <c r="I2443">
        <v>1412.7882079999999</v>
      </c>
      <c r="J2443">
        <v>1384.2597656</v>
      </c>
      <c r="K2443">
        <v>0</v>
      </c>
      <c r="L2443">
        <v>2400</v>
      </c>
      <c r="M2443">
        <v>2400</v>
      </c>
      <c r="N2443">
        <v>0</v>
      </c>
    </row>
    <row r="2444" spans="1:14" x14ac:dyDescent="0.25">
      <c r="A2444">
        <v>1651.9734169999999</v>
      </c>
      <c r="B2444" s="1">
        <f>DATE(2014,11,7) + TIME(23,21,43)</f>
        <v>41950.973414351851</v>
      </c>
      <c r="C2444">
        <v>90</v>
      </c>
      <c r="D2444">
        <v>89.088035583000007</v>
      </c>
      <c r="E2444">
        <v>30</v>
      </c>
      <c r="F2444">
        <v>30.002002716</v>
      </c>
      <c r="G2444">
        <v>1306.7098389</v>
      </c>
      <c r="H2444">
        <v>1295.6816406</v>
      </c>
      <c r="I2444">
        <v>1412.8178711</v>
      </c>
      <c r="J2444">
        <v>1384.3055420000001</v>
      </c>
      <c r="K2444">
        <v>0</v>
      </c>
      <c r="L2444">
        <v>2400</v>
      </c>
      <c r="M2444">
        <v>2400</v>
      </c>
      <c r="N2444">
        <v>0</v>
      </c>
    </row>
    <row r="2445" spans="1:14" x14ac:dyDescent="0.25">
      <c r="A2445">
        <v>1652.312594</v>
      </c>
      <c r="B2445" s="1">
        <f>DATE(2014,11,8) + TIME(7,30,8)</f>
        <v>41951.312592592592</v>
      </c>
      <c r="C2445">
        <v>90</v>
      </c>
      <c r="D2445">
        <v>89.051902771000002</v>
      </c>
      <c r="E2445">
        <v>30</v>
      </c>
      <c r="F2445">
        <v>29.999782562</v>
      </c>
      <c r="G2445">
        <v>1306.692749</v>
      </c>
      <c r="H2445">
        <v>1295.6628418</v>
      </c>
      <c r="I2445">
        <v>1412.8463135</v>
      </c>
      <c r="J2445">
        <v>1384.3497314000001</v>
      </c>
      <c r="K2445">
        <v>0</v>
      </c>
      <c r="L2445">
        <v>2400</v>
      </c>
      <c r="M2445">
        <v>2400</v>
      </c>
      <c r="N2445">
        <v>0</v>
      </c>
    </row>
    <row r="2446" spans="1:14" x14ac:dyDescent="0.25">
      <c r="A2446">
        <v>1652.6566769999999</v>
      </c>
      <c r="B2446" s="1">
        <f>DATE(2014,11,8) + TIME(15,45,36)</f>
        <v>41951.656666666669</v>
      </c>
      <c r="C2446">
        <v>90</v>
      </c>
      <c r="D2446">
        <v>89.015350342000005</v>
      </c>
      <c r="E2446">
        <v>30</v>
      </c>
      <c r="F2446">
        <v>29.998140334999999</v>
      </c>
      <c r="G2446">
        <v>1306.6755370999999</v>
      </c>
      <c r="H2446">
        <v>1295.6437988</v>
      </c>
      <c r="I2446">
        <v>1412.8740233999999</v>
      </c>
      <c r="J2446">
        <v>1384.3925781</v>
      </c>
      <c r="K2446">
        <v>0</v>
      </c>
      <c r="L2446">
        <v>2400</v>
      </c>
      <c r="M2446">
        <v>2400</v>
      </c>
      <c r="N2446">
        <v>0</v>
      </c>
    </row>
    <row r="2447" spans="1:14" x14ac:dyDescent="0.25">
      <c r="A2447">
        <v>1653.0068100000001</v>
      </c>
      <c r="B2447" s="1">
        <f>DATE(2014,11,9) + TIME(0,9,48)</f>
        <v>41952.006805555553</v>
      </c>
      <c r="C2447">
        <v>90</v>
      </c>
      <c r="D2447">
        <v>88.978340149000005</v>
      </c>
      <c r="E2447">
        <v>30</v>
      </c>
      <c r="F2447">
        <v>29.996917724999999</v>
      </c>
      <c r="G2447">
        <v>1306.6580810999999</v>
      </c>
      <c r="H2447">
        <v>1295.6246338000001</v>
      </c>
      <c r="I2447">
        <v>1412.9008789</v>
      </c>
      <c r="J2447">
        <v>1384.434082</v>
      </c>
      <c r="K2447">
        <v>0</v>
      </c>
      <c r="L2447">
        <v>2400</v>
      </c>
      <c r="M2447">
        <v>2400</v>
      </c>
      <c r="N2447">
        <v>0</v>
      </c>
    </row>
    <row r="2448" spans="1:14" x14ac:dyDescent="0.25">
      <c r="A2448">
        <v>1653.3641580000001</v>
      </c>
      <c r="B2448" s="1">
        <f>DATE(2014,11,9) + TIME(8,44,23)</f>
        <v>41952.364155092589</v>
      </c>
      <c r="C2448">
        <v>90</v>
      </c>
      <c r="D2448">
        <v>88.940811156999999</v>
      </c>
      <c r="E2448">
        <v>30</v>
      </c>
      <c r="F2448">
        <v>29.996004105000001</v>
      </c>
      <c r="G2448">
        <v>1306.6403809000001</v>
      </c>
      <c r="H2448">
        <v>1295.6051024999999</v>
      </c>
      <c r="I2448">
        <v>1412.927124</v>
      </c>
      <c r="J2448">
        <v>1384.4746094</v>
      </c>
      <c r="K2448">
        <v>0</v>
      </c>
      <c r="L2448">
        <v>2400</v>
      </c>
      <c r="M2448">
        <v>2400</v>
      </c>
      <c r="N2448">
        <v>0</v>
      </c>
    </row>
    <row r="2449" spans="1:14" x14ac:dyDescent="0.25">
      <c r="A2449">
        <v>1653.7299390000001</v>
      </c>
      <c r="B2449" s="1">
        <f>DATE(2014,11,9) + TIME(17,31,6)</f>
        <v>41952.729930555557</v>
      </c>
      <c r="C2449">
        <v>90</v>
      </c>
      <c r="D2449">
        <v>88.902679442999997</v>
      </c>
      <c r="E2449">
        <v>30</v>
      </c>
      <c r="F2449">
        <v>29.995317458999999</v>
      </c>
      <c r="G2449">
        <v>1306.6224365</v>
      </c>
      <c r="H2449">
        <v>1295.5850829999999</v>
      </c>
      <c r="I2449">
        <v>1412.9530029</v>
      </c>
      <c r="J2449">
        <v>1384.5142822</v>
      </c>
      <c r="K2449">
        <v>0</v>
      </c>
      <c r="L2449">
        <v>2400</v>
      </c>
      <c r="M2449">
        <v>2400</v>
      </c>
      <c r="N2449">
        <v>0</v>
      </c>
    </row>
    <row r="2450" spans="1:14" x14ac:dyDescent="0.25">
      <c r="A2450">
        <v>1654.1054449999999</v>
      </c>
      <c r="B2450" s="1">
        <f>DATE(2014,11,10) + TIME(2,31,50)</f>
        <v>41953.105439814812</v>
      </c>
      <c r="C2450">
        <v>90</v>
      </c>
      <c r="D2450">
        <v>88.863853454999997</v>
      </c>
      <c r="E2450">
        <v>30</v>
      </c>
      <c r="F2450">
        <v>29.994800567999999</v>
      </c>
      <c r="G2450">
        <v>1306.6040039</v>
      </c>
      <c r="H2450">
        <v>1295.5646973</v>
      </c>
      <c r="I2450">
        <v>1412.9783935999999</v>
      </c>
      <c r="J2450">
        <v>1384.5533447</v>
      </c>
      <c r="K2450">
        <v>0</v>
      </c>
      <c r="L2450">
        <v>2400</v>
      </c>
      <c r="M2450">
        <v>2400</v>
      </c>
      <c r="N2450">
        <v>0</v>
      </c>
    </row>
    <row r="2451" spans="1:14" x14ac:dyDescent="0.25">
      <c r="A2451">
        <v>1654.492</v>
      </c>
      <c r="B2451" s="1">
        <f>DATE(2014,11,10) + TIME(11,48,28)</f>
        <v>41953.491990740738</v>
      </c>
      <c r="C2451">
        <v>90</v>
      </c>
      <c r="D2451">
        <v>88.824234008999994</v>
      </c>
      <c r="E2451">
        <v>30</v>
      </c>
      <c r="F2451">
        <v>29.994407654</v>
      </c>
      <c r="G2451">
        <v>1306.5850829999999</v>
      </c>
      <c r="H2451">
        <v>1295.5438231999999</v>
      </c>
      <c r="I2451">
        <v>1413.0036620999999</v>
      </c>
      <c r="J2451">
        <v>1384.5917969</v>
      </c>
      <c r="K2451">
        <v>0</v>
      </c>
      <c r="L2451">
        <v>2400</v>
      </c>
      <c r="M2451">
        <v>2400</v>
      </c>
      <c r="N2451">
        <v>0</v>
      </c>
    </row>
    <row r="2452" spans="1:14" x14ac:dyDescent="0.25">
      <c r="A2452">
        <v>1654.891093</v>
      </c>
      <c r="B2452" s="1">
        <f>DATE(2014,11,10) + TIME(21,23,10)</f>
        <v>41953.891087962962</v>
      </c>
      <c r="C2452">
        <v>90</v>
      </c>
      <c r="D2452">
        <v>88.783706664999997</v>
      </c>
      <c r="E2452">
        <v>30</v>
      </c>
      <c r="F2452">
        <v>29.994108199999999</v>
      </c>
      <c r="G2452">
        <v>1306.5656738</v>
      </c>
      <c r="H2452">
        <v>1295.5222168</v>
      </c>
      <c r="I2452">
        <v>1413.0286865</v>
      </c>
      <c r="J2452">
        <v>1384.6298827999999</v>
      </c>
      <c r="K2452">
        <v>0</v>
      </c>
      <c r="L2452">
        <v>2400</v>
      </c>
      <c r="M2452">
        <v>2400</v>
      </c>
      <c r="N2452">
        <v>0</v>
      </c>
    </row>
    <row r="2453" spans="1:14" x14ac:dyDescent="0.25">
      <c r="A2453">
        <v>1655.3045139999999</v>
      </c>
      <c r="B2453" s="1">
        <f>DATE(2014,11,11) + TIME(7,18,29)</f>
        <v>41954.304502314815</v>
      </c>
      <c r="C2453">
        <v>90</v>
      </c>
      <c r="D2453">
        <v>88.742126464999998</v>
      </c>
      <c r="E2453">
        <v>30</v>
      </c>
      <c r="F2453">
        <v>29.993879318000001</v>
      </c>
      <c r="G2453">
        <v>1306.5456543</v>
      </c>
      <c r="H2453">
        <v>1295.4998779</v>
      </c>
      <c r="I2453">
        <v>1413.0537108999999</v>
      </c>
      <c r="J2453">
        <v>1384.6676024999999</v>
      </c>
      <c r="K2453">
        <v>0</v>
      </c>
      <c r="L2453">
        <v>2400</v>
      </c>
      <c r="M2453">
        <v>2400</v>
      </c>
      <c r="N2453">
        <v>0</v>
      </c>
    </row>
    <row r="2454" spans="1:14" x14ac:dyDescent="0.25">
      <c r="A2454">
        <v>1655.7341839999999</v>
      </c>
      <c r="B2454" s="1">
        <f>DATE(2014,11,11) + TIME(17,37,13)</f>
        <v>41954.734178240738</v>
      </c>
      <c r="C2454">
        <v>90</v>
      </c>
      <c r="D2454">
        <v>88.699348450000002</v>
      </c>
      <c r="E2454">
        <v>30</v>
      </c>
      <c r="F2454">
        <v>29.993700026999999</v>
      </c>
      <c r="G2454">
        <v>1306.5249022999999</v>
      </c>
      <c r="H2454">
        <v>1295.4768065999999</v>
      </c>
      <c r="I2454">
        <v>1413.0786132999999</v>
      </c>
      <c r="J2454">
        <v>1384.7052002</v>
      </c>
      <c r="K2454">
        <v>0</v>
      </c>
      <c r="L2454">
        <v>2400</v>
      </c>
      <c r="M2454">
        <v>2400</v>
      </c>
      <c r="N2454">
        <v>0</v>
      </c>
    </row>
    <row r="2455" spans="1:14" x14ac:dyDescent="0.25">
      <c r="A2455">
        <v>1656.1823010000001</v>
      </c>
      <c r="B2455" s="1">
        <f>DATE(2014,11,12) + TIME(4,22,30)</f>
        <v>41955.182291666664</v>
      </c>
      <c r="C2455">
        <v>90</v>
      </c>
      <c r="D2455">
        <v>88.655197143999999</v>
      </c>
      <c r="E2455">
        <v>30</v>
      </c>
      <c r="F2455">
        <v>29.993562698000002</v>
      </c>
      <c r="G2455">
        <v>1306.503418</v>
      </c>
      <c r="H2455">
        <v>1295.4527588000001</v>
      </c>
      <c r="I2455">
        <v>1413.1037598</v>
      </c>
      <c r="J2455">
        <v>1384.7427978999999</v>
      </c>
      <c r="K2455">
        <v>0</v>
      </c>
      <c r="L2455">
        <v>2400</v>
      </c>
      <c r="M2455">
        <v>2400</v>
      </c>
      <c r="N2455">
        <v>0</v>
      </c>
    </row>
    <row r="2456" spans="1:14" x14ac:dyDescent="0.25">
      <c r="A2456">
        <v>1656.651406</v>
      </c>
      <c r="B2456" s="1">
        <f>DATE(2014,11,12) + TIME(15,38,1)</f>
        <v>41955.651400462964</v>
      </c>
      <c r="C2456">
        <v>90</v>
      </c>
      <c r="D2456">
        <v>88.609474182</v>
      </c>
      <c r="E2456">
        <v>30</v>
      </c>
      <c r="F2456">
        <v>29.993452072</v>
      </c>
      <c r="G2456">
        <v>1306.4808350000001</v>
      </c>
      <c r="H2456">
        <v>1295.4276123</v>
      </c>
      <c r="I2456">
        <v>1413.1291504000001</v>
      </c>
      <c r="J2456">
        <v>1384.7805175999999</v>
      </c>
      <c r="K2456">
        <v>0</v>
      </c>
      <c r="L2456">
        <v>2400</v>
      </c>
      <c r="M2456">
        <v>2400</v>
      </c>
      <c r="N2456">
        <v>0</v>
      </c>
    </row>
    <row r="2457" spans="1:14" x14ac:dyDescent="0.25">
      <c r="A2457">
        <v>1657.132044</v>
      </c>
      <c r="B2457" s="1">
        <f>DATE(2014,11,13) + TIME(3,10,8)</f>
        <v>41956.132037037038</v>
      </c>
      <c r="C2457">
        <v>90</v>
      </c>
      <c r="D2457">
        <v>88.562721252000003</v>
      </c>
      <c r="E2457">
        <v>30</v>
      </c>
      <c r="F2457">
        <v>29.993368148999998</v>
      </c>
      <c r="G2457">
        <v>1306.4572754000001</v>
      </c>
      <c r="H2457">
        <v>1295.4013672000001</v>
      </c>
      <c r="I2457">
        <v>1413.1547852000001</v>
      </c>
      <c r="J2457">
        <v>1384.8184814000001</v>
      </c>
      <c r="K2457">
        <v>0</v>
      </c>
      <c r="L2457">
        <v>2400</v>
      </c>
      <c r="M2457">
        <v>2400</v>
      </c>
      <c r="N2457">
        <v>0</v>
      </c>
    </row>
    <row r="2458" spans="1:14" x14ac:dyDescent="0.25">
      <c r="A2458">
        <v>1657.6171810000001</v>
      </c>
      <c r="B2458" s="1">
        <f>DATE(2014,11,13) + TIME(14,48,44)</f>
        <v>41956.617175925923</v>
      </c>
      <c r="C2458">
        <v>90</v>
      </c>
      <c r="D2458">
        <v>88.515464782999999</v>
      </c>
      <c r="E2458">
        <v>30</v>
      </c>
      <c r="F2458">
        <v>29.993301391999999</v>
      </c>
      <c r="G2458">
        <v>1306.4331055</v>
      </c>
      <c r="H2458">
        <v>1295.3742675999999</v>
      </c>
      <c r="I2458">
        <v>1413.1801757999999</v>
      </c>
      <c r="J2458">
        <v>1384.8558350000001</v>
      </c>
      <c r="K2458">
        <v>0</v>
      </c>
      <c r="L2458">
        <v>2400</v>
      </c>
      <c r="M2458">
        <v>2400</v>
      </c>
      <c r="N2458">
        <v>0</v>
      </c>
    </row>
    <row r="2459" spans="1:14" x14ac:dyDescent="0.25">
      <c r="A2459">
        <v>1658.108322</v>
      </c>
      <c r="B2459" s="1">
        <f>DATE(2014,11,14) + TIME(2,35,59)</f>
        <v>41957.10832175926</v>
      </c>
      <c r="C2459">
        <v>90</v>
      </c>
      <c r="D2459">
        <v>88.467758179</v>
      </c>
      <c r="E2459">
        <v>30</v>
      </c>
      <c r="F2459">
        <v>29.993249893000002</v>
      </c>
      <c r="G2459">
        <v>1306.4086914</v>
      </c>
      <c r="H2459">
        <v>1295.3469238</v>
      </c>
      <c r="I2459">
        <v>1413.2049560999999</v>
      </c>
      <c r="J2459">
        <v>1384.8920897999999</v>
      </c>
      <c r="K2459">
        <v>0</v>
      </c>
      <c r="L2459">
        <v>2400</v>
      </c>
      <c r="M2459">
        <v>2400</v>
      </c>
      <c r="N2459">
        <v>0</v>
      </c>
    </row>
    <row r="2460" spans="1:14" x14ac:dyDescent="0.25">
      <c r="A2460">
        <v>1658.606925</v>
      </c>
      <c r="B2460" s="1">
        <f>DATE(2014,11,14) + TIME(14,33,58)</f>
        <v>41957.606921296298</v>
      </c>
      <c r="C2460">
        <v>90</v>
      </c>
      <c r="D2460">
        <v>88.419601439999994</v>
      </c>
      <c r="E2460">
        <v>30</v>
      </c>
      <c r="F2460">
        <v>29.993209838999999</v>
      </c>
      <c r="G2460">
        <v>1306.3839111</v>
      </c>
      <c r="H2460">
        <v>1295.3190918</v>
      </c>
      <c r="I2460">
        <v>1413.2292480000001</v>
      </c>
      <c r="J2460">
        <v>1384.9274902</v>
      </c>
      <c r="K2460">
        <v>0</v>
      </c>
      <c r="L2460">
        <v>2400</v>
      </c>
      <c r="M2460">
        <v>2400</v>
      </c>
      <c r="N2460">
        <v>0</v>
      </c>
    </row>
    <row r="2461" spans="1:14" x14ac:dyDescent="0.25">
      <c r="A2461">
        <v>1659.1144790000001</v>
      </c>
      <c r="B2461" s="1">
        <f>DATE(2014,11,15) + TIME(2,44,50)</f>
        <v>41958.11446759259</v>
      </c>
      <c r="C2461">
        <v>90</v>
      </c>
      <c r="D2461">
        <v>88.370925903</v>
      </c>
      <c r="E2461">
        <v>30</v>
      </c>
      <c r="F2461">
        <v>29.993175507</v>
      </c>
      <c r="G2461">
        <v>1306.3586425999999</v>
      </c>
      <c r="H2461">
        <v>1295.2906493999999</v>
      </c>
      <c r="I2461">
        <v>1413.2531738</v>
      </c>
      <c r="J2461">
        <v>1384.9621582</v>
      </c>
      <c r="K2461">
        <v>0</v>
      </c>
      <c r="L2461">
        <v>2400</v>
      </c>
      <c r="M2461">
        <v>2400</v>
      </c>
      <c r="N2461">
        <v>0</v>
      </c>
    </row>
    <row r="2462" spans="1:14" x14ac:dyDescent="0.25">
      <c r="A2462">
        <v>1659.632531</v>
      </c>
      <c r="B2462" s="1">
        <f>DATE(2014,11,15) + TIME(15,10,50)</f>
        <v>41958.632523148146</v>
      </c>
      <c r="C2462">
        <v>90</v>
      </c>
      <c r="D2462">
        <v>88.321670531999999</v>
      </c>
      <c r="E2462">
        <v>30</v>
      </c>
      <c r="F2462">
        <v>29.993148804</v>
      </c>
      <c r="G2462">
        <v>1306.3330077999999</v>
      </c>
      <c r="H2462">
        <v>1295.2617187999999</v>
      </c>
      <c r="I2462">
        <v>1413.2768555</v>
      </c>
      <c r="J2462">
        <v>1384.9960937999999</v>
      </c>
      <c r="K2462">
        <v>0</v>
      </c>
      <c r="L2462">
        <v>2400</v>
      </c>
      <c r="M2462">
        <v>2400</v>
      </c>
      <c r="N2462">
        <v>0</v>
      </c>
    </row>
    <row r="2463" spans="1:14" x14ac:dyDescent="0.25">
      <c r="A2463">
        <v>1660.1627189999999</v>
      </c>
      <c r="B2463" s="1">
        <f>DATE(2014,11,16) + TIME(3,54,18)</f>
        <v>41959.162708333337</v>
      </c>
      <c r="C2463">
        <v>90</v>
      </c>
      <c r="D2463">
        <v>88.271713257000002</v>
      </c>
      <c r="E2463">
        <v>30</v>
      </c>
      <c r="F2463">
        <v>29.993125916</v>
      </c>
      <c r="G2463">
        <v>1306.3066406</v>
      </c>
      <c r="H2463">
        <v>1295.2319336</v>
      </c>
      <c r="I2463">
        <v>1413.3001709</v>
      </c>
      <c r="J2463">
        <v>1385.0296631000001</v>
      </c>
      <c r="K2463">
        <v>0</v>
      </c>
      <c r="L2463">
        <v>2400</v>
      </c>
      <c r="M2463">
        <v>2400</v>
      </c>
      <c r="N2463">
        <v>0</v>
      </c>
    </row>
    <row r="2464" spans="1:14" x14ac:dyDescent="0.25">
      <c r="A2464">
        <v>1660.706799</v>
      </c>
      <c r="B2464" s="1">
        <f>DATE(2014,11,16) + TIME(16,57,47)</f>
        <v>41959.706793981481</v>
      </c>
      <c r="C2464">
        <v>90</v>
      </c>
      <c r="D2464">
        <v>88.220939635999997</v>
      </c>
      <c r="E2464">
        <v>30</v>
      </c>
      <c r="F2464">
        <v>29.993106842</v>
      </c>
      <c r="G2464">
        <v>1306.2796631000001</v>
      </c>
      <c r="H2464">
        <v>1295.2012939000001</v>
      </c>
      <c r="I2464">
        <v>1413.3234863</v>
      </c>
      <c r="J2464">
        <v>1385.0628661999999</v>
      </c>
      <c r="K2464">
        <v>0</v>
      </c>
      <c r="L2464">
        <v>2400</v>
      </c>
      <c r="M2464">
        <v>2400</v>
      </c>
      <c r="N2464">
        <v>0</v>
      </c>
    </row>
    <row r="2465" spans="1:14" x14ac:dyDescent="0.25">
      <c r="A2465">
        <v>1661.2665260000001</v>
      </c>
      <c r="B2465" s="1">
        <f>DATE(2014,11,17) + TIME(6,23,47)</f>
        <v>41960.266516203701</v>
      </c>
      <c r="C2465">
        <v>90</v>
      </c>
      <c r="D2465">
        <v>88.169212341000005</v>
      </c>
      <c r="E2465">
        <v>30</v>
      </c>
      <c r="F2465">
        <v>29.993091583000002</v>
      </c>
      <c r="G2465">
        <v>1306.2519531</v>
      </c>
      <c r="H2465">
        <v>1295.1697998</v>
      </c>
      <c r="I2465">
        <v>1413.3466797000001</v>
      </c>
      <c r="J2465">
        <v>1385.0957031</v>
      </c>
      <c r="K2465">
        <v>0</v>
      </c>
      <c r="L2465">
        <v>2400</v>
      </c>
      <c r="M2465">
        <v>2400</v>
      </c>
      <c r="N2465">
        <v>0</v>
      </c>
    </row>
    <row r="2466" spans="1:14" x14ac:dyDescent="0.25">
      <c r="A2466">
        <v>1661.844055</v>
      </c>
      <c r="B2466" s="1">
        <f>DATE(2014,11,17) + TIME(20,15,26)</f>
        <v>41960.844050925924</v>
      </c>
      <c r="C2466">
        <v>90</v>
      </c>
      <c r="D2466">
        <v>88.116394043</v>
      </c>
      <c r="E2466">
        <v>30</v>
      </c>
      <c r="F2466">
        <v>29.993078231999998</v>
      </c>
      <c r="G2466">
        <v>1306.2232666</v>
      </c>
      <c r="H2466">
        <v>1295.1370850000001</v>
      </c>
      <c r="I2466">
        <v>1413.3698730000001</v>
      </c>
      <c r="J2466">
        <v>1385.1285399999999</v>
      </c>
      <c r="K2466">
        <v>0</v>
      </c>
      <c r="L2466">
        <v>2400</v>
      </c>
      <c r="M2466">
        <v>2400</v>
      </c>
      <c r="N2466">
        <v>0</v>
      </c>
    </row>
    <row r="2467" spans="1:14" x14ac:dyDescent="0.25">
      <c r="A2467">
        <v>1662.441865</v>
      </c>
      <c r="B2467" s="1">
        <f>DATE(2014,11,18) + TIME(10,36,17)</f>
        <v>41961.441863425927</v>
      </c>
      <c r="C2467">
        <v>90</v>
      </c>
      <c r="D2467">
        <v>88.062309264999996</v>
      </c>
      <c r="E2467">
        <v>30</v>
      </c>
      <c r="F2467">
        <v>29.993066788</v>
      </c>
      <c r="G2467">
        <v>1306.1934814000001</v>
      </c>
      <c r="H2467">
        <v>1295.1032714999999</v>
      </c>
      <c r="I2467">
        <v>1413.3931885</v>
      </c>
      <c r="J2467">
        <v>1385.1611327999999</v>
      </c>
      <c r="K2467">
        <v>0</v>
      </c>
      <c r="L2467">
        <v>2400</v>
      </c>
      <c r="M2467">
        <v>2400</v>
      </c>
      <c r="N2467">
        <v>0</v>
      </c>
    </row>
    <row r="2468" spans="1:14" x14ac:dyDescent="0.25">
      <c r="A2468">
        <v>1663.0626520000001</v>
      </c>
      <c r="B2468" s="1">
        <f>DATE(2014,11,19) + TIME(1,30,13)</f>
        <v>41962.062650462962</v>
      </c>
      <c r="C2468">
        <v>90</v>
      </c>
      <c r="D2468">
        <v>88.006752014</v>
      </c>
      <c r="E2468">
        <v>30</v>
      </c>
      <c r="F2468">
        <v>29.993055343999998</v>
      </c>
      <c r="G2468">
        <v>1306.1625977000001</v>
      </c>
      <c r="H2468">
        <v>1295.0679932</v>
      </c>
      <c r="I2468">
        <v>1413.416626</v>
      </c>
      <c r="J2468">
        <v>1385.1938477000001</v>
      </c>
      <c r="K2468">
        <v>0</v>
      </c>
      <c r="L2468">
        <v>2400</v>
      </c>
      <c r="M2468">
        <v>2400</v>
      </c>
      <c r="N2468">
        <v>0</v>
      </c>
    </row>
    <row r="2469" spans="1:14" x14ac:dyDescent="0.25">
      <c r="A2469">
        <v>1663.7030139999999</v>
      </c>
      <c r="B2469" s="1">
        <f>DATE(2014,11,19) + TIME(16,52,20)</f>
        <v>41962.703009259261</v>
      </c>
      <c r="C2469">
        <v>90</v>
      </c>
      <c r="D2469">
        <v>87.949851989999999</v>
      </c>
      <c r="E2469">
        <v>30</v>
      </c>
      <c r="F2469">
        <v>29.993047713999999</v>
      </c>
      <c r="G2469">
        <v>1306.1303711</v>
      </c>
      <c r="H2469">
        <v>1295.0311279</v>
      </c>
      <c r="I2469">
        <v>1413.4403076000001</v>
      </c>
      <c r="J2469">
        <v>1385.2268065999999</v>
      </c>
      <c r="K2469">
        <v>0</v>
      </c>
      <c r="L2469">
        <v>2400</v>
      </c>
      <c r="M2469">
        <v>2400</v>
      </c>
      <c r="N2469">
        <v>0</v>
      </c>
    </row>
    <row r="2470" spans="1:14" x14ac:dyDescent="0.25">
      <c r="A2470">
        <v>1664.3486889999999</v>
      </c>
      <c r="B2470" s="1">
        <f>DATE(2014,11,20) + TIME(8,22,6)</f>
        <v>41963.348680555559</v>
      </c>
      <c r="C2470">
        <v>90</v>
      </c>
      <c r="D2470">
        <v>87.892341614000003</v>
      </c>
      <c r="E2470">
        <v>30</v>
      </c>
      <c r="F2470">
        <v>29.993038176999999</v>
      </c>
      <c r="G2470">
        <v>1306.0970459</v>
      </c>
      <c r="H2470">
        <v>1294.9927978999999</v>
      </c>
      <c r="I2470">
        <v>1413.4639893000001</v>
      </c>
      <c r="J2470">
        <v>1385.2595214999999</v>
      </c>
      <c r="K2470">
        <v>0</v>
      </c>
      <c r="L2470">
        <v>2400</v>
      </c>
      <c r="M2470">
        <v>2400</v>
      </c>
      <c r="N2470">
        <v>0</v>
      </c>
    </row>
    <row r="2471" spans="1:14" x14ac:dyDescent="0.25">
      <c r="A2471">
        <v>1665.0015169999999</v>
      </c>
      <c r="B2471" s="1">
        <f>DATE(2014,11,21) + TIME(0,2,11)</f>
        <v>41964.001516203702</v>
      </c>
      <c r="C2471">
        <v>90</v>
      </c>
      <c r="D2471">
        <v>87.834396362000007</v>
      </c>
      <c r="E2471">
        <v>30</v>
      </c>
      <c r="F2471">
        <v>29.993032455000002</v>
      </c>
      <c r="G2471">
        <v>1306.0631103999999</v>
      </c>
      <c r="H2471">
        <v>1294.9537353999999</v>
      </c>
      <c r="I2471">
        <v>1413.4873047000001</v>
      </c>
      <c r="J2471">
        <v>1385.2915039</v>
      </c>
      <c r="K2471">
        <v>0</v>
      </c>
      <c r="L2471">
        <v>2400</v>
      </c>
      <c r="M2471">
        <v>2400</v>
      </c>
      <c r="N2471">
        <v>0</v>
      </c>
    </row>
    <row r="2472" spans="1:14" x14ac:dyDescent="0.25">
      <c r="A2472">
        <v>1665.6632709999999</v>
      </c>
      <c r="B2472" s="1">
        <f>DATE(2014,11,21) + TIME(15,55,6)</f>
        <v>41964.663263888891</v>
      </c>
      <c r="C2472">
        <v>90</v>
      </c>
      <c r="D2472">
        <v>87.776046753000003</v>
      </c>
      <c r="E2472">
        <v>30</v>
      </c>
      <c r="F2472">
        <v>29.993024825999999</v>
      </c>
      <c r="G2472">
        <v>1306.0286865</v>
      </c>
      <c r="H2472">
        <v>1294.9140625</v>
      </c>
      <c r="I2472">
        <v>1413.5101318</v>
      </c>
      <c r="J2472">
        <v>1385.322876</v>
      </c>
      <c r="K2472">
        <v>0</v>
      </c>
      <c r="L2472">
        <v>2400</v>
      </c>
      <c r="M2472">
        <v>2400</v>
      </c>
      <c r="N2472">
        <v>0</v>
      </c>
    </row>
    <row r="2473" spans="1:14" x14ac:dyDescent="0.25">
      <c r="A2473">
        <v>1666.3357619999999</v>
      </c>
      <c r="B2473" s="1">
        <f>DATE(2014,11,22) + TIME(8,3,29)</f>
        <v>41965.335752314815</v>
      </c>
      <c r="C2473">
        <v>90</v>
      </c>
      <c r="D2473">
        <v>87.717239379999995</v>
      </c>
      <c r="E2473">
        <v>30</v>
      </c>
      <c r="F2473">
        <v>29.993019103999998</v>
      </c>
      <c r="G2473">
        <v>1305.9935303</v>
      </c>
      <c r="H2473">
        <v>1294.8732910000001</v>
      </c>
      <c r="I2473">
        <v>1413.5327147999999</v>
      </c>
      <c r="J2473">
        <v>1385.3536377</v>
      </c>
      <c r="K2473">
        <v>0</v>
      </c>
      <c r="L2473">
        <v>2400</v>
      </c>
      <c r="M2473">
        <v>2400</v>
      </c>
      <c r="N2473">
        <v>0</v>
      </c>
    </row>
    <row r="2474" spans="1:14" x14ac:dyDescent="0.25">
      <c r="A2474">
        <v>1667.0208749999999</v>
      </c>
      <c r="B2474" s="1">
        <f>DATE(2014,11,23) + TIME(0,30,3)</f>
        <v>41966.020868055559</v>
      </c>
      <c r="C2474">
        <v>90</v>
      </c>
      <c r="D2474">
        <v>87.657897949000002</v>
      </c>
      <c r="E2474">
        <v>30</v>
      </c>
      <c r="F2474">
        <v>29.993013382000001</v>
      </c>
      <c r="G2474">
        <v>1305.9575195</v>
      </c>
      <c r="H2474">
        <v>1294.8316649999999</v>
      </c>
      <c r="I2474">
        <v>1413.5550536999999</v>
      </c>
      <c r="J2474">
        <v>1385.3839111</v>
      </c>
      <c r="K2474">
        <v>0</v>
      </c>
      <c r="L2474">
        <v>2400</v>
      </c>
      <c r="M2474">
        <v>2400</v>
      </c>
      <c r="N2474">
        <v>0</v>
      </c>
    </row>
    <row r="2475" spans="1:14" x14ac:dyDescent="0.25">
      <c r="A2475">
        <v>1667.720599</v>
      </c>
      <c r="B2475" s="1">
        <f>DATE(2014,11,23) + TIME(17,17,39)</f>
        <v>41966.720590277779</v>
      </c>
      <c r="C2475">
        <v>90</v>
      </c>
      <c r="D2475">
        <v>87.597892760999997</v>
      </c>
      <c r="E2475">
        <v>30</v>
      </c>
      <c r="F2475">
        <v>29.99300766</v>
      </c>
      <c r="G2475">
        <v>1305.9207764</v>
      </c>
      <c r="H2475">
        <v>1294.7886963000001</v>
      </c>
      <c r="I2475">
        <v>1413.5772704999999</v>
      </c>
      <c r="J2475">
        <v>1385.4139404</v>
      </c>
      <c r="K2475">
        <v>0</v>
      </c>
      <c r="L2475">
        <v>2400</v>
      </c>
      <c r="M2475">
        <v>2400</v>
      </c>
      <c r="N2475">
        <v>0</v>
      </c>
    </row>
    <row r="2476" spans="1:14" x14ac:dyDescent="0.25">
      <c r="A2476">
        <v>1668.437042</v>
      </c>
      <c r="B2476" s="1">
        <f>DATE(2014,11,24) + TIME(10,29,20)</f>
        <v>41967.437037037038</v>
      </c>
      <c r="C2476">
        <v>90</v>
      </c>
      <c r="D2476">
        <v>87.537094116000006</v>
      </c>
      <c r="E2476">
        <v>30</v>
      </c>
      <c r="F2476">
        <v>29.993003845</v>
      </c>
      <c r="G2476">
        <v>1305.8828125</v>
      </c>
      <c r="H2476">
        <v>1294.7443848</v>
      </c>
      <c r="I2476">
        <v>1413.5993652</v>
      </c>
      <c r="J2476">
        <v>1385.4436035000001</v>
      </c>
      <c r="K2476">
        <v>0</v>
      </c>
      <c r="L2476">
        <v>2400</v>
      </c>
      <c r="M2476">
        <v>2400</v>
      </c>
      <c r="N2476">
        <v>0</v>
      </c>
    </row>
    <row r="2477" spans="1:14" x14ac:dyDescent="0.25">
      <c r="A2477">
        <v>1669.1725300000001</v>
      </c>
      <c r="B2477" s="1">
        <f>DATE(2014,11,25) + TIME(4,8,26)</f>
        <v>41968.172523148147</v>
      </c>
      <c r="C2477">
        <v>90</v>
      </c>
      <c r="D2477">
        <v>87.475341796999999</v>
      </c>
      <c r="E2477">
        <v>30</v>
      </c>
      <c r="F2477">
        <v>29.992998123</v>
      </c>
      <c r="G2477">
        <v>1305.84375</v>
      </c>
      <c r="H2477">
        <v>1294.6987305</v>
      </c>
      <c r="I2477">
        <v>1413.6214600000001</v>
      </c>
      <c r="J2477">
        <v>1385.4731445</v>
      </c>
      <c r="K2477">
        <v>0</v>
      </c>
      <c r="L2477">
        <v>2400</v>
      </c>
      <c r="M2477">
        <v>2400</v>
      </c>
      <c r="N2477">
        <v>0</v>
      </c>
    </row>
    <row r="2478" spans="1:14" x14ac:dyDescent="0.25">
      <c r="A2478">
        <v>1669.929294</v>
      </c>
      <c r="B2478" s="1">
        <f>DATE(2014,11,25) + TIME(22,18,10)</f>
        <v>41968.929282407407</v>
      </c>
      <c r="C2478">
        <v>90</v>
      </c>
      <c r="D2478">
        <v>87.412490844999994</v>
      </c>
      <c r="E2478">
        <v>30</v>
      </c>
      <c r="F2478">
        <v>29.992994308</v>
      </c>
      <c r="G2478">
        <v>1305.8033447</v>
      </c>
      <c r="H2478">
        <v>1294.6512451000001</v>
      </c>
      <c r="I2478">
        <v>1413.6435547000001</v>
      </c>
      <c r="J2478">
        <v>1385.5025635</v>
      </c>
      <c r="K2478">
        <v>0</v>
      </c>
      <c r="L2478">
        <v>2400</v>
      </c>
      <c r="M2478">
        <v>2400</v>
      </c>
      <c r="N2478">
        <v>0</v>
      </c>
    </row>
    <row r="2479" spans="1:14" x14ac:dyDescent="0.25">
      <c r="A2479">
        <v>1670.710468</v>
      </c>
      <c r="B2479" s="1">
        <f>DATE(2014,11,26) + TIME(17,3,4)</f>
        <v>41969.710462962961</v>
      </c>
      <c r="C2479">
        <v>90</v>
      </c>
      <c r="D2479">
        <v>87.348342896000005</v>
      </c>
      <c r="E2479">
        <v>30</v>
      </c>
      <c r="F2479">
        <v>29.992988585999999</v>
      </c>
      <c r="G2479">
        <v>1305.7614745999999</v>
      </c>
      <c r="H2479">
        <v>1294.6018065999999</v>
      </c>
      <c r="I2479">
        <v>1413.6657714999999</v>
      </c>
      <c r="J2479">
        <v>1385.5319824000001</v>
      </c>
      <c r="K2479">
        <v>0</v>
      </c>
      <c r="L2479">
        <v>2400</v>
      </c>
      <c r="M2479">
        <v>2400</v>
      </c>
      <c r="N2479">
        <v>0</v>
      </c>
    </row>
    <row r="2480" spans="1:14" x14ac:dyDescent="0.25">
      <c r="A2480">
        <v>1671.5192730000001</v>
      </c>
      <c r="B2480" s="1">
        <f>DATE(2014,11,27) + TIME(12,27,45)</f>
        <v>41970.519270833334</v>
      </c>
      <c r="C2480">
        <v>90</v>
      </c>
      <c r="D2480">
        <v>87.282691955999994</v>
      </c>
      <c r="E2480">
        <v>30</v>
      </c>
      <c r="F2480">
        <v>29.992984772</v>
      </c>
      <c r="G2480">
        <v>1305.7177733999999</v>
      </c>
      <c r="H2480">
        <v>1294.550293</v>
      </c>
      <c r="I2480">
        <v>1413.6882324000001</v>
      </c>
      <c r="J2480">
        <v>1385.5614014</v>
      </c>
      <c r="K2480">
        <v>0</v>
      </c>
      <c r="L2480">
        <v>2400</v>
      </c>
      <c r="M2480">
        <v>2400</v>
      </c>
      <c r="N2480">
        <v>0</v>
      </c>
    </row>
    <row r="2481" spans="1:14" x14ac:dyDescent="0.25">
      <c r="A2481">
        <v>1672.3353440000001</v>
      </c>
      <c r="B2481" s="1">
        <f>DATE(2014,11,28) + TIME(8,2,53)</f>
        <v>41971.335335648146</v>
      </c>
      <c r="C2481">
        <v>90</v>
      </c>
      <c r="D2481">
        <v>87.216293335000003</v>
      </c>
      <c r="E2481">
        <v>30</v>
      </c>
      <c r="F2481">
        <v>29.992979049999999</v>
      </c>
      <c r="G2481">
        <v>1305.6722411999999</v>
      </c>
      <c r="H2481">
        <v>1294.4964600000001</v>
      </c>
      <c r="I2481">
        <v>1413.7106934000001</v>
      </c>
      <c r="J2481">
        <v>1385.5910644999999</v>
      </c>
      <c r="K2481">
        <v>0</v>
      </c>
      <c r="L2481">
        <v>2400</v>
      </c>
      <c r="M2481">
        <v>2400</v>
      </c>
      <c r="N2481">
        <v>0</v>
      </c>
    </row>
    <row r="2482" spans="1:14" x14ac:dyDescent="0.25">
      <c r="A2482">
        <v>1673.1595070000001</v>
      </c>
      <c r="B2482" s="1">
        <f>DATE(2014,11,29) + TIME(3,49,41)</f>
        <v>41972.159502314818</v>
      </c>
      <c r="C2482">
        <v>90</v>
      </c>
      <c r="D2482">
        <v>87.149475097999996</v>
      </c>
      <c r="E2482">
        <v>30</v>
      </c>
      <c r="F2482">
        <v>29.992975234999999</v>
      </c>
      <c r="G2482">
        <v>1305.6258545000001</v>
      </c>
      <c r="H2482">
        <v>1294.4412841999999</v>
      </c>
      <c r="I2482">
        <v>1413.7329102000001</v>
      </c>
      <c r="J2482">
        <v>1385.6201172000001</v>
      </c>
      <c r="K2482">
        <v>0</v>
      </c>
      <c r="L2482">
        <v>2400</v>
      </c>
      <c r="M2482">
        <v>2400</v>
      </c>
      <c r="N2482">
        <v>0</v>
      </c>
    </row>
    <row r="2483" spans="1:14" x14ac:dyDescent="0.25">
      <c r="A2483">
        <v>1673.993847</v>
      </c>
      <c r="B2483" s="1">
        <f>DATE(2014,11,29) + TIME(23,51,8)</f>
        <v>41972.993842592594</v>
      </c>
      <c r="C2483">
        <v>90</v>
      </c>
      <c r="D2483">
        <v>87.082321167000003</v>
      </c>
      <c r="E2483">
        <v>30</v>
      </c>
      <c r="F2483">
        <v>29.992969512999998</v>
      </c>
      <c r="G2483">
        <v>1305.5784911999999</v>
      </c>
      <c r="H2483">
        <v>1294.3848877</v>
      </c>
      <c r="I2483">
        <v>1413.7548827999999</v>
      </c>
      <c r="J2483">
        <v>1385.6485596</v>
      </c>
      <c r="K2483">
        <v>0</v>
      </c>
      <c r="L2483">
        <v>2400</v>
      </c>
      <c r="M2483">
        <v>2400</v>
      </c>
      <c r="N2483">
        <v>0</v>
      </c>
    </row>
    <row r="2484" spans="1:14" x14ac:dyDescent="0.25">
      <c r="A2484">
        <v>1674.8404880000001</v>
      </c>
      <c r="B2484" s="1">
        <f>DATE(2014,11,30) + TIME(20,10,18)</f>
        <v>41973.840486111112</v>
      </c>
      <c r="C2484">
        <v>90</v>
      </c>
      <c r="D2484">
        <v>87.014793396000002</v>
      </c>
      <c r="E2484">
        <v>30</v>
      </c>
      <c r="F2484">
        <v>29.992965697999999</v>
      </c>
      <c r="G2484">
        <v>1305.5301514</v>
      </c>
      <c r="H2484">
        <v>1294.3270264</v>
      </c>
      <c r="I2484">
        <v>1413.7764893000001</v>
      </c>
      <c r="J2484">
        <v>1385.6766356999999</v>
      </c>
      <c r="K2484">
        <v>0</v>
      </c>
      <c r="L2484">
        <v>2400</v>
      </c>
      <c r="M2484">
        <v>2400</v>
      </c>
      <c r="N2484">
        <v>0</v>
      </c>
    </row>
    <row r="2485" spans="1:14" x14ac:dyDescent="0.25">
      <c r="A2485">
        <v>1675</v>
      </c>
      <c r="B2485" s="1">
        <f>DATE(2014,12,1) + TIME(0,0,0)</f>
        <v>41974</v>
      </c>
      <c r="C2485">
        <v>90</v>
      </c>
      <c r="D2485">
        <v>86.993377686000002</v>
      </c>
      <c r="E2485">
        <v>30</v>
      </c>
      <c r="F2485">
        <v>29.992965697999999</v>
      </c>
      <c r="G2485">
        <v>1305.4819336</v>
      </c>
      <c r="H2485">
        <v>1294.2739257999999</v>
      </c>
      <c r="I2485">
        <v>1413.7967529</v>
      </c>
      <c r="J2485">
        <v>1385.7030029</v>
      </c>
      <c r="K2485">
        <v>0</v>
      </c>
      <c r="L2485">
        <v>2400</v>
      </c>
      <c r="M2485">
        <v>2400</v>
      </c>
      <c r="N2485">
        <v>0</v>
      </c>
    </row>
    <row r="2486" spans="1:14" x14ac:dyDescent="0.25">
      <c r="A2486">
        <v>1675.861148</v>
      </c>
      <c r="B2486" s="1">
        <f>DATE(2014,12,1) + TIME(20,40,3)</f>
        <v>41974.861145833333</v>
      </c>
      <c r="C2486">
        <v>90</v>
      </c>
      <c r="D2486">
        <v>86.929847717000001</v>
      </c>
      <c r="E2486">
        <v>30</v>
      </c>
      <c r="F2486">
        <v>29.992959976000002</v>
      </c>
      <c r="G2486">
        <v>1305.4705810999999</v>
      </c>
      <c r="H2486">
        <v>1294.2548827999999</v>
      </c>
      <c r="I2486">
        <v>1413.8020019999999</v>
      </c>
      <c r="J2486">
        <v>1385.7093506000001</v>
      </c>
      <c r="K2486">
        <v>0</v>
      </c>
      <c r="L2486">
        <v>2400</v>
      </c>
      <c r="M2486">
        <v>2400</v>
      </c>
      <c r="N2486">
        <v>0</v>
      </c>
    </row>
    <row r="2487" spans="1:14" x14ac:dyDescent="0.25">
      <c r="A2487">
        <v>1676.742604</v>
      </c>
      <c r="B2487" s="1">
        <f>DATE(2014,12,2) + TIME(17,49,20)</f>
        <v>41975.742592592593</v>
      </c>
      <c r="C2487">
        <v>90</v>
      </c>
      <c r="D2487">
        <v>86.863418578999998</v>
      </c>
      <c r="E2487">
        <v>30</v>
      </c>
      <c r="F2487">
        <v>29.992956160999999</v>
      </c>
      <c r="G2487">
        <v>1305.4200439000001</v>
      </c>
      <c r="H2487">
        <v>1294.1942139</v>
      </c>
      <c r="I2487">
        <v>1413.8231201000001</v>
      </c>
      <c r="J2487">
        <v>1385.7365723</v>
      </c>
      <c r="K2487">
        <v>0</v>
      </c>
      <c r="L2487">
        <v>2400</v>
      </c>
      <c r="M2487">
        <v>2400</v>
      </c>
      <c r="N2487">
        <v>0</v>
      </c>
    </row>
    <row r="2488" spans="1:14" x14ac:dyDescent="0.25">
      <c r="A2488">
        <v>1677.6437840000001</v>
      </c>
      <c r="B2488" s="1">
        <f>DATE(2014,12,3) + TIME(15,27,2)</f>
        <v>41976.643773148149</v>
      </c>
      <c r="C2488">
        <v>90</v>
      </c>
      <c r="D2488">
        <v>86.795051575000002</v>
      </c>
      <c r="E2488">
        <v>30</v>
      </c>
      <c r="F2488">
        <v>29.992950439000001</v>
      </c>
      <c r="G2488">
        <v>1305.3674315999999</v>
      </c>
      <c r="H2488">
        <v>1294.1308594</v>
      </c>
      <c r="I2488">
        <v>1413.8442382999999</v>
      </c>
      <c r="J2488">
        <v>1385.7636719</v>
      </c>
      <c r="K2488">
        <v>0</v>
      </c>
      <c r="L2488">
        <v>2400</v>
      </c>
      <c r="M2488">
        <v>2400</v>
      </c>
      <c r="N2488">
        <v>0</v>
      </c>
    </row>
    <row r="2489" spans="1:14" x14ac:dyDescent="0.25">
      <c r="A2489">
        <v>1678.5674919999999</v>
      </c>
      <c r="B2489" s="1">
        <f>DATE(2014,12,4) + TIME(13,37,11)</f>
        <v>41977.567488425928</v>
      </c>
      <c r="C2489">
        <v>90</v>
      </c>
      <c r="D2489">
        <v>86.725166321000003</v>
      </c>
      <c r="E2489">
        <v>30</v>
      </c>
      <c r="F2489">
        <v>29.992946624999998</v>
      </c>
      <c r="G2489">
        <v>1305.3131103999999</v>
      </c>
      <c r="H2489">
        <v>1294.0649414</v>
      </c>
      <c r="I2489">
        <v>1413.8654785000001</v>
      </c>
      <c r="J2489">
        <v>1385.7907714999999</v>
      </c>
      <c r="K2489">
        <v>0</v>
      </c>
      <c r="L2489">
        <v>2400</v>
      </c>
      <c r="M2489">
        <v>2400</v>
      </c>
      <c r="N2489">
        <v>0</v>
      </c>
    </row>
    <row r="2490" spans="1:14" x14ac:dyDescent="0.25">
      <c r="A2490">
        <v>1679.516507</v>
      </c>
      <c r="B2490" s="1">
        <f>DATE(2014,12,5) + TIME(12,23,46)</f>
        <v>41978.516504629632</v>
      </c>
      <c r="C2490">
        <v>90</v>
      </c>
      <c r="D2490">
        <v>86.653877257999994</v>
      </c>
      <c r="E2490">
        <v>30</v>
      </c>
      <c r="F2490">
        <v>29.992942809999999</v>
      </c>
      <c r="G2490">
        <v>1305.2567139</v>
      </c>
      <c r="H2490">
        <v>1293.9964600000001</v>
      </c>
      <c r="I2490">
        <v>1413.8867187999999</v>
      </c>
      <c r="J2490">
        <v>1385.817749</v>
      </c>
      <c r="K2490">
        <v>0</v>
      </c>
      <c r="L2490">
        <v>2400</v>
      </c>
      <c r="M2490">
        <v>2400</v>
      </c>
      <c r="N2490">
        <v>0</v>
      </c>
    </row>
    <row r="2491" spans="1:14" x14ac:dyDescent="0.25">
      <c r="A2491">
        <v>1680.494187</v>
      </c>
      <c r="B2491" s="1">
        <f>DATE(2014,12,6) + TIME(11,51,37)</f>
        <v>41979.49417824074</v>
      </c>
      <c r="C2491">
        <v>90</v>
      </c>
      <c r="D2491">
        <v>86.581138611</v>
      </c>
      <c r="E2491">
        <v>30</v>
      </c>
      <c r="F2491">
        <v>29.992937088000001</v>
      </c>
      <c r="G2491">
        <v>1305.1982422000001</v>
      </c>
      <c r="H2491">
        <v>1293.9250488</v>
      </c>
      <c r="I2491">
        <v>1413.9080810999999</v>
      </c>
      <c r="J2491">
        <v>1385.8447266000001</v>
      </c>
      <c r="K2491">
        <v>0</v>
      </c>
      <c r="L2491">
        <v>2400</v>
      </c>
      <c r="M2491">
        <v>2400</v>
      </c>
      <c r="N2491">
        <v>0</v>
      </c>
    </row>
    <row r="2492" spans="1:14" x14ac:dyDescent="0.25">
      <c r="A2492">
        <v>1681.487713</v>
      </c>
      <c r="B2492" s="1">
        <f>DATE(2014,12,7) + TIME(11,42,18)</f>
        <v>41980.487708333334</v>
      </c>
      <c r="C2492">
        <v>90</v>
      </c>
      <c r="D2492">
        <v>86.507362365999995</v>
      </c>
      <c r="E2492">
        <v>30</v>
      </c>
      <c r="F2492">
        <v>29.992933272999998</v>
      </c>
      <c r="G2492">
        <v>1305.1373291</v>
      </c>
      <c r="H2492">
        <v>1293.8505858999999</v>
      </c>
      <c r="I2492">
        <v>1413.9295654</v>
      </c>
      <c r="J2492">
        <v>1385.8718262</v>
      </c>
      <c r="K2492">
        <v>0</v>
      </c>
      <c r="L2492">
        <v>2400</v>
      </c>
      <c r="M2492">
        <v>2400</v>
      </c>
      <c r="N2492">
        <v>0</v>
      </c>
    </row>
    <row r="2493" spans="1:14" x14ac:dyDescent="0.25">
      <c r="A2493">
        <v>1682.4900700000001</v>
      </c>
      <c r="B2493" s="1">
        <f>DATE(2014,12,8) + TIME(11,45,42)</f>
        <v>41981.490069444444</v>
      </c>
      <c r="C2493">
        <v>90</v>
      </c>
      <c r="D2493">
        <v>86.433059692</v>
      </c>
      <c r="E2493">
        <v>30</v>
      </c>
      <c r="F2493">
        <v>29.992929458999999</v>
      </c>
      <c r="G2493">
        <v>1305.0745850000001</v>
      </c>
      <c r="H2493">
        <v>1293.7736815999999</v>
      </c>
      <c r="I2493">
        <v>1413.9509277</v>
      </c>
      <c r="J2493">
        <v>1385.8985596</v>
      </c>
      <c r="K2493">
        <v>0</v>
      </c>
      <c r="L2493">
        <v>2400</v>
      </c>
      <c r="M2493">
        <v>2400</v>
      </c>
      <c r="N2493">
        <v>0</v>
      </c>
    </row>
    <row r="2494" spans="1:14" x14ac:dyDescent="0.25">
      <c r="A2494">
        <v>1683.5036809999999</v>
      </c>
      <c r="B2494" s="1">
        <f>DATE(2014,12,9) + TIME(12,5,18)</f>
        <v>41982.503680555557</v>
      </c>
      <c r="C2494">
        <v>90</v>
      </c>
      <c r="D2494">
        <v>86.358444214000002</v>
      </c>
      <c r="E2494">
        <v>30</v>
      </c>
      <c r="F2494">
        <v>29.992925644</v>
      </c>
      <c r="G2494">
        <v>1305.0106201000001</v>
      </c>
      <c r="H2494">
        <v>1293.6948242000001</v>
      </c>
      <c r="I2494">
        <v>1413.9720459</v>
      </c>
      <c r="J2494">
        <v>1385.9249268000001</v>
      </c>
      <c r="K2494">
        <v>0</v>
      </c>
      <c r="L2494">
        <v>2400</v>
      </c>
      <c r="M2494">
        <v>2400</v>
      </c>
      <c r="N2494">
        <v>0</v>
      </c>
    </row>
    <row r="2495" spans="1:14" x14ac:dyDescent="0.25">
      <c r="A2495">
        <v>1684.530974</v>
      </c>
      <c r="B2495" s="1">
        <f>DATE(2014,12,10) + TIME(12,44,36)</f>
        <v>41983.530972222223</v>
      </c>
      <c r="C2495">
        <v>90</v>
      </c>
      <c r="D2495">
        <v>86.283508300999998</v>
      </c>
      <c r="E2495">
        <v>30</v>
      </c>
      <c r="F2495">
        <v>29.992919921999999</v>
      </c>
      <c r="G2495">
        <v>1304.9451904</v>
      </c>
      <c r="H2495">
        <v>1293.6140137</v>
      </c>
      <c r="I2495">
        <v>1413.9927978999999</v>
      </c>
      <c r="J2495">
        <v>1385.9508057</v>
      </c>
      <c r="K2495">
        <v>0</v>
      </c>
      <c r="L2495">
        <v>2400</v>
      </c>
      <c r="M2495">
        <v>2400</v>
      </c>
      <c r="N2495">
        <v>0</v>
      </c>
    </row>
    <row r="2496" spans="1:14" x14ac:dyDescent="0.25">
      <c r="A2496">
        <v>1685.5744139999999</v>
      </c>
      <c r="B2496" s="1">
        <f>DATE(2014,12,11) + TIME(13,47,9)</f>
        <v>41984.57440972222</v>
      </c>
      <c r="C2496">
        <v>90</v>
      </c>
      <c r="D2496">
        <v>86.208175659000005</v>
      </c>
      <c r="E2496">
        <v>30</v>
      </c>
      <c r="F2496">
        <v>29.992916106999999</v>
      </c>
      <c r="G2496">
        <v>1304.8780518000001</v>
      </c>
      <c r="H2496">
        <v>1293.5307617000001</v>
      </c>
      <c r="I2496">
        <v>1414.0134277</v>
      </c>
      <c r="J2496">
        <v>1385.9764404</v>
      </c>
      <c r="K2496">
        <v>0</v>
      </c>
      <c r="L2496">
        <v>2400</v>
      </c>
      <c r="M2496">
        <v>2400</v>
      </c>
      <c r="N2496">
        <v>0</v>
      </c>
    </row>
    <row r="2497" spans="1:14" x14ac:dyDescent="0.25">
      <c r="A2497">
        <v>1686.6366700000001</v>
      </c>
      <c r="B2497" s="1">
        <f>DATE(2014,12,12) + TIME(15,16,48)</f>
        <v>41985.636666666665</v>
      </c>
      <c r="C2497">
        <v>90</v>
      </c>
      <c r="D2497">
        <v>86.132293700999995</v>
      </c>
      <c r="E2497">
        <v>30</v>
      </c>
      <c r="F2497">
        <v>29.992912292</v>
      </c>
      <c r="G2497">
        <v>1304.8089600000001</v>
      </c>
      <c r="H2497">
        <v>1293.4449463000001</v>
      </c>
      <c r="I2497">
        <v>1414.0339355000001</v>
      </c>
      <c r="J2497">
        <v>1386.0018310999999</v>
      </c>
      <c r="K2497">
        <v>0</v>
      </c>
      <c r="L2497">
        <v>2400</v>
      </c>
      <c r="M2497">
        <v>2400</v>
      </c>
      <c r="N2497">
        <v>0</v>
      </c>
    </row>
    <row r="2498" spans="1:14" x14ac:dyDescent="0.25">
      <c r="A2498">
        <v>1687.7205839999999</v>
      </c>
      <c r="B2498" s="1">
        <f>DATE(2014,12,13) + TIME(17,17,38)</f>
        <v>41986.720578703702</v>
      </c>
      <c r="C2498">
        <v>90</v>
      </c>
      <c r="D2498">
        <v>86.055702209000003</v>
      </c>
      <c r="E2498">
        <v>30</v>
      </c>
      <c r="F2498">
        <v>29.992906569999999</v>
      </c>
      <c r="G2498">
        <v>1304.7379149999999</v>
      </c>
      <c r="H2498">
        <v>1293.3563231999999</v>
      </c>
      <c r="I2498">
        <v>1414.0544434000001</v>
      </c>
      <c r="J2498">
        <v>1386.0269774999999</v>
      </c>
      <c r="K2498">
        <v>0</v>
      </c>
      <c r="L2498">
        <v>2400</v>
      </c>
      <c r="M2498">
        <v>2400</v>
      </c>
      <c r="N2498">
        <v>0</v>
      </c>
    </row>
    <row r="2499" spans="1:14" x14ac:dyDescent="0.25">
      <c r="A2499">
        <v>1688.8292200000001</v>
      </c>
      <c r="B2499" s="1">
        <f>DATE(2014,12,14) + TIME(19,54,4)</f>
        <v>41987.829212962963</v>
      </c>
      <c r="C2499">
        <v>90</v>
      </c>
      <c r="D2499">
        <v>85.978218079000001</v>
      </c>
      <c r="E2499">
        <v>30</v>
      </c>
      <c r="F2499">
        <v>29.992902755999999</v>
      </c>
      <c r="G2499">
        <v>1304.6645507999999</v>
      </c>
      <c r="H2499">
        <v>1293.2645264</v>
      </c>
      <c r="I2499">
        <v>1414.0748291</v>
      </c>
      <c r="J2499">
        <v>1386.0520019999999</v>
      </c>
      <c r="K2499">
        <v>0</v>
      </c>
      <c r="L2499">
        <v>2400</v>
      </c>
      <c r="M2499">
        <v>2400</v>
      </c>
      <c r="N2499">
        <v>0</v>
      </c>
    </row>
    <row r="2500" spans="1:14" x14ac:dyDescent="0.25">
      <c r="A2500">
        <v>1689.9659240000001</v>
      </c>
      <c r="B2500" s="1">
        <f>DATE(2014,12,15) + TIME(23,10,55)</f>
        <v>41988.965914351851</v>
      </c>
      <c r="C2500">
        <v>90</v>
      </c>
      <c r="D2500">
        <v>85.899658203000001</v>
      </c>
      <c r="E2500">
        <v>30</v>
      </c>
      <c r="F2500">
        <v>29.992898941</v>
      </c>
      <c r="G2500">
        <v>1304.5886230000001</v>
      </c>
      <c r="H2500">
        <v>1293.1693115</v>
      </c>
      <c r="I2500">
        <v>1414.0953368999999</v>
      </c>
      <c r="J2500">
        <v>1386.0770264</v>
      </c>
      <c r="K2500">
        <v>0</v>
      </c>
      <c r="L2500">
        <v>2400</v>
      </c>
      <c r="M2500">
        <v>2400</v>
      </c>
      <c r="N2500">
        <v>0</v>
      </c>
    </row>
    <row r="2501" spans="1:14" x14ac:dyDescent="0.25">
      <c r="A2501">
        <v>1691.133932</v>
      </c>
      <c r="B2501" s="1">
        <f>DATE(2014,12,17) + TIME(3,12,51)</f>
        <v>41990.133923611109</v>
      </c>
      <c r="C2501">
        <v>90</v>
      </c>
      <c r="D2501">
        <v>85.819816588999998</v>
      </c>
      <c r="E2501">
        <v>30</v>
      </c>
      <c r="F2501">
        <v>29.992893218999999</v>
      </c>
      <c r="G2501">
        <v>1304.5098877</v>
      </c>
      <c r="H2501">
        <v>1293.0701904</v>
      </c>
      <c r="I2501">
        <v>1414.1158447</v>
      </c>
      <c r="J2501">
        <v>1386.1021728999999</v>
      </c>
      <c r="K2501">
        <v>0</v>
      </c>
      <c r="L2501">
        <v>2400</v>
      </c>
      <c r="M2501">
        <v>2400</v>
      </c>
      <c r="N2501">
        <v>0</v>
      </c>
    </row>
    <row r="2502" spans="1:14" x14ac:dyDescent="0.25">
      <c r="A2502">
        <v>1692.313527</v>
      </c>
      <c r="B2502" s="1">
        <f>DATE(2014,12,18) + TIME(7,31,28)</f>
        <v>41991.313518518517</v>
      </c>
      <c r="C2502">
        <v>90</v>
      </c>
      <c r="D2502">
        <v>85.739135742000002</v>
      </c>
      <c r="E2502">
        <v>30</v>
      </c>
      <c r="F2502">
        <v>29.992889404</v>
      </c>
      <c r="G2502">
        <v>1304.4279785000001</v>
      </c>
      <c r="H2502">
        <v>1292.9669189000001</v>
      </c>
      <c r="I2502">
        <v>1414.1364745999999</v>
      </c>
      <c r="J2502">
        <v>1386.1271973</v>
      </c>
      <c r="K2502">
        <v>0</v>
      </c>
      <c r="L2502">
        <v>2400</v>
      </c>
      <c r="M2502">
        <v>2400</v>
      </c>
      <c r="N2502">
        <v>0</v>
      </c>
    </row>
    <row r="2503" spans="1:14" x14ac:dyDescent="0.25">
      <c r="A2503">
        <v>1693.5040019999999</v>
      </c>
      <c r="B2503" s="1">
        <f>DATE(2014,12,19) + TIME(12,5,45)</f>
        <v>41992.503993055558</v>
      </c>
      <c r="C2503">
        <v>90</v>
      </c>
      <c r="D2503">
        <v>85.658073424999998</v>
      </c>
      <c r="E2503">
        <v>30</v>
      </c>
      <c r="F2503">
        <v>29.99288559</v>
      </c>
      <c r="G2503">
        <v>1304.3441161999999</v>
      </c>
      <c r="H2503">
        <v>1292.8608397999999</v>
      </c>
      <c r="I2503">
        <v>1414.1568603999999</v>
      </c>
      <c r="J2503">
        <v>1386.1518555</v>
      </c>
      <c r="K2503">
        <v>0</v>
      </c>
      <c r="L2503">
        <v>2400</v>
      </c>
      <c r="M2503">
        <v>2400</v>
      </c>
      <c r="N2503">
        <v>0</v>
      </c>
    </row>
    <row r="2504" spans="1:14" x14ac:dyDescent="0.25">
      <c r="A2504">
        <v>1694.708044</v>
      </c>
      <c r="B2504" s="1">
        <f>DATE(2014,12,20) + TIME(16,59,35)</f>
        <v>41993.708043981482</v>
      </c>
      <c r="C2504">
        <v>90</v>
      </c>
      <c r="D2504">
        <v>85.576728821000003</v>
      </c>
      <c r="E2504">
        <v>30</v>
      </c>
      <c r="F2504">
        <v>29.992881775000001</v>
      </c>
      <c r="G2504">
        <v>1304.2584228999999</v>
      </c>
      <c r="H2504">
        <v>1292.7520752</v>
      </c>
      <c r="I2504">
        <v>1414.1770019999999</v>
      </c>
      <c r="J2504">
        <v>1386.1762695</v>
      </c>
      <c r="K2504">
        <v>0</v>
      </c>
      <c r="L2504">
        <v>2400</v>
      </c>
      <c r="M2504">
        <v>2400</v>
      </c>
      <c r="N2504">
        <v>0</v>
      </c>
    </row>
    <row r="2505" spans="1:14" x14ac:dyDescent="0.25">
      <c r="A2505">
        <v>1695.9283740000001</v>
      </c>
      <c r="B2505" s="1">
        <f>DATE(2014,12,21) + TIME(22,16,51)</f>
        <v>41994.928368055553</v>
      </c>
      <c r="C2505">
        <v>90</v>
      </c>
      <c r="D2505">
        <v>85.495040893999999</v>
      </c>
      <c r="E2505">
        <v>30</v>
      </c>
      <c r="F2505">
        <v>29.992876053</v>
      </c>
      <c r="G2505">
        <v>1304.1706543</v>
      </c>
      <c r="H2505">
        <v>1292.6403809000001</v>
      </c>
      <c r="I2505">
        <v>1414.1968993999999</v>
      </c>
      <c r="J2505">
        <v>1386.2003173999999</v>
      </c>
      <c r="K2505">
        <v>0</v>
      </c>
      <c r="L2505">
        <v>2400</v>
      </c>
      <c r="M2505">
        <v>2400</v>
      </c>
      <c r="N2505">
        <v>0</v>
      </c>
    </row>
    <row r="2506" spans="1:14" x14ac:dyDescent="0.25">
      <c r="A2506">
        <v>1697.167899</v>
      </c>
      <c r="B2506" s="1">
        <f>DATE(2014,12,23) + TIME(4,1,46)</f>
        <v>41996.167893518519</v>
      </c>
      <c r="C2506">
        <v>90</v>
      </c>
      <c r="D2506">
        <v>85.412879943999997</v>
      </c>
      <c r="E2506">
        <v>30</v>
      </c>
      <c r="F2506">
        <v>29.992872238</v>
      </c>
      <c r="G2506">
        <v>1304.0805664</v>
      </c>
      <c r="H2506">
        <v>1292.5255127</v>
      </c>
      <c r="I2506">
        <v>1414.2167969</v>
      </c>
      <c r="J2506">
        <v>1386.223999</v>
      </c>
      <c r="K2506">
        <v>0</v>
      </c>
      <c r="L2506">
        <v>2400</v>
      </c>
      <c r="M2506">
        <v>2400</v>
      </c>
      <c r="N2506">
        <v>0</v>
      </c>
    </row>
    <row r="2507" spans="1:14" x14ac:dyDescent="0.25">
      <c r="A2507">
        <v>1698.4296870000001</v>
      </c>
      <c r="B2507" s="1">
        <f>DATE(2014,12,24) + TIME(10,18,44)</f>
        <v>41997.429675925923</v>
      </c>
      <c r="C2507">
        <v>90</v>
      </c>
      <c r="D2507">
        <v>85.330070496000005</v>
      </c>
      <c r="E2507">
        <v>30</v>
      </c>
      <c r="F2507">
        <v>29.992868423000001</v>
      </c>
      <c r="G2507">
        <v>1303.9880370999999</v>
      </c>
      <c r="H2507">
        <v>1292.4069824000001</v>
      </c>
      <c r="I2507">
        <v>1414.2364502</v>
      </c>
      <c r="J2507">
        <v>1386.2476807</v>
      </c>
      <c r="K2507">
        <v>0</v>
      </c>
      <c r="L2507">
        <v>2400</v>
      </c>
      <c r="M2507">
        <v>2400</v>
      </c>
      <c r="N2507">
        <v>0</v>
      </c>
    </row>
    <row r="2508" spans="1:14" x14ac:dyDescent="0.25">
      <c r="A2508">
        <v>1699.7170169999999</v>
      </c>
      <c r="B2508" s="1">
        <f>DATE(2014,12,25) + TIME(17,12,30)</f>
        <v>41998.717013888891</v>
      </c>
      <c r="C2508">
        <v>90</v>
      </c>
      <c r="D2508">
        <v>85.246421814000001</v>
      </c>
      <c r="E2508">
        <v>30</v>
      </c>
      <c r="F2508">
        <v>29.992864609000002</v>
      </c>
      <c r="G2508">
        <v>1303.8925781</v>
      </c>
      <c r="H2508">
        <v>1292.2845459</v>
      </c>
      <c r="I2508">
        <v>1414.2561035000001</v>
      </c>
      <c r="J2508">
        <v>1386.2711182</v>
      </c>
      <c r="K2508">
        <v>0</v>
      </c>
      <c r="L2508">
        <v>2400</v>
      </c>
      <c r="M2508">
        <v>2400</v>
      </c>
      <c r="N2508">
        <v>0</v>
      </c>
    </row>
    <row r="2509" spans="1:14" x14ac:dyDescent="0.25">
      <c r="A2509">
        <v>1701.0334350000001</v>
      </c>
      <c r="B2509" s="1">
        <f>DATE(2014,12,27) + TIME(0,48,8)</f>
        <v>42000.033425925925</v>
      </c>
      <c r="C2509">
        <v>90</v>
      </c>
      <c r="D2509">
        <v>85.161727905000006</v>
      </c>
      <c r="E2509">
        <v>30</v>
      </c>
      <c r="F2509">
        <v>29.992858887000001</v>
      </c>
      <c r="G2509">
        <v>1303.7940673999999</v>
      </c>
      <c r="H2509">
        <v>1292.1578368999999</v>
      </c>
      <c r="I2509">
        <v>1414.2757568</v>
      </c>
      <c r="J2509">
        <v>1386.2944336</v>
      </c>
      <c r="K2509">
        <v>0</v>
      </c>
      <c r="L2509">
        <v>2400</v>
      </c>
      <c r="M2509">
        <v>2400</v>
      </c>
      <c r="N2509">
        <v>0</v>
      </c>
    </row>
    <row r="2510" spans="1:14" x14ac:dyDescent="0.25">
      <c r="A2510">
        <v>1702.3828229999999</v>
      </c>
      <c r="B2510" s="1">
        <f>DATE(2014,12,28) + TIME(9,11,15)</f>
        <v>42001.3828125</v>
      </c>
      <c r="C2510">
        <v>90</v>
      </c>
      <c r="D2510">
        <v>85.075782775999997</v>
      </c>
      <c r="E2510">
        <v>30</v>
      </c>
      <c r="F2510">
        <v>29.992855072000001</v>
      </c>
      <c r="G2510">
        <v>1303.6920166</v>
      </c>
      <c r="H2510">
        <v>1292.0262451000001</v>
      </c>
      <c r="I2510">
        <v>1414.2954102000001</v>
      </c>
      <c r="J2510">
        <v>1386.3178711</v>
      </c>
      <c r="K2510">
        <v>0</v>
      </c>
      <c r="L2510">
        <v>2400</v>
      </c>
      <c r="M2510">
        <v>2400</v>
      </c>
      <c r="N2510">
        <v>0</v>
      </c>
    </row>
    <row r="2511" spans="1:14" x14ac:dyDescent="0.25">
      <c r="A2511">
        <v>1703.747251</v>
      </c>
      <c r="B2511" s="1">
        <f>DATE(2014,12,29) + TIME(17,56,2)</f>
        <v>42002.747245370374</v>
      </c>
      <c r="C2511">
        <v>90</v>
      </c>
      <c r="D2511">
        <v>84.988853454999997</v>
      </c>
      <c r="E2511">
        <v>30</v>
      </c>
      <c r="F2511">
        <v>29.992851257000002</v>
      </c>
      <c r="G2511">
        <v>1303.5863036999999</v>
      </c>
      <c r="H2511">
        <v>1291.8896483999999</v>
      </c>
      <c r="I2511">
        <v>1414.3150635</v>
      </c>
      <c r="J2511">
        <v>1386.3411865</v>
      </c>
      <c r="K2511">
        <v>0</v>
      </c>
      <c r="L2511">
        <v>2400</v>
      </c>
      <c r="M2511">
        <v>2400</v>
      </c>
      <c r="N2511">
        <v>0</v>
      </c>
    </row>
    <row r="2512" spans="1:14" x14ac:dyDescent="0.25">
      <c r="A2512">
        <v>1705.1235810000001</v>
      </c>
      <c r="B2512" s="1">
        <f>DATE(2014,12,31) + TIME(2,57,57)</f>
        <v>42004.123576388891</v>
      </c>
      <c r="C2512">
        <v>90</v>
      </c>
      <c r="D2512">
        <v>84.901321410999998</v>
      </c>
      <c r="E2512">
        <v>30</v>
      </c>
      <c r="F2512">
        <v>29.992847442999999</v>
      </c>
      <c r="G2512">
        <v>1303.4779053</v>
      </c>
      <c r="H2512">
        <v>1291.7491454999999</v>
      </c>
      <c r="I2512">
        <v>1414.3347168</v>
      </c>
      <c r="J2512">
        <v>1386.3642577999999</v>
      </c>
      <c r="K2512">
        <v>0</v>
      </c>
      <c r="L2512">
        <v>2400</v>
      </c>
      <c r="M2512">
        <v>2400</v>
      </c>
      <c r="N2512">
        <v>0</v>
      </c>
    </row>
    <row r="2513" spans="1:14" x14ac:dyDescent="0.25">
      <c r="A2513">
        <v>1706</v>
      </c>
      <c r="B2513" s="1">
        <f>DATE(2015,1,1) + TIME(0,0,0)</f>
        <v>42005</v>
      </c>
      <c r="C2513">
        <v>90</v>
      </c>
      <c r="D2513">
        <v>84.829185486</v>
      </c>
      <c r="E2513">
        <v>30</v>
      </c>
      <c r="F2513">
        <v>29.992843627999999</v>
      </c>
      <c r="G2513">
        <v>1303.3691406</v>
      </c>
      <c r="H2513">
        <v>1291.6104736</v>
      </c>
      <c r="I2513">
        <v>1414.3535156</v>
      </c>
      <c r="J2513">
        <v>1386.3865966999999</v>
      </c>
      <c r="K2513">
        <v>0</v>
      </c>
      <c r="L2513">
        <v>2400</v>
      </c>
      <c r="M2513">
        <v>2400</v>
      </c>
      <c r="N2513">
        <v>0</v>
      </c>
    </row>
    <row r="2514" spans="1:14" x14ac:dyDescent="0.25">
      <c r="A2514">
        <v>1707.3911860000001</v>
      </c>
      <c r="B2514" s="1">
        <f>DATE(2015,1,2) + TIME(9,23,18)</f>
        <v>42006.391180555554</v>
      </c>
      <c r="C2514">
        <v>90</v>
      </c>
      <c r="D2514">
        <v>84.751686096</v>
      </c>
      <c r="E2514">
        <v>30</v>
      </c>
      <c r="F2514">
        <v>29.992839813</v>
      </c>
      <c r="G2514">
        <v>1303.2929687999999</v>
      </c>
      <c r="H2514">
        <v>1291.5070800999999</v>
      </c>
      <c r="I2514">
        <v>1414.3660889</v>
      </c>
      <c r="J2514">
        <v>1386.4012451000001</v>
      </c>
      <c r="K2514">
        <v>0</v>
      </c>
      <c r="L2514">
        <v>2400</v>
      </c>
      <c r="M2514">
        <v>2400</v>
      </c>
      <c r="N2514">
        <v>0</v>
      </c>
    </row>
    <row r="2515" spans="1:14" x14ac:dyDescent="0.25">
      <c r="A2515">
        <v>1708.8135360000001</v>
      </c>
      <c r="B2515" s="1">
        <f>DATE(2015,1,3) + TIME(19,31,29)</f>
        <v>42007.813530092593</v>
      </c>
      <c r="C2515">
        <v>90</v>
      </c>
      <c r="D2515">
        <v>84.667068481000001</v>
      </c>
      <c r="E2515">
        <v>30</v>
      </c>
      <c r="F2515">
        <v>29.992835999</v>
      </c>
      <c r="G2515">
        <v>1303.1805420000001</v>
      </c>
      <c r="H2515">
        <v>1291.3612060999999</v>
      </c>
      <c r="I2515">
        <v>1414.3848877</v>
      </c>
      <c r="J2515">
        <v>1386.4233397999999</v>
      </c>
      <c r="K2515">
        <v>0</v>
      </c>
      <c r="L2515">
        <v>2400</v>
      </c>
      <c r="M2515">
        <v>2400</v>
      </c>
      <c r="N2515">
        <v>0</v>
      </c>
    </row>
    <row r="2516" spans="1:14" x14ac:dyDescent="0.25">
      <c r="A2516">
        <v>1710.2589840000001</v>
      </c>
      <c r="B2516" s="1">
        <f>DATE(2015,1,5) + TIME(6,12,56)</f>
        <v>42009.258981481478</v>
      </c>
      <c r="C2516">
        <v>90</v>
      </c>
      <c r="D2516">
        <v>84.579025268999999</v>
      </c>
      <c r="E2516">
        <v>30</v>
      </c>
      <c r="F2516">
        <v>29.992832184000001</v>
      </c>
      <c r="G2516">
        <v>1303.0629882999999</v>
      </c>
      <c r="H2516">
        <v>1291.2081298999999</v>
      </c>
      <c r="I2516">
        <v>1414.4038086</v>
      </c>
      <c r="J2516">
        <v>1386.4454346</v>
      </c>
      <c r="K2516">
        <v>0</v>
      </c>
      <c r="L2516">
        <v>2400</v>
      </c>
      <c r="M2516">
        <v>2400</v>
      </c>
      <c r="N2516">
        <v>0</v>
      </c>
    </row>
    <row r="2517" spans="1:14" x14ac:dyDescent="0.25">
      <c r="A2517">
        <v>1711.7311990000001</v>
      </c>
      <c r="B2517" s="1">
        <f>DATE(2015,1,6) + TIME(17,32,55)</f>
        <v>42010.731192129628</v>
      </c>
      <c r="C2517">
        <v>90</v>
      </c>
      <c r="D2517">
        <v>84.488998413000004</v>
      </c>
      <c r="E2517">
        <v>30</v>
      </c>
      <c r="F2517">
        <v>29.992828369000001</v>
      </c>
      <c r="G2517">
        <v>1302.9417725000001</v>
      </c>
      <c r="H2517">
        <v>1291.0494385</v>
      </c>
      <c r="I2517">
        <v>1414.4226074000001</v>
      </c>
      <c r="J2517">
        <v>1386.4674072</v>
      </c>
      <c r="K2517">
        <v>0</v>
      </c>
      <c r="L2517">
        <v>2400</v>
      </c>
      <c r="M2517">
        <v>2400</v>
      </c>
      <c r="N2517">
        <v>0</v>
      </c>
    </row>
    <row r="2518" spans="1:14" x14ac:dyDescent="0.25">
      <c r="A2518">
        <v>1713.2339750000001</v>
      </c>
      <c r="B2518" s="1">
        <f>DATE(2015,1,8) + TIME(5,36,55)</f>
        <v>42012.233969907407</v>
      </c>
      <c r="C2518">
        <v>90</v>
      </c>
      <c r="D2518">
        <v>84.397369385000005</v>
      </c>
      <c r="E2518">
        <v>30</v>
      </c>
      <c r="F2518">
        <v>29.992822647000001</v>
      </c>
      <c r="G2518">
        <v>1302.8166504000001</v>
      </c>
      <c r="H2518">
        <v>1290.8851318</v>
      </c>
      <c r="I2518">
        <v>1414.4414062000001</v>
      </c>
      <c r="J2518">
        <v>1386.4892577999999</v>
      </c>
      <c r="K2518">
        <v>0</v>
      </c>
      <c r="L2518">
        <v>2400</v>
      </c>
      <c r="M2518">
        <v>2400</v>
      </c>
      <c r="N2518">
        <v>0</v>
      </c>
    </row>
    <row r="2519" spans="1:14" x14ac:dyDescent="0.25">
      <c r="A2519">
        <v>1714.77144</v>
      </c>
      <c r="B2519" s="1">
        <f>DATE(2015,1,9) + TIME(18,30,52)</f>
        <v>42013.771435185183</v>
      </c>
      <c r="C2519">
        <v>90</v>
      </c>
      <c r="D2519">
        <v>84.304100036999998</v>
      </c>
      <c r="E2519">
        <v>30</v>
      </c>
      <c r="F2519">
        <v>29.992818832000001</v>
      </c>
      <c r="G2519">
        <v>1302.6873779</v>
      </c>
      <c r="H2519">
        <v>1290.7150879000001</v>
      </c>
      <c r="I2519">
        <v>1414.4600829999999</v>
      </c>
      <c r="J2519">
        <v>1386.5111084</v>
      </c>
      <c r="K2519">
        <v>0</v>
      </c>
      <c r="L2519">
        <v>2400</v>
      </c>
      <c r="M2519">
        <v>2400</v>
      </c>
      <c r="N2519">
        <v>0</v>
      </c>
    </row>
    <row r="2520" spans="1:14" x14ac:dyDescent="0.25">
      <c r="A2520">
        <v>1716.322525</v>
      </c>
      <c r="B2520" s="1">
        <f>DATE(2015,1,11) + TIME(7,44,26)</f>
        <v>42015.322523148148</v>
      </c>
      <c r="C2520">
        <v>90</v>
      </c>
      <c r="D2520">
        <v>84.209526061999995</v>
      </c>
      <c r="E2520">
        <v>30</v>
      </c>
      <c r="F2520">
        <v>29.992815018000002</v>
      </c>
      <c r="G2520">
        <v>1302.5537108999999</v>
      </c>
      <c r="H2520">
        <v>1290.5388184000001</v>
      </c>
      <c r="I2520">
        <v>1414.4788818</v>
      </c>
      <c r="J2520">
        <v>1386.5328368999999</v>
      </c>
      <c r="K2520">
        <v>0</v>
      </c>
      <c r="L2520">
        <v>2400</v>
      </c>
      <c r="M2520">
        <v>2400</v>
      </c>
      <c r="N2520">
        <v>0</v>
      </c>
    </row>
    <row r="2521" spans="1:14" x14ac:dyDescent="0.25">
      <c r="A2521">
        <v>1717.8869990000001</v>
      </c>
      <c r="B2521" s="1">
        <f>DATE(2015,1,12) + TIME(21,17,16)</f>
        <v>42016.886990740742</v>
      </c>
      <c r="C2521">
        <v>90</v>
      </c>
      <c r="D2521">
        <v>84.114135742000002</v>
      </c>
      <c r="E2521">
        <v>30</v>
      </c>
      <c r="F2521">
        <v>29.992811202999999</v>
      </c>
      <c r="G2521">
        <v>1302.4171143000001</v>
      </c>
      <c r="H2521">
        <v>1290.3581543</v>
      </c>
      <c r="I2521">
        <v>1414.4975586</v>
      </c>
      <c r="J2521">
        <v>1386.5543213000001</v>
      </c>
      <c r="K2521">
        <v>0</v>
      </c>
      <c r="L2521">
        <v>2400</v>
      </c>
      <c r="M2521">
        <v>2400</v>
      </c>
      <c r="N2521">
        <v>0</v>
      </c>
    </row>
    <row r="2522" spans="1:14" x14ac:dyDescent="0.25">
      <c r="A2522">
        <v>1719.468206</v>
      </c>
      <c r="B2522" s="1">
        <f>DATE(2015,1,14) + TIME(11,14,13)</f>
        <v>42018.468206018515</v>
      </c>
      <c r="C2522">
        <v>90</v>
      </c>
      <c r="D2522">
        <v>84.017997742000006</v>
      </c>
      <c r="E2522">
        <v>30</v>
      </c>
      <c r="F2522">
        <v>29.992807387999999</v>
      </c>
      <c r="G2522">
        <v>1302.2775879000001</v>
      </c>
      <c r="H2522">
        <v>1290.1733397999999</v>
      </c>
      <c r="I2522">
        <v>1414.5158690999999</v>
      </c>
      <c r="J2522">
        <v>1386.5755615</v>
      </c>
      <c r="K2522">
        <v>0</v>
      </c>
      <c r="L2522">
        <v>2400</v>
      </c>
      <c r="M2522">
        <v>2400</v>
      </c>
      <c r="N2522">
        <v>0</v>
      </c>
    </row>
    <row r="2523" spans="1:14" x14ac:dyDescent="0.25">
      <c r="A2523">
        <v>1721.0695459999999</v>
      </c>
      <c r="B2523" s="1">
        <f>DATE(2015,1,16) + TIME(1,40,8)</f>
        <v>42020.069537037038</v>
      </c>
      <c r="C2523">
        <v>90</v>
      </c>
      <c r="D2523">
        <v>83.920967102000006</v>
      </c>
      <c r="E2523">
        <v>30</v>
      </c>
      <c r="F2523">
        <v>29.992803574</v>
      </c>
      <c r="G2523">
        <v>1302.1348877</v>
      </c>
      <c r="H2523">
        <v>1289.9840088000001</v>
      </c>
      <c r="I2523">
        <v>1414.5339355000001</v>
      </c>
      <c r="J2523">
        <v>1386.5965576000001</v>
      </c>
      <c r="K2523">
        <v>0</v>
      </c>
      <c r="L2523">
        <v>2400</v>
      </c>
      <c r="M2523">
        <v>2400</v>
      </c>
      <c r="N2523">
        <v>0</v>
      </c>
    </row>
    <row r="2524" spans="1:14" x14ac:dyDescent="0.25">
      <c r="A2524">
        <v>1722.694565</v>
      </c>
      <c r="B2524" s="1">
        <f>DATE(2015,1,17) + TIME(16,40,10)</f>
        <v>42021.694560185184</v>
      </c>
      <c r="C2524">
        <v>90</v>
      </c>
      <c r="D2524">
        <v>83.822807311999995</v>
      </c>
      <c r="E2524">
        <v>30</v>
      </c>
      <c r="F2524">
        <v>29.992799759</v>
      </c>
      <c r="G2524">
        <v>1301.9888916</v>
      </c>
      <c r="H2524">
        <v>1289.7897949000001</v>
      </c>
      <c r="I2524">
        <v>1414.5520019999999</v>
      </c>
      <c r="J2524">
        <v>1386.6171875</v>
      </c>
      <c r="K2524">
        <v>0</v>
      </c>
      <c r="L2524">
        <v>2400</v>
      </c>
      <c r="M2524">
        <v>2400</v>
      </c>
      <c r="N2524">
        <v>0</v>
      </c>
    </row>
    <row r="2525" spans="1:14" x14ac:dyDescent="0.25">
      <c r="A2525">
        <v>1724.3470090000001</v>
      </c>
      <c r="B2525" s="1">
        <f>DATE(2015,1,19) + TIME(8,19,41)</f>
        <v>42023.347002314818</v>
      </c>
      <c r="C2525">
        <v>90</v>
      </c>
      <c r="D2525">
        <v>83.723251343000001</v>
      </c>
      <c r="E2525">
        <v>30</v>
      </c>
      <c r="F2525">
        <v>29.992795944000001</v>
      </c>
      <c r="G2525">
        <v>1301.8389893000001</v>
      </c>
      <c r="H2525">
        <v>1289.5900879000001</v>
      </c>
      <c r="I2525">
        <v>1414.5698242000001</v>
      </c>
      <c r="J2525">
        <v>1386.6378173999999</v>
      </c>
      <c r="K2525">
        <v>0</v>
      </c>
      <c r="L2525">
        <v>2400</v>
      </c>
      <c r="M2525">
        <v>2400</v>
      </c>
      <c r="N2525">
        <v>0</v>
      </c>
    </row>
    <row r="2526" spans="1:14" x14ac:dyDescent="0.25">
      <c r="A2526">
        <v>1726.0308829999999</v>
      </c>
      <c r="B2526" s="1">
        <f>DATE(2015,1,21) + TIME(0,44,28)</f>
        <v>42025.03087962963</v>
      </c>
      <c r="C2526">
        <v>90</v>
      </c>
      <c r="D2526">
        <v>83.622001647999994</v>
      </c>
      <c r="E2526">
        <v>30</v>
      </c>
      <c r="F2526">
        <v>29.992790222</v>
      </c>
      <c r="G2526">
        <v>1301.6849365</v>
      </c>
      <c r="H2526">
        <v>1289.3843993999999</v>
      </c>
      <c r="I2526">
        <v>1414.5876464999999</v>
      </c>
      <c r="J2526">
        <v>1386.6582031</v>
      </c>
      <c r="K2526">
        <v>0</v>
      </c>
      <c r="L2526">
        <v>2400</v>
      </c>
      <c r="M2526">
        <v>2400</v>
      </c>
      <c r="N2526">
        <v>0</v>
      </c>
    </row>
    <row r="2527" spans="1:14" x14ac:dyDescent="0.25">
      <c r="A2527">
        <v>1727.7505180000001</v>
      </c>
      <c r="B2527" s="1">
        <f>DATE(2015,1,22) + TIME(18,0,44)</f>
        <v>42026.750509259262</v>
      </c>
      <c r="C2527">
        <v>90</v>
      </c>
      <c r="D2527">
        <v>83.518737793</v>
      </c>
      <c r="E2527">
        <v>30</v>
      </c>
      <c r="F2527">
        <v>29.992786407000001</v>
      </c>
      <c r="G2527">
        <v>1301.5263672000001</v>
      </c>
      <c r="H2527">
        <v>1289.1722411999999</v>
      </c>
      <c r="I2527">
        <v>1414.6054687999999</v>
      </c>
      <c r="J2527">
        <v>1386.6785889</v>
      </c>
      <c r="K2527">
        <v>0</v>
      </c>
      <c r="L2527">
        <v>2400</v>
      </c>
      <c r="M2527">
        <v>2400</v>
      </c>
      <c r="N2527">
        <v>0</v>
      </c>
    </row>
    <row r="2528" spans="1:14" x14ac:dyDescent="0.25">
      <c r="A2528">
        <v>1729.484003</v>
      </c>
      <c r="B2528" s="1">
        <f>DATE(2015,1,24) + TIME(11,36,57)</f>
        <v>42028.483993055554</v>
      </c>
      <c r="C2528">
        <v>90</v>
      </c>
      <c r="D2528">
        <v>83.413604735999996</v>
      </c>
      <c r="E2528">
        <v>30</v>
      </c>
      <c r="F2528">
        <v>29.992782593000001</v>
      </c>
      <c r="G2528">
        <v>1301.362793</v>
      </c>
      <c r="H2528">
        <v>1288.953125</v>
      </c>
      <c r="I2528">
        <v>1414.6231689000001</v>
      </c>
      <c r="J2528">
        <v>1386.6988524999999</v>
      </c>
      <c r="K2528">
        <v>0</v>
      </c>
      <c r="L2528">
        <v>2400</v>
      </c>
      <c r="M2528">
        <v>2400</v>
      </c>
      <c r="N2528">
        <v>0</v>
      </c>
    </row>
    <row r="2529" spans="1:14" x14ac:dyDescent="0.25">
      <c r="A2529">
        <v>1731.232094</v>
      </c>
      <c r="B2529" s="1">
        <f>DATE(2015,1,26) + TIME(5,34,12)</f>
        <v>42030.232083333336</v>
      </c>
      <c r="C2529">
        <v>90</v>
      </c>
      <c r="D2529">
        <v>83.307060242000006</v>
      </c>
      <c r="E2529">
        <v>30</v>
      </c>
      <c r="F2529">
        <v>29.992778778000002</v>
      </c>
      <c r="G2529">
        <v>1301.1959228999999</v>
      </c>
      <c r="H2529">
        <v>1288.729126</v>
      </c>
      <c r="I2529">
        <v>1414.640625</v>
      </c>
      <c r="J2529">
        <v>1386.7188721</v>
      </c>
      <c r="K2529">
        <v>0</v>
      </c>
      <c r="L2529">
        <v>2400</v>
      </c>
      <c r="M2529">
        <v>2400</v>
      </c>
      <c r="N2529">
        <v>0</v>
      </c>
    </row>
    <row r="2530" spans="1:14" x14ac:dyDescent="0.25">
      <c r="A2530">
        <v>1732.9984340000001</v>
      </c>
      <c r="B2530" s="1">
        <f>DATE(2015,1,27) + TIME(23,57,44)</f>
        <v>42031.998425925929</v>
      </c>
      <c r="C2530">
        <v>90</v>
      </c>
      <c r="D2530">
        <v>83.199096679999997</v>
      </c>
      <c r="E2530">
        <v>30</v>
      </c>
      <c r="F2530">
        <v>29.992774962999999</v>
      </c>
      <c r="G2530">
        <v>1301.0258789</v>
      </c>
      <c r="H2530">
        <v>1288.5003661999999</v>
      </c>
      <c r="I2530">
        <v>1414.6578368999999</v>
      </c>
      <c r="J2530">
        <v>1386.7385254000001</v>
      </c>
      <c r="K2530">
        <v>0</v>
      </c>
      <c r="L2530">
        <v>2400</v>
      </c>
      <c r="M2530">
        <v>2400</v>
      </c>
      <c r="N2530">
        <v>0</v>
      </c>
    </row>
    <row r="2531" spans="1:14" x14ac:dyDescent="0.25">
      <c r="A2531">
        <v>1734.786769</v>
      </c>
      <c r="B2531" s="1">
        <f>DATE(2015,1,29) + TIME(18,52,56)</f>
        <v>42033.786759259259</v>
      </c>
      <c r="C2531">
        <v>90</v>
      </c>
      <c r="D2531">
        <v>83.089485167999996</v>
      </c>
      <c r="E2531">
        <v>30</v>
      </c>
      <c r="F2531">
        <v>29.992771148999999</v>
      </c>
      <c r="G2531">
        <v>1300.8521728999999</v>
      </c>
      <c r="H2531">
        <v>1288.2663574000001</v>
      </c>
      <c r="I2531">
        <v>1414.6749268000001</v>
      </c>
      <c r="J2531">
        <v>1386.7579346</v>
      </c>
      <c r="K2531">
        <v>0</v>
      </c>
      <c r="L2531">
        <v>2400</v>
      </c>
      <c r="M2531">
        <v>2400</v>
      </c>
      <c r="N2531">
        <v>0</v>
      </c>
    </row>
    <row r="2532" spans="1:14" x14ac:dyDescent="0.25">
      <c r="A2532">
        <v>1736.6009509999999</v>
      </c>
      <c r="B2532" s="1">
        <f>DATE(2015,1,31) + TIME(14,25,22)</f>
        <v>42035.600949074076</v>
      </c>
      <c r="C2532">
        <v>90</v>
      </c>
      <c r="D2532">
        <v>82.977905273000005</v>
      </c>
      <c r="E2532">
        <v>30</v>
      </c>
      <c r="F2532">
        <v>29.992767334</v>
      </c>
      <c r="G2532">
        <v>1300.6748047000001</v>
      </c>
      <c r="H2532">
        <v>1288.0268555</v>
      </c>
      <c r="I2532">
        <v>1414.6917725000001</v>
      </c>
      <c r="J2532">
        <v>1386.7770995999999</v>
      </c>
      <c r="K2532">
        <v>0</v>
      </c>
      <c r="L2532">
        <v>2400</v>
      </c>
      <c r="M2532">
        <v>2400</v>
      </c>
      <c r="N2532">
        <v>0</v>
      </c>
    </row>
    <row r="2533" spans="1:14" x14ac:dyDescent="0.25">
      <c r="A2533">
        <v>1737</v>
      </c>
      <c r="B2533" s="1">
        <f>DATE(2015,2,1) + TIME(0,0,0)</f>
        <v>42036</v>
      </c>
      <c r="C2533">
        <v>90</v>
      </c>
      <c r="D2533">
        <v>82.923118591000005</v>
      </c>
      <c r="E2533">
        <v>30</v>
      </c>
      <c r="F2533">
        <v>29.992767334</v>
      </c>
      <c r="G2533">
        <v>1300.5070800999999</v>
      </c>
      <c r="H2533">
        <v>1287.8129882999999</v>
      </c>
      <c r="I2533">
        <v>1414.7070312000001</v>
      </c>
      <c r="J2533">
        <v>1386.7947998</v>
      </c>
      <c r="K2533">
        <v>0</v>
      </c>
      <c r="L2533">
        <v>2400</v>
      </c>
      <c r="M2533">
        <v>2400</v>
      </c>
      <c r="N2533">
        <v>0</v>
      </c>
    </row>
    <row r="2534" spans="1:14" x14ac:dyDescent="0.25">
      <c r="A2534">
        <v>1738.844104</v>
      </c>
      <c r="B2534" s="1">
        <f>DATE(2015,2,2) + TIME(20,15,30)</f>
        <v>42037.844097222223</v>
      </c>
      <c r="C2534">
        <v>90</v>
      </c>
      <c r="D2534">
        <v>82.829887389999996</v>
      </c>
      <c r="E2534">
        <v>30</v>
      </c>
      <c r="F2534">
        <v>29.992763519</v>
      </c>
      <c r="G2534">
        <v>1300.4450684000001</v>
      </c>
      <c r="H2534">
        <v>1287.7126464999999</v>
      </c>
      <c r="I2534">
        <v>1414.7122803</v>
      </c>
      <c r="J2534">
        <v>1386.8004149999999</v>
      </c>
      <c r="K2534">
        <v>0</v>
      </c>
      <c r="L2534">
        <v>2400</v>
      </c>
      <c r="M2534">
        <v>2400</v>
      </c>
      <c r="N2534">
        <v>0</v>
      </c>
    </row>
    <row r="2535" spans="1:14" x14ac:dyDescent="0.25">
      <c r="A2535">
        <v>1740.730734</v>
      </c>
      <c r="B2535" s="1">
        <f>DATE(2015,2,4) + TIME(17,32,15)</f>
        <v>42039.730729166666</v>
      </c>
      <c r="C2535">
        <v>90</v>
      </c>
      <c r="D2535">
        <v>82.719146729000002</v>
      </c>
      <c r="E2535">
        <v>30</v>
      </c>
      <c r="F2535">
        <v>29.992759705000001</v>
      </c>
      <c r="G2535">
        <v>1300.2634277</v>
      </c>
      <c r="H2535">
        <v>1287.4689940999999</v>
      </c>
      <c r="I2535">
        <v>1414.7286377</v>
      </c>
      <c r="J2535">
        <v>1386.8190918</v>
      </c>
      <c r="K2535">
        <v>0</v>
      </c>
      <c r="L2535">
        <v>2400</v>
      </c>
      <c r="M2535">
        <v>2400</v>
      </c>
      <c r="N2535">
        <v>0</v>
      </c>
    </row>
    <row r="2536" spans="1:14" x14ac:dyDescent="0.25">
      <c r="A2536">
        <v>1742.6379750000001</v>
      </c>
      <c r="B2536" s="1">
        <f>DATE(2015,2,6) + TIME(15,18,41)</f>
        <v>42041.637974537036</v>
      </c>
      <c r="C2536">
        <v>90</v>
      </c>
      <c r="D2536">
        <v>82.600868224999999</v>
      </c>
      <c r="E2536">
        <v>30</v>
      </c>
      <c r="F2536">
        <v>29.992755890000002</v>
      </c>
      <c r="G2536">
        <v>1300.0722656</v>
      </c>
      <c r="H2536">
        <v>1287.2104492000001</v>
      </c>
      <c r="I2536">
        <v>1414.7452393000001</v>
      </c>
      <c r="J2536">
        <v>1386.8377685999999</v>
      </c>
      <c r="K2536">
        <v>0</v>
      </c>
      <c r="L2536">
        <v>2400</v>
      </c>
      <c r="M2536">
        <v>2400</v>
      </c>
      <c r="N2536">
        <v>0</v>
      </c>
    </row>
    <row r="2537" spans="1:14" x14ac:dyDescent="0.25">
      <c r="A2537">
        <v>1744.5599870000001</v>
      </c>
      <c r="B2537" s="1">
        <f>DATE(2015,2,8) + TIME(13,26,22)</f>
        <v>42043.559976851851</v>
      </c>
      <c r="C2537">
        <v>90</v>
      </c>
      <c r="D2537">
        <v>82.478675842000001</v>
      </c>
      <c r="E2537">
        <v>30</v>
      </c>
      <c r="F2537">
        <v>29.992752074999999</v>
      </c>
      <c r="G2537">
        <v>1299.8759766000001</v>
      </c>
      <c r="H2537">
        <v>1286.9437256000001</v>
      </c>
      <c r="I2537">
        <v>1414.7614745999999</v>
      </c>
      <c r="J2537">
        <v>1386.8563231999999</v>
      </c>
      <c r="K2537">
        <v>0</v>
      </c>
      <c r="L2537">
        <v>2400</v>
      </c>
      <c r="M2537">
        <v>2400</v>
      </c>
      <c r="N2537">
        <v>0</v>
      </c>
    </row>
    <row r="2538" spans="1:14" x14ac:dyDescent="0.25">
      <c r="A2538">
        <v>1746.500612</v>
      </c>
      <c r="B2538" s="1">
        <f>DATE(2015,2,10) + TIME(12,0,52)</f>
        <v>42045.500601851854</v>
      </c>
      <c r="C2538">
        <v>90</v>
      </c>
      <c r="D2538">
        <v>82.353607178000004</v>
      </c>
      <c r="E2538">
        <v>30</v>
      </c>
      <c r="F2538">
        <v>29.992748259999999</v>
      </c>
      <c r="G2538">
        <v>1299.6757812000001</v>
      </c>
      <c r="H2538">
        <v>1286.6713867000001</v>
      </c>
      <c r="I2538">
        <v>1414.7774658000001</v>
      </c>
      <c r="J2538">
        <v>1386.8745117000001</v>
      </c>
      <c r="K2538">
        <v>0</v>
      </c>
      <c r="L2538">
        <v>2400</v>
      </c>
      <c r="M2538">
        <v>2400</v>
      </c>
      <c r="N2538">
        <v>0</v>
      </c>
    </row>
    <row r="2539" spans="1:14" x14ac:dyDescent="0.25">
      <c r="A2539">
        <v>1748.4638890000001</v>
      </c>
      <c r="B2539" s="1">
        <f>DATE(2015,2,12) + TIME(11,7,59)</f>
        <v>42047.463877314818</v>
      </c>
      <c r="C2539">
        <v>90</v>
      </c>
      <c r="D2539">
        <v>82.225677489999995</v>
      </c>
      <c r="E2539">
        <v>30</v>
      </c>
      <c r="F2539">
        <v>29.992746353000001</v>
      </c>
      <c r="G2539">
        <v>1299.4719238</v>
      </c>
      <c r="H2539">
        <v>1286.3931885</v>
      </c>
      <c r="I2539">
        <v>1414.7933350000001</v>
      </c>
      <c r="J2539">
        <v>1386.8923339999999</v>
      </c>
      <c r="K2539">
        <v>0</v>
      </c>
      <c r="L2539">
        <v>2400</v>
      </c>
      <c r="M2539">
        <v>2400</v>
      </c>
      <c r="N2539">
        <v>0</v>
      </c>
    </row>
    <row r="2540" spans="1:14" x14ac:dyDescent="0.25">
      <c r="A2540">
        <v>1750.4539609999999</v>
      </c>
      <c r="B2540" s="1">
        <f>DATE(2015,2,14) + TIME(10,53,42)</f>
        <v>42049.453958333332</v>
      </c>
      <c r="C2540">
        <v>90</v>
      </c>
      <c r="D2540">
        <v>82.094566345000004</v>
      </c>
      <c r="E2540">
        <v>30</v>
      </c>
      <c r="F2540">
        <v>29.992742538000002</v>
      </c>
      <c r="G2540">
        <v>1299.2639160000001</v>
      </c>
      <c r="H2540">
        <v>1286.1090088000001</v>
      </c>
      <c r="I2540">
        <v>1414.8088379000001</v>
      </c>
      <c r="J2540">
        <v>1386.9100341999999</v>
      </c>
      <c r="K2540">
        <v>0</v>
      </c>
      <c r="L2540">
        <v>2400</v>
      </c>
      <c r="M2540">
        <v>2400</v>
      </c>
      <c r="N2540">
        <v>0</v>
      </c>
    </row>
    <row r="2541" spans="1:14" x14ac:dyDescent="0.25">
      <c r="A2541">
        <v>1752.475144</v>
      </c>
      <c r="B2541" s="1">
        <f>DATE(2015,2,16) + TIME(11,24,12)</f>
        <v>42051.475138888891</v>
      </c>
      <c r="C2541">
        <v>90</v>
      </c>
      <c r="D2541">
        <v>81.959838867000002</v>
      </c>
      <c r="E2541">
        <v>30</v>
      </c>
      <c r="F2541">
        <v>29.992738723999999</v>
      </c>
      <c r="G2541">
        <v>1299.0512695</v>
      </c>
      <c r="H2541">
        <v>1285.8182373</v>
      </c>
      <c r="I2541">
        <v>1414.8243408000001</v>
      </c>
      <c r="J2541">
        <v>1386.9274902</v>
      </c>
      <c r="K2541">
        <v>0</v>
      </c>
      <c r="L2541">
        <v>2400</v>
      </c>
      <c r="M2541">
        <v>2400</v>
      </c>
      <c r="N2541">
        <v>0</v>
      </c>
    </row>
    <row r="2542" spans="1:14" x14ac:dyDescent="0.25">
      <c r="A2542">
        <v>1754.5320409999999</v>
      </c>
      <c r="B2542" s="1">
        <f>DATE(2015,2,18) + TIME(12,46,8)</f>
        <v>42053.532037037039</v>
      </c>
      <c r="C2542">
        <v>90</v>
      </c>
      <c r="D2542">
        <v>81.820983886999997</v>
      </c>
      <c r="E2542">
        <v>30</v>
      </c>
      <c r="F2542">
        <v>29.992734908999999</v>
      </c>
      <c r="G2542">
        <v>1298.8337402</v>
      </c>
      <c r="H2542">
        <v>1285.5201416</v>
      </c>
      <c r="I2542">
        <v>1414.8395995999999</v>
      </c>
      <c r="J2542">
        <v>1386.9448242000001</v>
      </c>
      <c r="K2542">
        <v>0</v>
      </c>
      <c r="L2542">
        <v>2400</v>
      </c>
      <c r="M2542">
        <v>2400</v>
      </c>
      <c r="N2542">
        <v>0</v>
      </c>
    </row>
    <row r="2543" spans="1:14" x14ac:dyDescent="0.25">
      <c r="A2543">
        <v>1756.6099690000001</v>
      </c>
      <c r="B2543" s="1">
        <f>DATE(2015,2,20) + TIME(14,38,21)</f>
        <v>42055.609965277778</v>
      </c>
      <c r="C2543">
        <v>90</v>
      </c>
      <c r="D2543">
        <v>81.677810668999996</v>
      </c>
      <c r="E2543">
        <v>30</v>
      </c>
      <c r="F2543">
        <v>29.992731094</v>
      </c>
      <c r="G2543">
        <v>1298.6108397999999</v>
      </c>
      <c r="H2543">
        <v>1285.2142334</v>
      </c>
      <c r="I2543">
        <v>1414.8546143000001</v>
      </c>
      <c r="J2543">
        <v>1386.9619141000001</v>
      </c>
      <c r="K2543">
        <v>0</v>
      </c>
      <c r="L2543">
        <v>2400</v>
      </c>
      <c r="M2543">
        <v>2400</v>
      </c>
      <c r="N2543">
        <v>0</v>
      </c>
    </row>
    <row r="2544" spans="1:14" x14ac:dyDescent="0.25">
      <c r="A2544">
        <v>1758.703882</v>
      </c>
      <c r="B2544" s="1">
        <f>DATE(2015,2,22) + TIME(16,53,35)</f>
        <v>42057.703877314816</v>
      </c>
      <c r="C2544">
        <v>90</v>
      </c>
      <c r="D2544">
        <v>81.530654906999999</v>
      </c>
      <c r="E2544">
        <v>30</v>
      </c>
      <c r="F2544">
        <v>29.992729186999998</v>
      </c>
      <c r="G2544">
        <v>1298.3837891000001</v>
      </c>
      <c r="H2544">
        <v>1284.9022216999999</v>
      </c>
      <c r="I2544">
        <v>1414.8695068</v>
      </c>
      <c r="J2544">
        <v>1386.9787598</v>
      </c>
      <c r="K2544">
        <v>0</v>
      </c>
      <c r="L2544">
        <v>2400</v>
      </c>
      <c r="M2544">
        <v>2400</v>
      </c>
      <c r="N2544">
        <v>0</v>
      </c>
    </row>
    <row r="2545" spans="1:14" x14ac:dyDescent="0.25">
      <c r="A2545">
        <v>1760.8178849999999</v>
      </c>
      <c r="B2545" s="1">
        <f>DATE(2015,2,24) + TIME(19,37,45)</f>
        <v>42059.817881944444</v>
      </c>
      <c r="C2545">
        <v>90</v>
      </c>
      <c r="D2545">
        <v>81.379547118999994</v>
      </c>
      <c r="E2545">
        <v>30</v>
      </c>
      <c r="F2545">
        <v>29.992725371999999</v>
      </c>
      <c r="G2545">
        <v>1298.1531981999999</v>
      </c>
      <c r="H2545">
        <v>1284.5847168</v>
      </c>
      <c r="I2545">
        <v>1414.8840332</v>
      </c>
      <c r="J2545">
        <v>1386.9952393000001</v>
      </c>
      <c r="K2545">
        <v>0</v>
      </c>
      <c r="L2545">
        <v>2400</v>
      </c>
      <c r="M2545">
        <v>2400</v>
      </c>
      <c r="N2545">
        <v>0</v>
      </c>
    </row>
    <row r="2546" spans="1:14" x14ac:dyDescent="0.25">
      <c r="A2546">
        <v>1762.9561960000001</v>
      </c>
      <c r="B2546" s="1">
        <f>DATE(2015,2,26) + TIME(22,56,55)</f>
        <v>42061.956192129626</v>
      </c>
      <c r="C2546">
        <v>90</v>
      </c>
      <c r="D2546">
        <v>81.224105835000003</v>
      </c>
      <c r="E2546">
        <v>30</v>
      </c>
      <c r="F2546">
        <v>29.992721558</v>
      </c>
      <c r="G2546">
        <v>1297.9187012</v>
      </c>
      <c r="H2546">
        <v>1284.2614745999999</v>
      </c>
      <c r="I2546">
        <v>1414.8984375</v>
      </c>
      <c r="J2546">
        <v>1387.0114745999999</v>
      </c>
      <c r="K2546">
        <v>0</v>
      </c>
      <c r="L2546">
        <v>2400</v>
      </c>
      <c r="M2546">
        <v>2400</v>
      </c>
      <c r="N2546">
        <v>0</v>
      </c>
    </row>
    <row r="2547" spans="1:14" x14ac:dyDescent="0.25">
      <c r="A2547">
        <v>1765</v>
      </c>
      <c r="B2547" s="1">
        <f>DATE(2015,3,1) + TIME(0,0,0)</f>
        <v>42064</v>
      </c>
      <c r="C2547">
        <v>90</v>
      </c>
      <c r="D2547">
        <v>81.066246032999999</v>
      </c>
      <c r="E2547">
        <v>30</v>
      </c>
      <c r="F2547">
        <v>29.992719650000002</v>
      </c>
      <c r="G2547">
        <v>1297.6806641000001</v>
      </c>
      <c r="H2547">
        <v>1283.9333495999999</v>
      </c>
      <c r="I2547">
        <v>1414.9123535000001</v>
      </c>
      <c r="J2547">
        <v>1387.0274658000001</v>
      </c>
      <c r="K2547">
        <v>0</v>
      </c>
      <c r="L2547">
        <v>2400</v>
      </c>
      <c r="M2547">
        <v>2400</v>
      </c>
      <c r="N2547">
        <v>0</v>
      </c>
    </row>
    <row r="2548" spans="1:14" x14ac:dyDescent="0.25">
      <c r="A2548">
        <v>1767.167181</v>
      </c>
      <c r="B2548" s="1">
        <f>DATE(2015,3,3) + TIME(4,0,44)</f>
        <v>42066.167175925926</v>
      </c>
      <c r="C2548">
        <v>90</v>
      </c>
      <c r="D2548">
        <v>80.906402588000006</v>
      </c>
      <c r="E2548">
        <v>30</v>
      </c>
      <c r="F2548">
        <v>29.992715835999999</v>
      </c>
      <c r="G2548">
        <v>1297.4490966999999</v>
      </c>
      <c r="H2548">
        <v>1283.6119385</v>
      </c>
      <c r="I2548">
        <v>1414.9255370999999</v>
      </c>
      <c r="J2548">
        <v>1387.0423584</v>
      </c>
      <c r="K2548">
        <v>0</v>
      </c>
      <c r="L2548">
        <v>2400</v>
      </c>
      <c r="M2548">
        <v>2400</v>
      </c>
      <c r="N2548">
        <v>0</v>
      </c>
    </row>
    <row r="2549" spans="1:14" x14ac:dyDescent="0.25">
      <c r="A2549">
        <v>1769.4012230000001</v>
      </c>
      <c r="B2549" s="1">
        <f>DATE(2015,3,5) + TIME(9,37,45)</f>
        <v>42068.40121527778</v>
      </c>
      <c r="C2549">
        <v>90</v>
      </c>
      <c r="D2549">
        <v>80.737670898000005</v>
      </c>
      <c r="E2549">
        <v>30</v>
      </c>
      <c r="F2549">
        <v>29.992713928000001</v>
      </c>
      <c r="G2549">
        <v>1297.2050781</v>
      </c>
      <c r="H2549">
        <v>1283.2741699000001</v>
      </c>
      <c r="I2549">
        <v>1414.9389647999999</v>
      </c>
      <c r="J2549">
        <v>1387.0576172000001</v>
      </c>
      <c r="K2549">
        <v>0</v>
      </c>
      <c r="L2549">
        <v>2400</v>
      </c>
      <c r="M2549">
        <v>2400</v>
      </c>
      <c r="N2549">
        <v>0</v>
      </c>
    </row>
    <row r="2550" spans="1:14" x14ac:dyDescent="0.25">
      <c r="A2550">
        <v>1771.649306</v>
      </c>
      <c r="B2550" s="1">
        <f>DATE(2015,3,7) + TIME(15,35,0)</f>
        <v>42070.649305555555</v>
      </c>
      <c r="C2550">
        <v>90</v>
      </c>
      <c r="D2550">
        <v>80.560905457000004</v>
      </c>
      <c r="E2550">
        <v>30</v>
      </c>
      <c r="F2550">
        <v>29.992710114000001</v>
      </c>
      <c r="G2550">
        <v>1296.9521483999999</v>
      </c>
      <c r="H2550">
        <v>1282.9237060999999</v>
      </c>
      <c r="I2550">
        <v>1414.9523925999999</v>
      </c>
      <c r="J2550">
        <v>1387.0729980000001</v>
      </c>
      <c r="K2550">
        <v>0</v>
      </c>
      <c r="L2550">
        <v>2400</v>
      </c>
      <c r="M2550">
        <v>2400</v>
      </c>
      <c r="N2550">
        <v>0</v>
      </c>
    </row>
    <row r="2551" spans="1:14" x14ac:dyDescent="0.25">
      <c r="A2551">
        <v>1773.9165049999999</v>
      </c>
      <c r="B2551" s="1">
        <f>DATE(2015,3,9) + TIME(21,59,46)</f>
        <v>42072.916504629633</v>
      </c>
      <c r="C2551">
        <v>90</v>
      </c>
      <c r="D2551">
        <v>80.378150939999998</v>
      </c>
      <c r="E2551">
        <v>30</v>
      </c>
      <c r="F2551">
        <v>29.992708206</v>
      </c>
      <c r="G2551">
        <v>1296.6954346</v>
      </c>
      <c r="H2551">
        <v>1282.5671387</v>
      </c>
      <c r="I2551">
        <v>1414.9654541</v>
      </c>
      <c r="J2551">
        <v>1387.0878906</v>
      </c>
      <c r="K2551">
        <v>0</v>
      </c>
      <c r="L2551">
        <v>2400</v>
      </c>
      <c r="M2551">
        <v>2400</v>
      </c>
      <c r="N2551">
        <v>0</v>
      </c>
    </row>
    <row r="2552" spans="1:14" x14ac:dyDescent="0.25">
      <c r="A2552">
        <v>1776.2071759999999</v>
      </c>
      <c r="B2552" s="1">
        <f>DATE(2015,3,12) + TIME(4,58,20)</f>
        <v>42075.207175925927</v>
      </c>
      <c r="C2552">
        <v>90</v>
      </c>
      <c r="D2552">
        <v>80.189445496000005</v>
      </c>
      <c r="E2552">
        <v>30</v>
      </c>
      <c r="F2552">
        <v>29.992704391</v>
      </c>
      <c r="G2552">
        <v>1296.4349365</v>
      </c>
      <c r="H2552">
        <v>1282.2048339999999</v>
      </c>
      <c r="I2552">
        <v>1414.9782714999999</v>
      </c>
      <c r="J2552">
        <v>1387.1025391000001</v>
      </c>
      <c r="K2552">
        <v>0</v>
      </c>
      <c r="L2552">
        <v>2400</v>
      </c>
      <c r="M2552">
        <v>2400</v>
      </c>
      <c r="N2552">
        <v>0</v>
      </c>
    </row>
    <row r="2553" spans="1:14" x14ac:dyDescent="0.25">
      <c r="A2553">
        <v>1778.5258429999999</v>
      </c>
      <c r="B2553" s="1">
        <f>DATE(2015,3,14) + TIME(12,37,12)</f>
        <v>42077.525833333333</v>
      </c>
      <c r="C2553">
        <v>90</v>
      </c>
      <c r="D2553">
        <v>79.994277953999998</v>
      </c>
      <c r="E2553">
        <v>30</v>
      </c>
      <c r="F2553">
        <v>29.992702483999999</v>
      </c>
      <c r="G2553">
        <v>1296.1704102000001</v>
      </c>
      <c r="H2553">
        <v>1281.8363036999999</v>
      </c>
      <c r="I2553">
        <v>1414.9908447</v>
      </c>
      <c r="J2553">
        <v>1387.1168213000001</v>
      </c>
      <c r="K2553">
        <v>0</v>
      </c>
      <c r="L2553">
        <v>2400</v>
      </c>
      <c r="M2553">
        <v>2400</v>
      </c>
      <c r="N2553">
        <v>0</v>
      </c>
    </row>
    <row r="2554" spans="1:14" x14ac:dyDescent="0.25">
      <c r="A2554">
        <v>1780.8774080000001</v>
      </c>
      <c r="B2554" s="1">
        <f>DATE(2015,3,16) + TIME(21,3,28)</f>
        <v>42079.87740740741</v>
      </c>
      <c r="C2554">
        <v>90</v>
      </c>
      <c r="D2554">
        <v>79.791923522999994</v>
      </c>
      <c r="E2554">
        <v>30</v>
      </c>
      <c r="F2554">
        <v>29.992698668999999</v>
      </c>
      <c r="G2554">
        <v>1295.9014893000001</v>
      </c>
      <c r="H2554">
        <v>1281.4609375</v>
      </c>
      <c r="I2554">
        <v>1415.0030518000001</v>
      </c>
      <c r="J2554">
        <v>1387.1308594</v>
      </c>
      <c r="K2554">
        <v>0</v>
      </c>
      <c r="L2554">
        <v>2400</v>
      </c>
      <c r="M2554">
        <v>2400</v>
      </c>
      <c r="N2554">
        <v>0</v>
      </c>
    </row>
    <row r="2555" spans="1:14" x14ac:dyDescent="0.25">
      <c r="A2555">
        <v>1783.2659650000001</v>
      </c>
      <c r="B2555" s="1">
        <f>DATE(2015,3,19) + TIME(6,22,59)</f>
        <v>42082.265960648147</v>
      </c>
      <c r="C2555">
        <v>90</v>
      </c>
      <c r="D2555">
        <v>79.581733704000001</v>
      </c>
      <c r="E2555">
        <v>30</v>
      </c>
      <c r="F2555">
        <v>29.992696762000001</v>
      </c>
      <c r="G2555">
        <v>1295.6275635</v>
      </c>
      <c r="H2555">
        <v>1281.078125</v>
      </c>
      <c r="I2555">
        <v>1415.0150146000001</v>
      </c>
      <c r="J2555">
        <v>1387.1446533000001</v>
      </c>
      <c r="K2555">
        <v>0</v>
      </c>
      <c r="L2555">
        <v>2400</v>
      </c>
      <c r="M2555">
        <v>2400</v>
      </c>
      <c r="N2555">
        <v>0</v>
      </c>
    </row>
    <row r="2556" spans="1:14" x14ac:dyDescent="0.25">
      <c r="A2556">
        <v>1785.6696039999999</v>
      </c>
      <c r="B2556" s="1">
        <f>DATE(2015,3,21) + TIME(16,4,13)</f>
        <v>42084.669594907406</v>
      </c>
      <c r="C2556">
        <v>90</v>
      </c>
      <c r="D2556">
        <v>79.363533020000006</v>
      </c>
      <c r="E2556">
        <v>30</v>
      </c>
      <c r="F2556">
        <v>29.992692946999998</v>
      </c>
      <c r="G2556">
        <v>1295.3483887</v>
      </c>
      <c r="H2556">
        <v>1280.6873779</v>
      </c>
      <c r="I2556">
        <v>1415.0267334</v>
      </c>
      <c r="J2556">
        <v>1387.1580810999999</v>
      </c>
      <c r="K2556">
        <v>0</v>
      </c>
      <c r="L2556">
        <v>2400</v>
      </c>
      <c r="M2556">
        <v>2400</v>
      </c>
      <c r="N2556">
        <v>0</v>
      </c>
    </row>
    <row r="2557" spans="1:14" x14ac:dyDescent="0.25">
      <c r="A2557">
        <v>1788.0937140000001</v>
      </c>
      <c r="B2557" s="1">
        <f>DATE(2015,3,24) + TIME(2,14,56)</f>
        <v>42087.0937037037</v>
      </c>
      <c r="C2557">
        <v>90</v>
      </c>
      <c r="D2557">
        <v>79.138038635000001</v>
      </c>
      <c r="E2557">
        <v>30</v>
      </c>
      <c r="F2557">
        <v>29.99269104</v>
      </c>
      <c r="G2557">
        <v>1295.065918</v>
      </c>
      <c r="H2557">
        <v>1280.2912598</v>
      </c>
      <c r="I2557">
        <v>1415.0380858999999</v>
      </c>
      <c r="J2557">
        <v>1387.1712646000001</v>
      </c>
      <c r="K2557">
        <v>0</v>
      </c>
      <c r="L2557">
        <v>2400</v>
      </c>
      <c r="M2557">
        <v>2400</v>
      </c>
      <c r="N2557">
        <v>0</v>
      </c>
    </row>
    <row r="2558" spans="1:14" x14ac:dyDescent="0.25">
      <c r="A2558">
        <v>1790.542905</v>
      </c>
      <c r="B2558" s="1">
        <f>DATE(2015,3,26) + TIME(13,1,46)</f>
        <v>42089.542893518519</v>
      </c>
      <c r="C2558">
        <v>90</v>
      </c>
      <c r="D2558">
        <v>78.904830933</v>
      </c>
      <c r="E2558">
        <v>30</v>
      </c>
      <c r="F2558">
        <v>29.992689132999999</v>
      </c>
      <c r="G2558">
        <v>1294.7800293</v>
      </c>
      <c r="H2558">
        <v>1279.8897704999999</v>
      </c>
      <c r="I2558">
        <v>1415.0490723</v>
      </c>
      <c r="J2558">
        <v>1387.1839600000001</v>
      </c>
      <c r="K2558">
        <v>0</v>
      </c>
      <c r="L2558">
        <v>2400</v>
      </c>
      <c r="M2558">
        <v>2400</v>
      </c>
      <c r="N2558">
        <v>0</v>
      </c>
    </row>
    <row r="2559" spans="1:14" x14ac:dyDescent="0.25">
      <c r="A2559">
        <v>1793.0219549999999</v>
      </c>
      <c r="B2559" s="1">
        <f>DATE(2015,3,29) + TIME(0,31,36)</f>
        <v>42092.021944444445</v>
      </c>
      <c r="C2559">
        <v>90</v>
      </c>
      <c r="D2559">
        <v>78.663284301999994</v>
      </c>
      <c r="E2559">
        <v>30</v>
      </c>
      <c r="F2559">
        <v>29.992687225000001</v>
      </c>
      <c r="G2559">
        <v>1294.4902344</v>
      </c>
      <c r="H2559">
        <v>1279.4821777</v>
      </c>
      <c r="I2559">
        <v>1415.0598144999999</v>
      </c>
      <c r="J2559">
        <v>1387.1964111</v>
      </c>
      <c r="K2559">
        <v>0</v>
      </c>
      <c r="L2559">
        <v>2400</v>
      </c>
      <c r="M2559">
        <v>2400</v>
      </c>
      <c r="N2559">
        <v>0</v>
      </c>
    </row>
    <row r="2560" spans="1:14" x14ac:dyDescent="0.25">
      <c r="A2560">
        <v>1795.5359350000001</v>
      </c>
      <c r="B2560" s="1">
        <f>DATE(2015,3,31) + TIME(12,51,44)</f>
        <v>42094.535925925928</v>
      </c>
      <c r="C2560">
        <v>90</v>
      </c>
      <c r="D2560">
        <v>78.412643433</v>
      </c>
      <c r="E2560">
        <v>30</v>
      </c>
      <c r="F2560">
        <v>29.992683411000002</v>
      </c>
      <c r="G2560">
        <v>1294.1961670000001</v>
      </c>
      <c r="H2560">
        <v>1279.0678711</v>
      </c>
      <c r="I2560">
        <v>1415.0701904</v>
      </c>
      <c r="J2560">
        <v>1387.2084961</v>
      </c>
      <c r="K2560">
        <v>0</v>
      </c>
      <c r="L2560">
        <v>2400</v>
      </c>
      <c r="M2560">
        <v>2400</v>
      </c>
      <c r="N2560">
        <v>0</v>
      </c>
    </row>
    <row r="2561" spans="1:14" x14ac:dyDescent="0.25">
      <c r="A2561">
        <v>1796</v>
      </c>
      <c r="B2561" s="1">
        <f>DATE(2015,4,1) + TIME(0,0,0)</f>
        <v>42095</v>
      </c>
      <c r="C2561">
        <v>90</v>
      </c>
      <c r="D2561">
        <v>78.279716492000006</v>
      </c>
      <c r="E2561">
        <v>30</v>
      </c>
      <c r="F2561">
        <v>29.992683411000002</v>
      </c>
      <c r="G2561">
        <v>1293.9191894999999</v>
      </c>
      <c r="H2561">
        <v>1278.7087402</v>
      </c>
      <c r="I2561">
        <v>1415.0788574000001</v>
      </c>
      <c r="J2561">
        <v>1387.2189940999999</v>
      </c>
      <c r="K2561">
        <v>0</v>
      </c>
      <c r="L2561">
        <v>2400</v>
      </c>
      <c r="M2561">
        <v>2400</v>
      </c>
      <c r="N256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2022-05-31T07:32:18Z</dcterms:created>
  <dcterms:modified xsi:type="dcterms:W3CDTF">2022-05-31T07:33:00Z</dcterms:modified>
</cp:coreProperties>
</file>