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S7_Tinj70_Tret40/"/>
    </mc:Choice>
  </mc:AlternateContent>
  <xr:revisionPtr revIDLastSave="0" documentId="8_{93BC74DD-8D8A-4C7E-9FF6-8D760CFCB093}" xr6:coauthVersionLast="47" xr6:coauthVersionMax="47" xr10:uidLastSave="{00000000-0000-0000-0000-000000000000}"/>
  <bookViews>
    <workbookView xWindow="1785" yWindow="465" windowWidth="18915" windowHeight="9960" xr2:uid="{DC013353-2019-4273-AE10-B1BA03D3246B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28" i="1" l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<sst xmlns="http://schemas.openxmlformats.org/spreadsheetml/2006/main" count="15" uniqueCount="15">
  <si>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MODEL\SCENARIOS\2022\S7_Tinj70_Tret40\S7_Tinj70_Tret40.sr3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</si>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</sst>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5A39FB-9B8F-4843-9EAA-0CEBA50C4564}" name="Table1" displayName="Table1" ref="A3:N1728" totalsRowShown="0">
  <autoFilter ref="A3:N1728" xr:uid="{975A39FB-9B8F-4843-9EAA-0CEBA50C4564}"/>
  <tableColumns count="14">
    <tableColumn id="1" xr3:uid="{68C09865-33E0-4622-BDDC-8C97778C8D5D}" name="Time (day)"/>
    <tableColumn id="2" xr3:uid="{D7C83BFD-E093-4DA1-8E8B-1A2661476FE6}" name="Date" dataDxfId="0"/>
    <tableColumn id="3" xr3:uid="{8E865EA0-3858-4230-81EF-F1F8DEAF4455}" name="Hot well INJ-Well bottom hole temperature (C)"/>
    <tableColumn id="4" xr3:uid="{51408B6A-587C-4EB9-8FCB-51B3FC10A5E1}" name="Hot well PROD-Well bottom hole temperature (C)"/>
    <tableColumn id="5" xr3:uid="{35537176-69C6-4EE6-864E-B594FA26B1A8}" name="Warm well INJ-Well bottom hole temperature (C)"/>
    <tableColumn id="6" xr3:uid="{562712F4-5E2B-448A-9F64-215A5E12A395}" name="Warm well PROD-Well bottom hole temperature (C)"/>
    <tableColumn id="7" xr3:uid="{A933FA41-DAE1-4FE1-8B1C-204C21E2A68A}" name="Hot well INJ-Well Bottom-hole Pressure (kPa)"/>
    <tableColumn id="8" xr3:uid="{AC5ECA4D-E85E-4FEB-BE3E-E29E98323381}" name="Hot well PROD-Well Bottom-hole Pressure (kPa)"/>
    <tableColumn id="9" xr3:uid="{6A5B149F-2224-407E-A405-1A3D7A17857D}" name="Warm well INJ-Well Bottom-hole Pressure (kPa)"/>
    <tableColumn id="10" xr3:uid="{31CCEA17-4B7C-45C9-B16A-A70FBEAF1635}" name="Warm well PROD-Well Bottom-hole Pressure (kPa)"/>
    <tableColumn id="11" xr3:uid="{AC5526B0-56B7-402F-BD6E-67D050A31092}" name="Hot well INJ-Fluid Rate SC (m³/day)"/>
    <tableColumn id="12" xr3:uid="{2E1579BD-2A4E-4FDE-BDEC-8AE2410F0ED7}" name="Hot well PROD-Fluid Rate SC (m³/day)"/>
    <tableColumn id="13" xr3:uid="{7E72B8A7-89EF-4A40-B07A-534B848AE7BF}" name="Warm well INJ-Fluid Rate SC (m³/day)"/>
    <tableColumn id="14" xr3:uid="{B7EA25AB-F64E-4837-AA0A-2E24BCD36C67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8F4C-ED4A-42C6-9191-A3EC7422F88F}">
  <dimension ref="A1:N1728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70</v>
      </c>
      <c r="D4">
        <v>15.000106812</v>
      </c>
      <c r="E4">
        <v>40</v>
      </c>
      <c r="F4">
        <v>14.999955177</v>
      </c>
      <c r="G4">
        <v>1369.2733154</v>
      </c>
      <c r="H4">
        <v>1329.8486327999999</v>
      </c>
      <c r="I4">
        <v>1328.9722899999999</v>
      </c>
      <c r="J4">
        <v>1289.5467529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70</v>
      </c>
      <c r="D5">
        <v>15.000420569999999</v>
      </c>
      <c r="E5">
        <v>40</v>
      </c>
      <c r="F5">
        <v>14.999827385</v>
      </c>
      <c r="G5">
        <v>1370.5141602000001</v>
      </c>
      <c r="H5">
        <v>1331.0897216999999</v>
      </c>
      <c r="I5">
        <v>1327.7358397999999</v>
      </c>
      <c r="J5">
        <v>1288.3100586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70</v>
      </c>
      <c r="D6">
        <v>15.00130558</v>
      </c>
      <c r="E6">
        <v>40</v>
      </c>
      <c r="F6">
        <v>14.999503136</v>
      </c>
      <c r="G6">
        <v>1373.6871338000001</v>
      </c>
      <c r="H6">
        <v>1334.2634277</v>
      </c>
      <c r="I6">
        <v>1324.5737305</v>
      </c>
      <c r="J6">
        <v>1285.1474608999999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70</v>
      </c>
      <c r="D7">
        <v>15.00365448</v>
      </c>
      <c r="E7">
        <v>40</v>
      </c>
      <c r="F7">
        <v>14.998830795</v>
      </c>
      <c r="G7">
        <v>1380.2398682</v>
      </c>
      <c r="H7">
        <v>1340.8184814000001</v>
      </c>
      <c r="I7">
        <v>1318.0427245999999</v>
      </c>
      <c r="J7">
        <v>1278.6154785000001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70</v>
      </c>
      <c r="D8">
        <v>15.009691238</v>
      </c>
      <c r="E8">
        <v>40</v>
      </c>
      <c r="F8">
        <v>14.997822762</v>
      </c>
      <c r="G8">
        <v>1390.0812988</v>
      </c>
      <c r="H8">
        <v>1350.6662598</v>
      </c>
      <c r="I8">
        <v>1308.2297363</v>
      </c>
      <c r="J8">
        <v>1268.8012695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70</v>
      </c>
      <c r="D9">
        <v>15.025906562999999</v>
      </c>
      <c r="E9">
        <v>40</v>
      </c>
      <c r="F9">
        <v>14.996678352</v>
      </c>
      <c r="G9">
        <v>1401.2330322</v>
      </c>
      <c r="H9">
        <v>1361.8349608999999</v>
      </c>
      <c r="I9">
        <v>1297.0947266000001</v>
      </c>
      <c r="J9">
        <v>1257.6650391000001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70</v>
      </c>
      <c r="D10">
        <v>15.072227478</v>
      </c>
      <c r="E10">
        <v>40</v>
      </c>
      <c r="F10">
        <v>14.995523453000001</v>
      </c>
      <c r="G10">
        <v>1412.4550781</v>
      </c>
      <c r="H10">
        <v>1373.1051024999999</v>
      </c>
      <c r="I10">
        <v>1285.8406981999999</v>
      </c>
      <c r="J10">
        <v>1246.4097899999999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70</v>
      </c>
      <c r="D11">
        <v>15.208536148</v>
      </c>
      <c r="E11">
        <v>40</v>
      </c>
      <c r="F11">
        <v>14.994379996999999</v>
      </c>
      <c r="G11">
        <v>1423.4852295000001</v>
      </c>
      <c r="H11">
        <v>1384.2757568</v>
      </c>
      <c r="I11">
        <v>1274.6347656</v>
      </c>
      <c r="J11">
        <v>1235.2026367000001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70</v>
      </c>
      <c r="D12">
        <v>15.612251282000001</v>
      </c>
      <c r="E12">
        <v>40</v>
      </c>
      <c r="F12">
        <v>14.993297577</v>
      </c>
      <c r="G12">
        <v>1433.6617432</v>
      </c>
      <c r="H12">
        <v>1394.8636475000001</v>
      </c>
      <c r="I12">
        <v>1263.8693848</v>
      </c>
      <c r="J12">
        <v>1224.4360352000001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2.6093000000000002E-2</v>
      </c>
      <c r="B13" s="1">
        <f>DATE(2010,5,1) + TIME(0,37,34)</f>
        <v>40299.026087962964</v>
      </c>
      <c r="C13">
        <v>70</v>
      </c>
      <c r="D13">
        <v>16.594419478999999</v>
      </c>
      <c r="E13">
        <v>40</v>
      </c>
      <c r="F13">
        <v>14.992535590999999</v>
      </c>
      <c r="G13">
        <v>1440.2618408000001</v>
      </c>
      <c r="H13">
        <v>1402.4337158000001</v>
      </c>
      <c r="I13">
        <v>1255.9222411999999</v>
      </c>
      <c r="J13">
        <v>1216.4880370999999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4.2639000000000003E-2</v>
      </c>
      <c r="B14" s="1">
        <f>DATE(2010,5,1) + TIME(1,1,24)</f>
        <v>40299.042638888888</v>
      </c>
      <c r="C14">
        <v>70</v>
      </c>
      <c r="D14">
        <v>17.577779769999999</v>
      </c>
      <c r="E14">
        <v>40</v>
      </c>
      <c r="F14">
        <v>14.992255211</v>
      </c>
      <c r="G14">
        <v>1442.2043457</v>
      </c>
      <c r="H14">
        <v>1405.2985839999999</v>
      </c>
      <c r="I14">
        <v>1252.7601318</v>
      </c>
      <c r="J14">
        <v>1213.3256836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5.9465999999999998E-2</v>
      </c>
      <c r="B15" s="1">
        <f>DATE(2010,5,1) + TIME(1,25,37)</f>
        <v>40299.05945601852</v>
      </c>
      <c r="C15">
        <v>70</v>
      </c>
      <c r="D15">
        <v>18.561296463000001</v>
      </c>
      <c r="E15">
        <v>40</v>
      </c>
      <c r="F15">
        <v>14.992153168</v>
      </c>
      <c r="G15">
        <v>1442.4718018000001</v>
      </c>
      <c r="H15">
        <v>1406.4504394999999</v>
      </c>
      <c r="I15">
        <v>1251.3529053</v>
      </c>
      <c r="J15">
        <v>1211.9183350000001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7.6574000000000003E-2</v>
      </c>
      <c r="B16" s="1">
        <f>DATE(2010,5,1) + TIME(1,50,16)</f>
        <v>40299.076574074075</v>
      </c>
      <c r="C16">
        <v>70</v>
      </c>
      <c r="D16">
        <v>19.544549942</v>
      </c>
      <c r="E16">
        <v>40</v>
      </c>
      <c r="F16">
        <v>14.992126465</v>
      </c>
      <c r="G16">
        <v>1442.0269774999999</v>
      </c>
      <c r="H16">
        <v>1406.8535156</v>
      </c>
      <c r="I16">
        <v>1250.7038574000001</v>
      </c>
      <c r="J16">
        <v>1211.2691649999999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9.3974000000000002E-2</v>
      </c>
      <c r="B17" s="1">
        <f>DATE(2010,5,1) + TIME(2,15,19)</f>
        <v>40299.093969907408</v>
      </c>
      <c r="C17">
        <v>70</v>
      </c>
      <c r="D17">
        <v>20.527940749999999</v>
      </c>
      <c r="E17">
        <v>40</v>
      </c>
      <c r="F17">
        <v>14.992136002000001</v>
      </c>
      <c r="G17">
        <v>1441.255249</v>
      </c>
      <c r="H17">
        <v>1406.8955077999999</v>
      </c>
      <c r="I17">
        <v>1250.4078368999999</v>
      </c>
      <c r="J17">
        <v>1210.9732666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0.111668</v>
      </c>
      <c r="B18" s="1">
        <f>DATE(2010,5,1) + TIME(2,40,48)</f>
        <v>40299.111666666664</v>
      </c>
      <c r="C18">
        <v>70</v>
      </c>
      <c r="D18">
        <v>21.510919570999999</v>
      </c>
      <c r="E18">
        <v>40</v>
      </c>
      <c r="F18">
        <v>14.992162704</v>
      </c>
      <c r="G18">
        <v>1440.3338623</v>
      </c>
      <c r="H18">
        <v>1406.7548827999999</v>
      </c>
      <c r="I18">
        <v>1250.2802733999999</v>
      </c>
      <c r="J18">
        <v>1210.8455810999999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0.12966900000000001</v>
      </c>
      <c r="B19" s="1">
        <f>DATE(2010,5,1) + TIME(3,6,43)</f>
        <v>40299.129664351851</v>
      </c>
      <c r="C19">
        <v>70</v>
      </c>
      <c r="D19">
        <v>22.493116379</v>
      </c>
      <c r="E19">
        <v>40</v>
      </c>
      <c r="F19">
        <v>14.992197037</v>
      </c>
      <c r="G19">
        <v>1439.3509521000001</v>
      </c>
      <c r="H19">
        <v>1406.5213623</v>
      </c>
      <c r="I19">
        <v>1250.2320557</v>
      </c>
      <c r="J19">
        <v>1210.7973632999999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0.14799499999999999</v>
      </c>
      <c r="B20" s="1">
        <f>DATE(2010,5,1) + TIME(3,33,6)</f>
        <v>40299.147986111115</v>
      </c>
      <c r="C20">
        <v>70</v>
      </c>
      <c r="D20">
        <v>23.474901199000001</v>
      </c>
      <c r="E20">
        <v>40</v>
      </c>
      <c r="F20">
        <v>14.992235184</v>
      </c>
      <c r="G20">
        <v>1438.3513184000001</v>
      </c>
      <c r="H20">
        <v>1406.2414550999999</v>
      </c>
      <c r="I20">
        <v>1250.2197266000001</v>
      </c>
      <c r="J20">
        <v>1210.7850341999999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0.166662</v>
      </c>
      <c r="B21" s="1">
        <f>DATE(2010,5,1) + TIME(3,59,59)</f>
        <v>40299.166655092595</v>
      </c>
      <c r="C21">
        <v>70</v>
      </c>
      <c r="D21">
        <v>24.456254958999999</v>
      </c>
      <c r="E21">
        <v>40</v>
      </c>
      <c r="F21">
        <v>14.992275238</v>
      </c>
      <c r="G21">
        <v>1437.3586425999999</v>
      </c>
      <c r="H21">
        <v>1405.9405518000001</v>
      </c>
      <c r="I21">
        <v>1250.2225341999999</v>
      </c>
      <c r="J21">
        <v>1210.7877197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0.18568299999999999</v>
      </c>
      <c r="B22" s="1">
        <f>DATE(2010,5,1) + TIME(4,27,23)</f>
        <v>40299.185682870368</v>
      </c>
      <c r="C22">
        <v>70</v>
      </c>
      <c r="D22">
        <v>25.437459946000001</v>
      </c>
      <c r="E22">
        <v>40</v>
      </c>
      <c r="F22">
        <v>14.992315292000001</v>
      </c>
      <c r="G22">
        <v>1436.3850098</v>
      </c>
      <c r="H22">
        <v>1405.6322021000001</v>
      </c>
      <c r="I22">
        <v>1250.2303466999999</v>
      </c>
      <c r="J22">
        <v>1210.7956543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0.205069</v>
      </c>
      <c r="B23" s="1">
        <f>DATE(2010,5,1) + TIME(4,55,17)</f>
        <v>40299.205057870371</v>
      </c>
      <c r="C23">
        <v>70</v>
      </c>
      <c r="D23">
        <v>26.41828537</v>
      </c>
      <c r="E23">
        <v>40</v>
      </c>
      <c r="F23">
        <v>14.992355347</v>
      </c>
      <c r="G23">
        <v>1435.4368896000001</v>
      </c>
      <c r="H23">
        <v>1405.3239745999999</v>
      </c>
      <c r="I23">
        <v>1250.2392577999999</v>
      </c>
      <c r="J23">
        <v>1210.8044434000001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0.22483300000000001</v>
      </c>
      <c r="B24" s="1">
        <f>DATE(2010,5,1) + TIME(5,23,45)</f>
        <v>40299.224826388891</v>
      </c>
      <c r="C24">
        <v>70</v>
      </c>
      <c r="D24">
        <v>27.398273467999999</v>
      </c>
      <c r="E24">
        <v>40</v>
      </c>
      <c r="F24">
        <v>14.992396355</v>
      </c>
      <c r="G24">
        <v>1434.5173339999999</v>
      </c>
      <c r="H24">
        <v>1405.0200195</v>
      </c>
      <c r="I24">
        <v>1250.2471923999999</v>
      </c>
      <c r="J24">
        <v>1210.8125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0.245001</v>
      </c>
      <c r="B25" s="1">
        <f>DATE(2010,5,1) + TIME(5,52,48)</f>
        <v>40299.245000000003</v>
      </c>
      <c r="C25">
        <v>70</v>
      </c>
      <c r="D25">
        <v>28.377754210999999</v>
      </c>
      <c r="E25">
        <v>40</v>
      </c>
      <c r="F25">
        <v>14.992436409</v>
      </c>
      <c r="G25">
        <v>1433.6271973</v>
      </c>
      <c r="H25">
        <v>1404.7224120999999</v>
      </c>
      <c r="I25">
        <v>1250.2539062000001</v>
      </c>
      <c r="J25">
        <v>1210.8192139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0.26559199999999999</v>
      </c>
      <c r="B26" s="1">
        <f>DATE(2010,5,1) + TIME(6,22,27)</f>
        <v>40299.265590277777</v>
      </c>
      <c r="C26">
        <v>70</v>
      </c>
      <c r="D26">
        <v>29.356706619000001</v>
      </c>
      <c r="E26">
        <v>40</v>
      </c>
      <c r="F26">
        <v>14.992476462999999</v>
      </c>
      <c r="G26">
        <v>1432.7662353999999</v>
      </c>
      <c r="H26">
        <v>1404.432251</v>
      </c>
      <c r="I26">
        <v>1250.2593993999999</v>
      </c>
      <c r="J26">
        <v>1210.8245850000001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0.28662500000000002</v>
      </c>
      <c r="B27" s="1">
        <f>DATE(2010,5,1) + TIME(6,52,44)</f>
        <v>40299.286620370367</v>
      </c>
      <c r="C27">
        <v>70</v>
      </c>
      <c r="D27">
        <v>30.335184096999999</v>
      </c>
      <c r="E27">
        <v>40</v>
      </c>
      <c r="F27">
        <v>14.992516518</v>
      </c>
      <c r="G27">
        <v>1431.934082</v>
      </c>
      <c r="H27">
        <v>1404.1500243999999</v>
      </c>
      <c r="I27">
        <v>1250.2637939000001</v>
      </c>
      <c r="J27">
        <v>1210.8289795000001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0.30812099999999998</v>
      </c>
      <c r="B28" s="1">
        <f>DATE(2010,5,1) + TIME(7,23,41)</f>
        <v>40299.308113425926</v>
      </c>
      <c r="C28">
        <v>70</v>
      </c>
      <c r="D28">
        <v>31.313156127999999</v>
      </c>
      <c r="E28">
        <v>40</v>
      </c>
      <c r="F28">
        <v>14.992557526000001</v>
      </c>
      <c r="G28">
        <v>1431.1298827999999</v>
      </c>
      <c r="H28">
        <v>1403.8757324000001</v>
      </c>
      <c r="I28">
        <v>1250.2673339999999</v>
      </c>
      <c r="J28">
        <v>1210.8325195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0.33010200000000001</v>
      </c>
      <c r="B29" s="1">
        <f>DATE(2010,5,1) + TIME(7,55,20)</f>
        <v>40299.330092592594</v>
      </c>
      <c r="C29">
        <v>70</v>
      </c>
      <c r="D29">
        <v>32.290382385000001</v>
      </c>
      <c r="E29">
        <v>40</v>
      </c>
      <c r="F29">
        <v>14.99259758</v>
      </c>
      <c r="G29">
        <v>1430.3525391000001</v>
      </c>
      <c r="H29">
        <v>1403.6094971</v>
      </c>
      <c r="I29">
        <v>1250.2702637</v>
      </c>
      <c r="J29">
        <v>1210.8354492000001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0.35259400000000002</v>
      </c>
      <c r="B30" s="1">
        <f>DATE(2010,5,1) + TIME(8,27,44)</f>
        <v>40299.352592592593</v>
      </c>
      <c r="C30">
        <v>70</v>
      </c>
      <c r="D30">
        <v>33.266975403000004</v>
      </c>
      <c r="E30">
        <v>40</v>
      </c>
      <c r="F30">
        <v>14.992637633999999</v>
      </c>
      <c r="G30">
        <v>1429.6008300999999</v>
      </c>
      <c r="H30">
        <v>1403.3507079999999</v>
      </c>
      <c r="I30">
        <v>1250.2727050999999</v>
      </c>
      <c r="J30">
        <v>1210.8377685999999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0.37562600000000002</v>
      </c>
      <c r="B31" s="1">
        <f>DATE(2010,5,1) + TIME(9,0,54)</f>
        <v>40299.375625000001</v>
      </c>
      <c r="C31">
        <v>70</v>
      </c>
      <c r="D31">
        <v>34.242897034000002</v>
      </c>
      <c r="E31">
        <v>40</v>
      </c>
      <c r="F31">
        <v>14.992677689000001</v>
      </c>
      <c r="G31">
        <v>1428.8739014</v>
      </c>
      <c r="H31">
        <v>1403.0993652</v>
      </c>
      <c r="I31">
        <v>1250.2747803</v>
      </c>
      <c r="J31">
        <v>1210.8398437999999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0.399225</v>
      </c>
      <c r="B32" s="1">
        <f>DATE(2010,5,1) + TIME(9,34,53)</f>
        <v>40299.399224537039</v>
      </c>
      <c r="C32">
        <v>70</v>
      </c>
      <c r="D32">
        <v>35.218116760000001</v>
      </c>
      <c r="E32">
        <v>40</v>
      </c>
      <c r="F32">
        <v>14.992718697000001</v>
      </c>
      <c r="G32">
        <v>1428.1704102000001</v>
      </c>
      <c r="H32">
        <v>1402.8549805</v>
      </c>
      <c r="I32">
        <v>1250.2766113</v>
      </c>
      <c r="J32">
        <v>1210.8415527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0.423425</v>
      </c>
      <c r="B33" s="1">
        <f>DATE(2010,5,1) + TIME(10,9,43)</f>
        <v>40299.423414351855</v>
      </c>
      <c r="C33">
        <v>70</v>
      </c>
      <c r="D33">
        <v>36.192596436000002</v>
      </c>
      <c r="E33">
        <v>40</v>
      </c>
      <c r="F33">
        <v>14.992759704999999</v>
      </c>
      <c r="G33">
        <v>1427.4892577999999</v>
      </c>
      <c r="H33">
        <v>1402.6170654</v>
      </c>
      <c r="I33">
        <v>1250.2781981999999</v>
      </c>
      <c r="J33">
        <v>1210.8431396000001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0.44825799999999999</v>
      </c>
      <c r="B34" s="1">
        <f>DATE(2010,5,1) + TIME(10,45,29)</f>
        <v>40299.448252314818</v>
      </c>
      <c r="C34">
        <v>70</v>
      </c>
      <c r="D34">
        <v>37.166294098000002</v>
      </c>
      <c r="E34">
        <v>40</v>
      </c>
      <c r="F34">
        <v>14.992799759</v>
      </c>
      <c r="G34">
        <v>1426.8294678</v>
      </c>
      <c r="H34">
        <v>1402.3854980000001</v>
      </c>
      <c r="I34">
        <v>1250.2795410000001</v>
      </c>
      <c r="J34">
        <v>1210.8444824000001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0.47376200000000002</v>
      </c>
      <c r="B35" s="1">
        <f>DATE(2010,5,1) + TIME(11,22,13)</f>
        <v>40299.473761574074</v>
      </c>
      <c r="C35">
        <v>70</v>
      </c>
      <c r="D35">
        <v>38.139163971000002</v>
      </c>
      <c r="E35">
        <v>40</v>
      </c>
      <c r="F35">
        <v>14.992840767000001</v>
      </c>
      <c r="G35">
        <v>1426.1899414</v>
      </c>
      <c r="H35">
        <v>1402.1595459</v>
      </c>
      <c r="I35">
        <v>1250.2808838000001</v>
      </c>
      <c r="J35">
        <v>1210.8457031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0.499977</v>
      </c>
      <c r="B36" s="1">
        <f>DATE(2010,5,1) + TIME(11,59,58)</f>
        <v>40299.499976851854</v>
      </c>
      <c r="C36">
        <v>70</v>
      </c>
      <c r="D36">
        <v>39.111156463999997</v>
      </c>
      <c r="E36">
        <v>40</v>
      </c>
      <c r="F36">
        <v>14.992881775000001</v>
      </c>
      <c r="G36">
        <v>1425.5695800999999</v>
      </c>
      <c r="H36">
        <v>1401.9389647999999</v>
      </c>
      <c r="I36">
        <v>1250.2821045000001</v>
      </c>
      <c r="J36">
        <v>1210.8468018000001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0.52694799999999997</v>
      </c>
      <c r="B37" s="1">
        <f>DATE(2010,5,1) + TIME(12,38,48)</f>
        <v>40299.526944444442</v>
      </c>
      <c r="C37">
        <v>70</v>
      </c>
      <c r="D37">
        <v>40.082241058000001</v>
      </c>
      <c r="E37">
        <v>40</v>
      </c>
      <c r="F37">
        <v>14.992923737</v>
      </c>
      <c r="G37">
        <v>1424.9676514</v>
      </c>
      <c r="H37">
        <v>1401.7235106999999</v>
      </c>
      <c r="I37">
        <v>1250.2832031</v>
      </c>
      <c r="J37">
        <v>1210.8479004000001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0.55472200000000005</v>
      </c>
      <c r="B38" s="1">
        <f>DATE(2010,5,1) + TIME(13,18,47)</f>
        <v>40299.554710648146</v>
      </c>
      <c r="C38">
        <v>70</v>
      </c>
      <c r="D38">
        <v>41.052528381000002</v>
      </c>
      <c r="E38">
        <v>40</v>
      </c>
      <c r="F38">
        <v>14.992964745</v>
      </c>
      <c r="G38">
        <v>1424.3828125</v>
      </c>
      <c r="H38">
        <v>1401.5124512</v>
      </c>
      <c r="I38">
        <v>1250.2841797000001</v>
      </c>
      <c r="J38">
        <v>1210.8488769999999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0.58334600000000003</v>
      </c>
      <c r="B39" s="1">
        <f>DATE(2010,5,1) + TIME(14,0,1)</f>
        <v>40299.583344907405</v>
      </c>
      <c r="C39">
        <v>70</v>
      </c>
      <c r="D39">
        <v>42.021572112999998</v>
      </c>
      <c r="E39">
        <v>40</v>
      </c>
      <c r="F39">
        <v>14.993006705999999</v>
      </c>
      <c r="G39">
        <v>1423.8145752</v>
      </c>
      <c r="H39">
        <v>1401.3057861</v>
      </c>
      <c r="I39">
        <v>1250.2851562000001</v>
      </c>
      <c r="J39">
        <v>1210.8497314000001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0.61288500000000001</v>
      </c>
      <c r="B40" s="1">
        <f>DATE(2010,5,1) + TIME(14,42,33)</f>
        <v>40299.612881944442</v>
      </c>
      <c r="C40">
        <v>70</v>
      </c>
      <c r="D40">
        <v>42.989498138000002</v>
      </c>
      <c r="E40">
        <v>40</v>
      </c>
      <c r="F40">
        <v>14.993048668</v>
      </c>
      <c r="G40">
        <v>1423.2618408000001</v>
      </c>
      <c r="H40">
        <v>1401.1027832</v>
      </c>
      <c r="I40">
        <v>1250.2861327999999</v>
      </c>
      <c r="J40">
        <v>1210.8505858999999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0.64340200000000003</v>
      </c>
      <c r="B41" s="1">
        <f>DATE(2010,5,1) + TIME(15,26,29)</f>
        <v>40299.643391203703</v>
      </c>
      <c r="C41">
        <v>70</v>
      </c>
      <c r="D41">
        <v>43.956230163999997</v>
      </c>
      <c r="E41">
        <v>40</v>
      </c>
      <c r="F41">
        <v>14.993090629999999</v>
      </c>
      <c r="G41">
        <v>1422.7238769999999</v>
      </c>
      <c r="H41">
        <v>1400.9031981999999</v>
      </c>
      <c r="I41">
        <v>1250.2869873</v>
      </c>
      <c r="J41">
        <v>1210.8513184000001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0.67496999999999996</v>
      </c>
      <c r="B42" s="1">
        <f>DATE(2010,5,1) + TIME(16,11,57)</f>
        <v>40299.67496527778</v>
      </c>
      <c r="C42">
        <v>70</v>
      </c>
      <c r="D42">
        <v>44.921676636000001</v>
      </c>
      <c r="E42">
        <v>40</v>
      </c>
      <c r="F42">
        <v>14.993133544999999</v>
      </c>
      <c r="G42">
        <v>1422.199707</v>
      </c>
      <c r="H42">
        <v>1400.7066649999999</v>
      </c>
      <c r="I42">
        <v>1250.2877197</v>
      </c>
      <c r="J42">
        <v>1210.8520507999999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0.70766700000000005</v>
      </c>
      <c r="B43" s="1">
        <f>DATE(2010,5,1) + TIME(16,59,2)</f>
        <v>40299.707662037035</v>
      </c>
      <c r="C43">
        <v>70</v>
      </c>
      <c r="D43">
        <v>45.885753631999997</v>
      </c>
      <c r="E43">
        <v>40</v>
      </c>
      <c r="F43">
        <v>14.993176460000001</v>
      </c>
      <c r="G43">
        <v>1421.6885986</v>
      </c>
      <c r="H43">
        <v>1400.5128173999999</v>
      </c>
      <c r="I43">
        <v>1250.2885742000001</v>
      </c>
      <c r="J43">
        <v>1210.8527832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0.74158299999999999</v>
      </c>
      <c r="B44" s="1">
        <f>DATE(2010,5,1) + TIME(17,47,52)</f>
        <v>40299.741574074076</v>
      </c>
      <c r="C44">
        <v>70</v>
      </c>
      <c r="D44">
        <v>46.848346710000001</v>
      </c>
      <c r="E44">
        <v>40</v>
      </c>
      <c r="F44">
        <v>14.993220329</v>
      </c>
      <c r="G44">
        <v>1421.1899414</v>
      </c>
      <c r="H44">
        <v>1400.3211670000001</v>
      </c>
      <c r="I44">
        <v>1250.2893065999999</v>
      </c>
      <c r="J44">
        <v>1210.8535156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0.77681699999999998</v>
      </c>
      <c r="B45" s="1">
        <f>DATE(2010,5,1) + TIME(18,38,36)</f>
        <v>40299.776805555557</v>
      </c>
      <c r="C45">
        <v>70</v>
      </c>
      <c r="D45">
        <v>47.809345245000003</v>
      </c>
      <c r="E45">
        <v>40</v>
      </c>
      <c r="F45">
        <v>14.993263245</v>
      </c>
      <c r="G45">
        <v>1420.7027588000001</v>
      </c>
      <c r="H45">
        <v>1400.1313477000001</v>
      </c>
      <c r="I45">
        <v>1250.2900391000001</v>
      </c>
      <c r="J45">
        <v>1210.854126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0.81348100000000001</v>
      </c>
      <c r="B46" s="1">
        <f>DATE(2010,5,1) + TIME(19,31,24)</f>
        <v>40299.813472222224</v>
      </c>
      <c r="C46">
        <v>70</v>
      </c>
      <c r="D46">
        <v>48.768611907999997</v>
      </c>
      <c r="E46">
        <v>40</v>
      </c>
      <c r="F46">
        <v>14.993308066999999</v>
      </c>
      <c r="G46">
        <v>1420.2263184000001</v>
      </c>
      <c r="H46">
        <v>1399.9429932</v>
      </c>
      <c r="I46">
        <v>1250.2907714999999</v>
      </c>
      <c r="J46">
        <v>1210.8547363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0.85170100000000004</v>
      </c>
      <c r="B47" s="1">
        <f>DATE(2010,5,1) + TIME(20,26,26)</f>
        <v>40299.851689814815</v>
      </c>
      <c r="C47">
        <v>70</v>
      </c>
      <c r="D47">
        <v>49.726005553999997</v>
      </c>
      <c r="E47">
        <v>40</v>
      </c>
      <c r="F47">
        <v>14.993351936</v>
      </c>
      <c r="G47">
        <v>1419.7598877</v>
      </c>
      <c r="H47">
        <v>1399.7556152</v>
      </c>
      <c r="I47">
        <v>1250.2915039</v>
      </c>
      <c r="J47">
        <v>1210.8553466999999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0.89162300000000005</v>
      </c>
      <c r="B48" s="1">
        <f>DATE(2010,5,1) + TIME(21,23,56)</f>
        <v>40299.89162037037</v>
      </c>
      <c r="C48">
        <v>70</v>
      </c>
      <c r="D48">
        <v>50.681026459000002</v>
      </c>
      <c r="E48">
        <v>40</v>
      </c>
      <c r="F48">
        <v>14.993397713</v>
      </c>
      <c r="G48">
        <v>1419.3027344</v>
      </c>
      <c r="H48">
        <v>1399.5687256000001</v>
      </c>
      <c r="I48">
        <v>1250.2921143000001</v>
      </c>
      <c r="J48">
        <v>1210.855957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0.93342400000000003</v>
      </c>
      <c r="B49" s="1">
        <f>DATE(2010,5,1) + TIME(22,24,7)</f>
        <v>40299.93341435185</v>
      </c>
      <c r="C49">
        <v>70</v>
      </c>
      <c r="D49">
        <v>51.633975982999999</v>
      </c>
      <c r="E49">
        <v>40</v>
      </c>
      <c r="F49">
        <v>14.993442535</v>
      </c>
      <c r="G49">
        <v>1418.8540039</v>
      </c>
      <c r="H49">
        <v>1399.3819579999999</v>
      </c>
      <c r="I49">
        <v>1250.2928466999999</v>
      </c>
      <c r="J49">
        <v>1210.8565673999999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0.97728999999999999</v>
      </c>
      <c r="B50" s="1">
        <f>DATE(2010,5,1) + TIME(23,27,17)</f>
        <v>40299.977280092593</v>
      </c>
      <c r="C50">
        <v>70</v>
      </c>
      <c r="D50">
        <v>52.584590912000003</v>
      </c>
      <c r="E50">
        <v>40</v>
      </c>
      <c r="F50">
        <v>14.993489264999999</v>
      </c>
      <c r="G50">
        <v>1418.4130858999999</v>
      </c>
      <c r="H50">
        <v>1399.1948242000001</v>
      </c>
      <c r="I50">
        <v>1250.2935791</v>
      </c>
      <c r="J50">
        <v>1210.8571777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1.023434</v>
      </c>
      <c r="B51" s="1">
        <f>DATE(2010,5,2) + TIME(0,33,44)</f>
        <v>40300.023425925923</v>
      </c>
      <c r="C51">
        <v>70</v>
      </c>
      <c r="D51">
        <v>53.532505035</v>
      </c>
      <c r="E51">
        <v>40</v>
      </c>
      <c r="F51">
        <v>14.993535995</v>
      </c>
      <c r="G51">
        <v>1417.979126</v>
      </c>
      <c r="H51">
        <v>1399.0067139</v>
      </c>
      <c r="I51">
        <v>1250.2943115</v>
      </c>
      <c r="J51">
        <v>1210.8577881000001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1.072114</v>
      </c>
      <c r="B52" s="1">
        <f>DATE(2010,5,2) + TIME(1,43,50)</f>
        <v>40300.072106481479</v>
      </c>
      <c r="C52">
        <v>70</v>
      </c>
      <c r="D52">
        <v>54.477420807000001</v>
      </c>
      <c r="E52">
        <v>40</v>
      </c>
      <c r="F52">
        <v>14.993583679</v>
      </c>
      <c r="G52">
        <v>1417.5513916</v>
      </c>
      <c r="H52">
        <v>1398.8171387</v>
      </c>
      <c r="I52">
        <v>1250.2950439000001</v>
      </c>
      <c r="J52">
        <v>1210.8583983999999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1.123632</v>
      </c>
      <c r="B53" s="1">
        <f>DATE(2010,5,2) + TIME(2,58,1)</f>
        <v>40300.123622685183</v>
      </c>
      <c r="C53">
        <v>70</v>
      </c>
      <c r="D53">
        <v>55.419010161999999</v>
      </c>
      <c r="E53">
        <v>40</v>
      </c>
      <c r="F53">
        <v>14.993632316999999</v>
      </c>
      <c r="G53">
        <v>1417.1290283000001</v>
      </c>
      <c r="H53">
        <v>1398.6253661999999</v>
      </c>
      <c r="I53">
        <v>1250.2957764</v>
      </c>
      <c r="J53">
        <v>1210.8591309000001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1.1783459999999999</v>
      </c>
      <c r="B54" s="1">
        <f>DATE(2010,5,2) + TIME(4,16,49)</f>
        <v>40300.178344907406</v>
      </c>
      <c r="C54">
        <v>70</v>
      </c>
      <c r="D54">
        <v>56.356872559000003</v>
      </c>
      <c r="E54">
        <v>40</v>
      </c>
      <c r="F54">
        <v>14.993681907999999</v>
      </c>
      <c r="G54">
        <v>1416.7110596</v>
      </c>
      <c r="H54">
        <v>1398.4309082</v>
      </c>
      <c r="I54">
        <v>1250.2966309000001</v>
      </c>
      <c r="J54">
        <v>1210.8598632999999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1.2366839999999999</v>
      </c>
      <c r="B55" s="1">
        <f>DATE(2010,5,2) + TIME(5,40,49)</f>
        <v>40300.236678240741</v>
      </c>
      <c r="C55">
        <v>70</v>
      </c>
      <c r="D55">
        <v>57.290542602999999</v>
      </c>
      <c r="E55">
        <v>40</v>
      </c>
      <c r="F55">
        <v>14.993732452</v>
      </c>
      <c r="G55">
        <v>1416.2966309000001</v>
      </c>
      <c r="H55">
        <v>1398.2327881000001</v>
      </c>
      <c r="I55">
        <v>1250.2974853999999</v>
      </c>
      <c r="J55">
        <v>1210.8605957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1.2991680000000001</v>
      </c>
      <c r="B56" s="1">
        <f>DATE(2010,5,2) + TIME(7,10,48)</f>
        <v>40300.299166666664</v>
      </c>
      <c r="C56">
        <v>70</v>
      </c>
      <c r="D56">
        <v>58.219463347999998</v>
      </c>
      <c r="E56">
        <v>40</v>
      </c>
      <c r="F56">
        <v>14.993783950999999</v>
      </c>
      <c r="G56">
        <v>1415.8846435999999</v>
      </c>
      <c r="H56">
        <v>1398.0301514</v>
      </c>
      <c r="I56">
        <v>1250.2984618999999</v>
      </c>
      <c r="J56">
        <v>1210.8614502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1.3664320000000001</v>
      </c>
      <c r="B57" s="1">
        <f>DATE(2010,5,2) + TIME(8,47,39)</f>
        <v>40300.366423611114</v>
      </c>
      <c r="C57">
        <v>70</v>
      </c>
      <c r="D57">
        <v>59.142955780000001</v>
      </c>
      <c r="E57">
        <v>40</v>
      </c>
      <c r="F57">
        <v>14.993837357</v>
      </c>
      <c r="G57">
        <v>1415.4738769999999</v>
      </c>
      <c r="H57">
        <v>1397.8218993999999</v>
      </c>
      <c r="I57">
        <v>1250.2994385</v>
      </c>
      <c r="J57">
        <v>1210.8623047000001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1.400706</v>
      </c>
      <c r="B58" s="1">
        <f>DATE(2010,5,2) + TIME(9,37,0)</f>
        <v>40300.400694444441</v>
      </c>
      <c r="C58">
        <v>70</v>
      </c>
      <c r="D58">
        <v>59.595115661999998</v>
      </c>
      <c r="E58">
        <v>40</v>
      </c>
      <c r="F58">
        <v>14.993864059</v>
      </c>
      <c r="G58">
        <v>1415.2371826000001</v>
      </c>
      <c r="H58">
        <v>1397.6569824000001</v>
      </c>
      <c r="I58">
        <v>1250.300293</v>
      </c>
      <c r="J58">
        <v>1210.8630370999999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1.4692529999999999</v>
      </c>
      <c r="B59" s="1">
        <f>DATE(2010,5,2) + TIME(11,15,43)</f>
        <v>40300.469247685185</v>
      </c>
      <c r="C59">
        <v>70</v>
      </c>
      <c r="D59">
        <v>60.426929473999998</v>
      </c>
      <c r="E59">
        <v>40</v>
      </c>
      <c r="F59">
        <v>14.993914604</v>
      </c>
      <c r="G59">
        <v>1414.8934326000001</v>
      </c>
      <c r="H59">
        <v>1397.5108643000001</v>
      </c>
      <c r="I59">
        <v>1250.3011475000001</v>
      </c>
      <c r="J59">
        <v>1210.8637695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1.5378149999999999</v>
      </c>
      <c r="B60" s="1">
        <f>DATE(2010,5,2) + TIME(12,54,27)</f>
        <v>40300.537812499999</v>
      </c>
      <c r="C60">
        <v>70</v>
      </c>
      <c r="D60">
        <v>61.193153381000002</v>
      </c>
      <c r="E60">
        <v>40</v>
      </c>
      <c r="F60">
        <v>14.993963242</v>
      </c>
      <c r="G60">
        <v>1414.5393065999999</v>
      </c>
      <c r="H60">
        <v>1397.3118896000001</v>
      </c>
      <c r="I60">
        <v>1250.302124</v>
      </c>
      <c r="J60">
        <v>1210.8647461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1.606652</v>
      </c>
      <c r="B61" s="1">
        <f>DATE(2010,5,2) + TIME(14,33,34)</f>
        <v>40300.60664351852</v>
      </c>
      <c r="C61">
        <v>70</v>
      </c>
      <c r="D61">
        <v>61.901367188000002</v>
      </c>
      <c r="E61">
        <v>40</v>
      </c>
      <c r="F61">
        <v>14.994009972000001</v>
      </c>
      <c r="G61">
        <v>1414.2060547000001</v>
      </c>
      <c r="H61">
        <v>1397.1191406</v>
      </c>
      <c r="I61">
        <v>1250.3032227000001</v>
      </c>
      <c r="J61">
        <v>1210.8657227000001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1.6759170000000001</v>
      </c>
      <c r="B62" s="1">
        <f>DATE(2010,5,2) + TIME(16,13,19)</f>
        <v>40300.67591435185</v>
      </c>
      <c r="C62">
        <v>70</v>
      </c>
      <c r="D62">
        <v>62.556842803999999</v>
      </c>
      <c r="E62">
        <v>40</v>
      </c>
      <c r="F62">
        <v>14.994054794</v>
      </c>
      <c r="G62">
        <v>1413.8911132999999</v>
      </c>
      <c r="H62">
        <v>1396.9316406</v>
      </c>
      <c r="I62">
        <v>1250.3043213000001</v>
      </c>
      <c r="J62">
        <v>1210.8666992000001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1.7457530000000001</v>
      </c>
      <c r="B63" s="1">
        <f>DATE(2010,5,2) + TIME(17,53,53)</f>
        <v>40300.745752314811</v>
      </c>
      <c r="C63">
        <v>70</v>
      </c>
      <c r="D63">
        <v>63.164108276</v>
      </c>
      <c r="E63">
        <v>40</v>
      </c>
      <c r="F63">
        <v>14.99409771</v>
      </c>
      <c r="G63">
        <v>1413.5924072</v>
      </c>
      <c r="H63">
        <v>1396.7486572</v>
      </c>
      <c r="I63">
        <v>1250.3055420000001</v>
      </c>
      <c r="J63">
        <v>1210.8677978999999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1.816298</v>
      </c>
      <c r="B64" s="1">
        <f>DATE(2010,5,2) + TIME(19,35,28)</f>
        <v>40300.816296296296</v>
      </c>
      <c r="C64">
        <v>70</v>
      </c>
      <c r="D64">
        <v>63.727142334</v>
      </c>
      <c r="E64">
        <v>40</v>
      </c>
      <c r="F64">
        <v>14.994139670999999</v>
      </c>
      <c r="G64">
        <v>1413.3078613</v>
      </c>
      <c r="H64">
        <v>1396.5695800999999</v>
      </c>
      <c r="I64">
        <v>1250.3066406</v>
      </c>
      <c r="J64">
        <v>1210.8687743999999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1.8876900000000001</v>
      </c>
      <c r="B65" s="1">
        <f>DATE(2010,5,2) + TIME(21,18,16)</f>
        <v>40300.887685185182</v>
      </c>
      <c r="C65">
        <v>70</v>
      </c>
      <c r="D65">
        <v>64.249443053999997</v>
      </c>
      <c r="E65">
        <v>40</v>
      </c>
      <c r="F65">
        <v>14.994180678999999</v>
      </c>
      <c r="G65">
        <v>1413.0357666</v>
      </c>
      <c r="H65">
        <v>1396.3937988</v>
      </c>
      <c r="I65">
        <v>1250.3077393000001</v>
      </c>
      <c r="J65">
        <v>1210.869751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1.9600660000000001</v>
      </c>
      <c r="B66" s="1">
        <f>DATE(2010,5,2) + TIME(23,2,29)</f>
        <v>40300.960057870368</v>
      </c>
      <c r="C66">
        <v>70</v>
      </c>
      <c r="D66">
        <v>64.734107971</v>
      </c>
      <c r="E66">
        <v>40</v>
      </c>
      <c r="F66">
        <v>14.99421978</v>
      </c>
      <c r="G66">
        <v>1412.7747803</v>
      </c>
      <c r="H66">
        <v>1396.2205810999999</v>
      </c>
      <c r="I66">
        <v>1250.3088379000001</v>
      </c>
      <c r="J66">
        <v>1210.8708495999999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2.0335670000000001</v>
      </c>
      <c r="B67" s="1">
        <f>DATE(2010,5,3) + TIME(0,48,20)</f>
        <v>40301.033564814818</v>
      </c>
      <c r="C67">
        <v>70</v>
      </c>
      <c r="D67">
        <v>65.183967589999995</v>
      </c>
      <c r="E67">
        <v>40</v>
      </c>
      <c r="F67">
        <v>14.994258881</v>
      </c>
      <c r="G67">
        <v>1412.5234375</v>
      </c>
      <c r="H67">
        <v>1396.0498047000001</v>
      </c>
      <c r="I67">
        <v>1250.3099365</v>
      </c>
      <c r="J67">
        <v>1210.8719481999999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2.1083370000000001</v>
      </c>
      <c r="B68" s="1">
        <f>DATE(2010,5,3) + TIME(2,36,0)</f>
        <v>40301.10833333333</v>
      </c>
      <c r="C68">
        <v>70</v>
      </c>
      <c r="D68">
        <v>65.601524353000002</v>
      </c>
      <c r="E68">
        <v>40</v>
      </c>
      <c r="F68">
        <v>14.994296073999999</v>
      </c>
      <c r="G68">
        <v>1412.2807617000001</v>
      </c>
      <c r="H68">
        <v>1395.8807373</v>
      </c>
      <c r="I68">
        <v>1250.3111572</v>
      </c>
      <c r="J68">
        <v>1210.8729248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2.1845240000000001</v>
      </c>
      <c r="B69" s="1">
        <f>DATE(2010,5,3) + TIME(4,25,42)</f>
        <v>40301.184513888889</v>
      </c>
      <c r="C69">
        <v>70</v>
      </c>
      <c r="D69">
        <v>65.988952636999997</v>
      </c>
      <c r="E69">
        <v>40</v>
      </c>
      <c r="F69">
        <v>14.994333267</v>
      </c>
      <c r="G69">
        <v>1412.0457764</v>
      </c>
      <c r="H69">
        <v>1395.7132568</v>
      </c>
      <c r="I69">
        <v>1250.3122559000001</v>
      </c>
      <c r="J69">
        <v>1210.8740233999999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2.2622810000000002</v>
      </c>
      <c r="B70" s="1">
        <f>DATE(2010,5,3) + TIME(6,17,41)</f>
        <v>40301.262280092589</v>
      </c>
      <c r="C70">
        <v>70</v>
      </c>
      <c r="D70">
        <v>66.348266601999995</v>
      </c>
      <c r="E70">
        <v>40</v>
      </c>
      <c r="F70">
        <v>14.994369507</v>
      </c>
      <c r="G70">
        <v>1411.8175048999999</v>
      </c>
      <c r="H70">
        <v>1395.5467529</v>
      </c>
      <c r="I70">
        <v>1250.3134766000001</v>
      </c>
      <c r="J70">
        <v>1210.8751221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2.3417669999999999</v>
      </c>
      <c r="B71" s="1">
        <f>DATE(2010,5,3) + TIME(8,12,8)</f>
        <v>40301.34175925926</v>
      </c>
      <c r="C71">
        <v>70</v>
      </c>
      <c r="D71">
        <v>66.681297302000004</v>
      </c>
      <c r="E71">
        <v>40</v>
      </c>
      <c r="F71">
        <v>14.994405746</v>
      </c>
      <c r="G71">
        <v>1411.5952147999999</v>
      </c>
      <c r="H71">
        <v>1395.3809814000001</v>
      </c>
      <c r="I71">
        <v>1250.3145752</v>
      </c>
      <c r="J71">
        <v>1210.8762207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2.423171</v>
      </c>
      <c r="B72" s="1">
        <f>DATE(2010,5,3) + TIME(10,9,21)</f>
        <v>40301.423159722224</v>
      </c>
      <c r="C72">
        <v>70</v>
      </c>
      <c r="D72">
        <v>66.989784240999995</v>
      </c>
      <c r="E72">
        <v>40</v>
      </c>
      <c r="F72">
        <v>14.994440079</v>
      </c>
      <c r="G72">
        <v>1411.3780518000001</v>
      </c>
      <c r="H72">
        <v>1395.2158202999999</v>
      </c>
      <c r="I72">
        <v>1250.3157959</v>
      </c>
      <c r="J72">
        <v>1210.8774414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2.5066820000000001</v>
      </c>
      <c r="B73" s="1">
        <f>DATE(2010,5,3) + TIME(12,9,37)</f>
        <v>40301.506678240738</v>
      </c>
      <c r="C73">
        <v>70</v>
      </c>
      <c r="D73">
        <v>67.275276184000006</v>
      </c>
      <c r="E73">
        <v>40</v>
      </c>
      <c r="F73">
        <v>14.994475365</v>
      </c>
      <c r="G73">
        <v>1411.1654053</v>
      </c>
      <c r="H73">
        <v>1395.0506591999999</v>
      </c>
      <c r="I73">
        <v>1250.3170166</v>
      </c>
      <c r="J73">
        <v>1210.8785399999999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2.5925090000000002</v>
      </c>
      <c r="B74" s="1">
        <f>DATE(2010,5,3) + TIME(14,13,12)</f>
        <v>40301.592499999999</v>
      </c>
      <c r="C74">
        <v>70</v>
      </c>
      <c r="D74">
        <v>67.539192200000002</v>
      </c>
      <c r="E74">
        <v>40</v>
      </c>
      <c r="F74">
        <v>14.994509697</v>
      </c>
      <c r="G74">
        <v>1410.956543</v>
      </c>
      <c r="H74">
        <v>1394.885376</v>
      </c>
      <c r="I74">
        <v>1250.3182373</v>
      </c>
      <c r="J74">
        <v>1210.8797606999999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2.6808770000000002</v>
      </c>
      <c r="B75" s="1">
        <f>DATE(2010,5,3) + TIME(16,20,27)</f>
        <v>40301.680868055555</v>
      </c>
      <c r="C75">
        <v>70</v>
      </c>
      <c r="D75">
        <v>67.782852172999995</v>
      </c>
      <c r="E75">
        <v>40</v>
      </c>
      <c r="F75">
        <v>14.994543075999999</v>
      </c>
      <c r="G75">
        <v>1410.7509766000001</v>
      </c>
      <c r="H75">
        <v>1394.7194824000001</v>
      </c>
      <c r="I75">
        <v>1250.3194579999999</v>
      </c>
      <c r="J75">
        <v>1210.8808594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2.7720340000000001</v>
      </c>
      <c r="B76" s="1">
        <f>DATE(2010,5,3) + TIME(18,31,43)</f>
        <v>40301.77202546296</v>
      </c>
      <c r="C76">
        <v>70</v>
      </c>
      <c r="D76">
        <v>68.007476807000003</v>
      </c>
      <c r="E76">
        <v>40</v>
      </c>
      <c r="F76">
        <v>14.994577408</v>
      </c>
      <c r="G76">
        <v>1410.5480957</v>
      </c>
      <c r="H76">
        <v>1394.5529785000001</v>
      </c>
      <c r="I76">
        <v>1250.3206786999999</v>
      </c>
      <c r="J76">
        <v>1210.8820800999999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2.8662550000000002</v>
      </c>
      <c r="B77" s="1">
        <f>DATE(2010,5,3) + TIME(20,47,24)</f>
        <v>40301.866249999999</v>
      </c>
      <c r="C77">
        <v>70</v>
      </c>
      <c r="D77">
        <v>68.214210510000001</v>
      </c>
      <c r="E77">
        <v>40</v>
      </c>
      <c r="F77">
        <v>14.994610786000001</v>
      </c>
      <c r="G77">
        <v>1410.3472899999999</v>
      </c>
      <c r="H77">
        <v>1394.385376</v>
      </c>
      <c r="I77">
        <v>1250.3220214999999</v>
      </c>
      <c r="J77">
        <v>1210.8834228999999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2.9638469999999999</v>
      </c>
      <c r="B78" s="1">
        <f>DATE(2010,5,3) + TIME(23,7,56)</f>
        <v>40301.963842592595</v>
      </c>
      <c r="C78">
        <v>70</v>
      </c>
      <c r="D78">
        <v>68.404106139999996</v>
      </c>
      <c r="E78">
        <v>40</v>
      </c>
      <c r="F78">
        <v>14.994644165</v>
      </c>
      <c r="G78">
        <v>1410.1481934000001</v>
      </c>
      <c r="H78">
        <v>1394.2164307</v>
      </c>
      <c r="I78">
        <v>1250.3233643000001</v>
      </c>
      <c r="J78">
        <v>1210.8846435999999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3.0651519999999999</v>
      </c>
      <c r="B79" s="1">
        <f>DATE(2010,5,4) + TIME(1,33,49)</f>
        <v>40302.065150462964</v>
      </c>
      <c r="C79">
        <v>70</v>
      </c>
      <c r="D79">
        <v>68.578170775999993</v>
      </c>
      <c r="E79">
        <v>40</v>
      </c>
      <c r="F79">
        <v>14.994677544</v>
      </c>
      <c r="G79">
        <v>1409.9500731999999</v>
      </c>
      <c r="H79">
        <v>1394.0457764</v>
      </c>
      <c r="I79">
        <v>1250.324707</v>
      </c>
      <c r="J79">
        <v>1210.8859863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3.17041</v>
      </c>
      <c r="B80" s="1">
        <f>DATE(2010,5,4) + TIME(4,5,23)</f>
        <v>40302.170405092591</v>
      </c>
      <c r="C80">
        <v>70</v>
      </c>
      <c r="D80">
        <v>68.737129210999996</v>
      </c>
      <c r="E80">
        <v>40</v>
      </c>
      <c r="F80">
        <v>14.994710921999999</v>
      </c>
      <c r="G80">
        <v>1409.7525635</v>
      </c>
      <c r="H80">
        <v>1393.8732910000001</v>
      </c>
      <c r="I80">
        <v>1250.3260498</v>
      </c>
      <c r="J80">
        <v>1210.887207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3.2800750000000001</v>
      </c>
      <c r="B81" s="1">
        <f>DATE(2010,5,4) + TIME(6,43,18)</f>
        <v>40302.280069444445</v>
      </c>
      <c r="C81">
        <v>70</v>
      </c>
      <c r="D81">
        <v>68.881958007999998</v>
      </c>
      <c r="E81">
        <v>40</v>
      </c>
      <c r="F81">
        <v>14.994744301000001</v>
      </c>
      <c r="G81">
        <v>1409.5552978999999</v>
      </c>
      <c r="H81">
        <v>1393.6986084</v>
      </c>
      <c r="I81">
        <v>1250.3273925999999</v>
      </c>
      <c r="J81">
        <v>1210.8886719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3.3937460000000002</v>
      </c>
      <c r="B82" s="1">
        <f>DATE(2010,5,4) + TIME(9,26,59)</f>
        <v>40302.393738425926</v>
      </c>
      <c r="C82">
        <v>70</v>
      </c>
      <c r="D82">
        <v>69.012641907000003</v>
      </c>
      <c r="E82">
        <v>40</v>
      </c>
      <c r="F82">
        <v>14.994778632999999</v>
      </c>
      <c r="G82">
        <v>1409.3581543</v>
      </c>
      <c r="H82">
        <v>1393.5214844</v>
      </c>
      <c r="I82">
        <v>1250.3288574000001</v>
      </c>
      <c r="J82">
        <v>1210.8900146000001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3.511784</v>
      </c>
      <c r="B83" s="1">
        <f>DATE(2010,5,4) + TIME(12,16,58)</f>
        <v>40302.511782407404</v>
      </c>
      <c r="C83">
        <v>70</v>
      </c>
      <c r="D83">
        <v>69.130210876000007</v>
      </c>
      <c r="E83">
        <v>40</v>
      </c>
      <c r="F83">
        <v>14.994812012000001</v>
      </c>
      <c r="G83">
        <v>1409.161499</v>
      </c>
      <c r="H83">
        <v>1393.3427733999999</v>
      </c>
      <c r="I83">
        <v>1250.3304443</v>
      </c>
      <c r="J83">
        <v>1210.8914795000001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3.6346660000000002</v>
      </c>
      <c r="B84" s="1">
        <f>DATE(2010,5,4) + TIME(15,13,55)</f>
        <v>40302.634664351855</v>
      </c>
      <c r="C84">
        <v>70</v>
      </c>
      <c r="D84">
        <v>69.235664368000002</v>
      </c>
      <c r="E84">
        <v>40</v>
      </c>
      <c r="F84">
        <v>14.99484539</v>
      </c>
      <c r="G84">
        <v>1408.9648437999999</v>
      </c>
      <c r="H84">
        <v>1393.1622314000001</v>
      </c>
      <c r="I84">
        <v>1250.3319091999999</v>
      </c>
      <c r="J84">
        <v>1210.8930664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3.7629000000000001</v>
      </c>
      <c r="B85" s="1">
        <f>DATE(2010,5,4) + TIME(18,18,34)</f>
        <v>40302.76289351852</v>
      </c>
      <c r="C85">
        <v>70</v>
      </c>
      <c r="D85">
        <v>69.329933166999993</v>
      </c>
      <c r="E85">
        <v>40</v>
      </c>
      <c r="F85">
        <v>14.994879723</v>
      </c>
      <c r="G85">
        <v>1408.7678223</v>
      </c>
      <c r="H85">
        <v>1392.9793701000001</v>
      </c>
      <c r="I85">
        <v>1250.3334961</v>
      </c>
      <c r="J85">
        <v>1210.8945312000001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3.8970419999999999</v>
      </c>
      <c r="B86" s="1">
        <f>DATE(2010,5,4) + TIME(21,31,44)</f>
        <v>40302.897037037037</v>
      </c>
      <c r="C86">
        <v>70</v>
      </c>
      <c r="D86">
        <v>69.413871764999996</v>
      </c>
      <c r="E86">
        <v>40</v>
      </c>
      <c r="F86">
        <v>14.994913101</v>
      </c>
      <c r="G86">
        <v>1408.5699463000001</v>
      </c>
      <c r="H86">
        <v>1392.7940673999999</v>
      </c>
      <c r="I86">
        <v>1250.3350829999999</v>
      </c>
      <c r="J86">
        <v>1210.8961182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4.0374809999999997</v>
      </c>
      <c r="B87" s="1">
        <f>DATE(2010,5,5) + TIME(0,53,58)</f>
        <v>40303.037476851852</v>
      </c>
      <c r="C87">
        <v>70</v>
      </c>
      <c r="D87">
        <v>69.488174438000001</v>
      </c>
      <c r="E87">
        <v>40</v>
      </c>
      <c r="F87">
        <v>14.994947433</v>
      </c>
      <c r="G87">
        <v>1408.3704834</v>
      </c>
      <c r="H87">
        <v>1392.6057129000001</v>
      </c>
      <c r="I87">
        <v>1250.3367920000001</v>
      </c>
      <c r="J87">
        <v>1210.8978271000001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4.1101330000000003</v>
      </c>
      <c r="B88" s="1">
        <f>DATE(2010,5,5) + TIME(2,38,35)</f>
        <v>40303.110127314816</v>
      </c>
      <c r="C88">
        <v>70</v>
      </c>
      <c r="D88">
        <v>69.523300171000002</v>
      </c>
      <c r="E88">
        <v>40</v>
      </c>
      <c r="F88">
        <v>14.994966507000001</v>
      </c>
      <c r="G88">
        <v>1408.1787108999999</v>
      </c>
      <c r="H88">
        <v>1392.4144286999999</v>
      </c>
      <c r="I88">
        <v>1250.3382568</v>
      </c>
      <c r="J88">
        <v>1210.8991699000001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4.255439</v>
      </c>
      <c r="B89" s="1">
        <f>DATE(2010,5,5) + TIME(6,7,49)</f>
        <v>40303.255428240744</v>
      </c>
      <c r="C89">
        <v>70</v>
      </c>
      <c r="D89">
        <v>69.582420349000003</v>
      </c>
      <c r="E89">
        <v>40</v>
      </c>
      <c r="F89">
        <v>14.994999886</v>
      </c>
      <c r="G89">
        <v>1408.0682373</v>
      </c>
      <c r="H89">
        <v>1392.3172606999999</v>
      </c>
      <c r="I89">
        <v>1250.3394774999999</v>
      </c>
      <c r="J89">
        <v>1210.9003906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4.4008630000000002</v>
      </c>
      <c r="B90" s="1">
        <f>DATE(2010,5,5) + TIME(9,37,14)</f>
        <v>40303.400856481479</v>
      </c>
      <c r="C90">
        <v>70</v>
      </c>
      <c r="D90">
        <v>69.632225036999998</v>
      </c>
      <c r="E90">
        <v>40</v>
      </c>
      <c r="F90">
        <v>14.995033264</v>
      </c>
      <c r="G90">
        <v>1407.8725586</v>
      </c>
      <c r="H90">
        <v>1392.1287841999999</v>
      </c>
      <c r="I90">
        <v>1250.3411865</v>
      </c>
      <c r="J90">
        <v>1210.9020995999999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4.5467829999999996</v>
      </c>
      <c r="B91" s="1">
        <f>DATE(2010,5,5) + TIME(13,7,22)</f>
        <v>40303.546782407408</v>
      </c>
      <c r="C91">
        <v>70</v>
      </c>
      <c r="D91">
        <v>69.674293517999999</v>
      </c>
      <c r="E91">
        <v>40</v>
      </c>
      <c r="F91">
        <v>14.995064735</v>
      </c>
      <c r="G91">
        <v>1407.6827393000001</v>
      </c>
      <c r="H91">
        <v>1391.9450684000001</v>
      </c>
      <c r="I91">
        <v>1250.3430175999999</v>
      </c>
      <c r="J91">
        <v>1210.9038086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4.6935159999999998</v>
      </c>
      <c r="B92" s="1">
        <f>DATE(2010,5,5) + TIME(16,38,39)</f>
        <v>40303.693506944444</v>
      </c>
      <c r="C92">
        <v>70</v>
      </c>
      <c r="D92">
        <v>69.709899902000004</v>
      </c>
      <c r="E92">
        <v>40</v>
      </c>
      <c r="F92">
        <v>14.995096207</v>
      </c>
      <c r="G92">
        <v>1407.4984131000001</v>
      </c>
      <c r="H92">
        <v>1391.7659911999999</v>
      </c>
      <c r="I92">
        <v>1250.3447266000001</v>
      </c>
      <c r="J92">
        <v>1210.9055175999999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4.8413649999999997</v>
      </c>
      <c r="B93" s="1">
        <f>DATE(2010,5,5) + TIME(20,11,33)</f>
        <v>40303.841354166667</v>
      </c>
      <c r="C93">
        <v>70</v>
      </c>
      <c r="D93">
        <v>69.740081786999994</v>
      </c>
      <c r="E93">
        <v>40</v>
      </c>
      <c r="F93">
        <v>14.995127677999999</v>
      </c>
      <c r="G93">
        <v>1407.3188477000001</v>
      </c>
      <c r="H93">
        <v>1391.5908202999999</v>
      </c>
      <c r="I93">
        <v>1250.3464355000001</v>
      </c>
      <c r="J93">
        <v>1210.9073486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4.9906240000000004</v>
      </c>
      <c r="B94" s="1">
        <f>DATE(2010,5,5) + TIME(23,46,29)</f>
        <v>40303.990613425929</v>
      </c>
      <c r="C94">
        <v>70</v>
      </c>
      <c r="D94">
        <v>69.765693665000001</v>
      </c>
      <c r="E94">
        <v>40</v>
      </c>
      <c r="F94">
        <v>14.995157241999999</v>
      </c>
      <c r="G94">
        <v>1407.1434326000001</v>
      </c>
      <c r="H94">
        <v>1391.4193115</v>
      </c>
      <c r="I94">
        <v>1250.3482666</v>
      </c>
      <c r="J94">
        <v>1210.9090576000001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5.1415879999999996</v>
      </c>
      <c r="B95" s="1">
        <f>DATE(2010,5,6) + TIME(3,23,53)</f>
        <v>40304.141585648147</v>
      </c>
      <c r="C95">
        <v>70</v>
      </c>
      <c r="D95">
        <v>69.787445067999997</v>
      </c>
      <c r="E95">
        <v>40</v>
      </c>
      <c r="F95">
        <v>14.995187759</v>
      </c>
      <c r="G95">
        <v>1406.9716797000001</v>
      </c>
      <c r="H95">
        <v>1391.2508545000001</v>
      </c>
      <c r="I95">
        <v>1250.3499756000001</v>
      </c>
      <c r="J95">
        <v>1210.9107666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5.2945520000000004</v>
      </c>
      <c r="B96" s="1">
        <f>DATE(2010,5,6) + TIME(7,4,9)</f>
        <v>40304.294548611113</v>
      </c>
      <c r="C96">
        <v>70</v>
      </c>
      <c r="D96">
        <v>69.805946349999999</v>
      </c>
      <c r="E96">
        <v>40</v>
      </c>
      <c r="F96">
        <v>14.99521637</v>
      </c>
      <c r="G96">
        <v>1406.8028564000001</v>
      </c>
      <c r="H96">
        <v>1391.0849608999999</v>
      </c>
      <c r="I96">
        <v>1250.3518065999999</v>
      </c>
      <c r="J96">
        <v>1210.9124756000001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5.4498090000000001</v>
      </c>
      <c r="B97" s="1">
        <f>DATE(2010,5,6) + TIME(10,47,43)</f>
        <v>40304.449803240743</v>
      </c>
      <c r="C97">
        <v>70</v>
      </c>
      <c r="D97">
        <v>69.821678161999998</v>
      </c>
      <c r="E97">
        <v>40</v>
      </c>
      <c r="F97">
        <v>14.995245934</v>
      </c>
      <c r="G97">
        <v>1406.6367187999999</v>
      </c>
      <c r="H97">
        <v>1390.9213867000001</v>
      </c>
      <c r="I97">
        <v>1250.3535156</v>
      </c>
      <c r="J97">
        <v>1210.9143065999999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5.6076550000000003</v>
      </c>
      <c r="B98" s="1">
        <f>DATE(2010,5,6) + TIME(14,35,1)</f>
        <v>40304.60765046296</v>
      </c>
      <c r="C98">
        <v>70</v>
      </c>
      <c r="D98">
        <v>69.835060119999994</v>
      </c>
      <c r="E98">
        <v>40</v>
      </c>
      <c r="F98">
        <v>14.995274544000001</v>
      </c>
      <c r="G98">
        <v>1406.4727783000001</v>
      </c>
      <c r="H98">
        <v>1390.7597656</v>
      </c>
      <c r="I98">
        <v>1250.3553466999999</v>
      </c>
      <c r="J98">
        <v>1210.9161377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5.7684430000000004</v>
      </c>
      <c r="B99" s="1">
        <f>DATE(2010,5,6) + TIME(18,26,33)</f>
        <v>40304.768437500003</v>
      </c>
      <c r="C99">
        <v>70</v>
      </c>
      <c r="D99">
        <v>69.846458435000002</v>
      </c>
      <c r="E99">
        <v>40</v>
      </c>
      <c r="F99">
        <v>14.995303154</v>
      </c>
      <c r="G99">
        <v>1406.3106689000001</v>
      </c>
      <c r="H99">
        <v>1390.5996094</v>
      </c>
      <c r="I99">
        <v>1250.3571777</v>
      </c>
      <c r="J99">
        <v>1210.9178466999999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5.9325200000000002</v>
      </c>
      <c r="B100" s="1">
        <f>DATE(2010,5,6) + TIME(22,22,49)</f>
        <v>40304.932511574072</v>
      </c>
      <c r="C100">
        <v>70</v>
      </c>
      <c r="D100">
        <v>69.856163025000001</v>
      </c>
      <c r="E100">
        <v>40</v>
      </c>
      <c r="F100">
        <v>14.995331763999999</v>
      </c>
      <c r="G100">
        <v>1406.1499022999999</v>
      </c>
      <c r="H100">
        <v>1390.4407959</v>
      </c>
      <c r="I100">
        <v>1250.3591309000001</v>
      </c>
      <c r="J100">
        <v>1210.9197998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6.1001450000000004</v>
      </c>
      <c r="B101" s="1">
        <f>DATE(2010,5,7) + TIME(2,24,12)</f>
        <v>40305.100138888891</v>
      </c>
      <c r="C101">
        <v>70</v>
      </c>
      <c r="D101">
        <v>69.864418029999996</v>
      </c>
      <c r="E101">
        <v>40</v>
      </c>
      <c r="F101">
        <v>14.995360374000001</v>
      </c>
      <c r="G101">
        <v>1405.9903564000001</v>
      </c>
      <c r="H101">
        <v>1390.2829589999999</v>
      </c>
      <c r="I101">
        <v>1250.3609618999999</v>
      </c>
      <c r="J101">
        <v>1210.9216309000001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6.2714819999999998</v>
      </c>
      <c r="B102" s="1">
        <f>DATE(2010,5,7) + TIME(6,30,56)</f>
        <v>40305.271481481483</v>
      </c>
      <c r="C102">
        <v>70</v>
      </c>
      <c r="D102">
        <v>69.871444702000005</v>
      </c>
      <c r="E102">
        <v>40</v>
      </c>
      <c r="F102">
        <v>14.995388030999999</v>
      </c>
      <c r="G102">
        <v>1405.831543</v>
      </c>
      <c r="H102">
        <v>1390.1258545000001</v>
      </c>
      <c r="I102">
        <v>1250.3629149999999</v>
      </c>
      <c r="J102">
        <v>1210.9235839999999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6.4469370000000001</v>
      </c>
      <c r="B103" s="1">
        <f>DATE(2010,5,7) + TIME(10,43,35)</f>
        <v>40305.446932870371</v>
      </c>
      <c r="C103">
        <v>70</v>
      </c>
      <c r="D103">
        <v>69.877426146999994</v>
      </c>
      <c r="E103">
        <v>40</v>
      </c>
      <c r="F103">
        <v>14.995416641</v>
      </c>
      <c r="G103">
        <v>1405.6734618999999</v>
      </c>
      <c r="H103">
        <v>1389.9693603999999</v>
      </c>
      <c r="I103">
        <v>1250.3648682</v>
      </c>
      <c r="J103">
        <v>1210.9255370999999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6.6269460000000002</v>
      </c>
      <c r="B104" s="1">
        <f>DATE(2010,5,7) + TIME(15,2,48)</f>
        <v>40305.626944444448</v>
      </c>
      <c r="C104">
        <v>70</v>
      </c>
      <c r="D104">
        <v>69.882514954000001</v>
      </c>
      <c r="E104">
        <v>40</v>
      </c>
      <c r="F104">
        <v>14.995445251</v>
      </c>
      <c r="G104">
        <v>1405.5158690999999</v>
      </c>
      <c r="H104">
        <v>1389.8132324000001</v>
      </c>
      <c r="I104">
        <v>1250.3669434000001</v>
      </c>
      <c r="J104">
        <v>1210.9274902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6.8119870000000002</v>
      </c>
      <c r="B105" s="1">
        <f>DATE(2010,5,7) + TIME(19,29,15)</f>
        <v>40305.811979166669</v>
      </c>
      <c r="C105">
        <v>70</v>
      </c>
      <c r="D105">
        <v>69.886848450000002</v>
      </c>
      <c r="E105">
        <v>40</v>
      </c>
      <c r="F105">
        <v>14.995472908</v>
      </c>
      <c r="G105">
        <v>1405.3582764</v>
      </c>
      <c r="H105">
        <v>1389.6572266000001</v>
      </c>
      <c r="I105">
        <v>1250.3690185999999</v>
      </c>
      <c r="J105">
        <v>1210.9295654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7.0025890000000004</v>
      </c>
      <c r="B106" s="1">
        <f>DATE(2010,5,8) + TIME(0,3,43)</f>
        <v>40306.002581018518</v>
      </c>
      <c r="C106">
        <v>70</v>
      </c>
      <c r="D106">
        <v>69.890548706000004</v>
      </c>
      <c r="E106">
        <v>40</v>
      </c>
      <c r="F106">
        <v>14.995501517999999</v>
      </c>
      <c r="G106">
        <v>1405.2004394999999</v>
      </c>
      <c r="H106">
        <v>1389.5008545000001</v>
      </c>
      <c r="I106">
        <v>1250.3710937999999</v>
      </c>
      <c r="J106">
        <v>1210.9316406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7.1993460000000002</v>
      </c>
      <c r="B107" s="1">
        <f>DATE(2010,5,8) + TIME(4,47,3)</f>
        <v>40306.199340277781</v>
      </c>
      <c r="C107">
        <v>70</v>
      </c>
      <c r="D107">
        <v>69.893707274999997</v>
      </c>
      <c r="E107">
        <v>40</v>
      </c>
      <c r="F107">
        <v>14.995530128</v>
      </c>
      <c r="G107">
        <v>1405.0421143000001</v>
      </c>
      <c r="H107">
        <v>1389.3439940999999</v>
      </c>
      <c r="I107">
        <v>1250.3732910000001</v>
      </c>
      <c r="J107">
        <v>1210.9337158000001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7.4029150000000001</v>
      </c>
      <c r="B108" s="1">
        <f>DATE(2010,5,8) + TIME(9,40,11)</f>
        <v>40306.402905092589</v>
      </c>
      <c r="C108">
        <v>70</v>
      </c>
      <c r="D108">
        <v>69.896408081000004</v>
      </c>
      <c r="E108">
        <v>40</v>
      </c>
      <c r="F108">
        <v>14.995558739</v>
      </c>
      <c r="G108">
        <v>1404.8828125</v>
      </c>
      <c r="H108">
        <v>1389.1864014</v>
      </c>
      <c r="I108">
        <v>1250.3756103999999</v>
      </c>
      <c r="J108">
        <v>1210.9360352000001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7.6136780000000002</v>
      </c>
      <c r="B109" s="1">
        <f>DATE(2010,5,8) + TIME(14,43,41)</f>
        <v>40306.613668981481</v>
      </c>
      <c r="C109">
        <v>70</v>
      </c>
      <c r="D109">
        <v>69.898719787999994</v>
      </c>
      <c r="E109">
        <v>40</v>
      </c>
      <c r="F109">
        <v>14.995588303</v>
      </c>
      <c r="G109">
        <v>1404.7222899999999</v>
      </c>
      <c r="H109">
        <v>1389.0274658000001</v>
      </c>
      <c r="I109">
        <v>1250.3779297000001</v>
      </c>
      <c r="J109">
        <v>1210.9382324000001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7.831995</v>
      </c>
      <c r="B110" s="1">
        <f>DATE(2010,5,8) + TIME(19,58,4)</f>
        <v>40306.831990740742</v>
      </c>
      <c r="C110">
        <v>70</v>
      </c>
      <c r="D110">
        <v>69.900695800999998</v>
      </c>
      <c r="E110">
        <v>40</v>
      </c>
      <c r="F110">
        <v>14.995616912999999</v>
      </c>
      <c r="G110">
        <v>1404.5605469</v>
      </c>
      <c r="H110">
        <v>1388.8673096</v>
      </c>
      <c r="I110">
        <v>1250.380249</v>
      </c>
      <c r="J110">
        <v>1210.9406738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8.0581960000000006</v>
      </c>
      <c r="B111" s="1">
        <f>DATE(2010,5,9) + TIME(1,23,48)</f>
        <v>40307.058194444442</v>
      </c>
      <c r="C111">
        <v>70</v>
      </c>
      <c r="D111">
        <v>69.902389525999993</v>
      </c>
      <c r="E111">
        <v>40</v>
      </c>
      <c r="F111">
        <v>14.995646476999999</v>
      </c>
      <c r="G111">
        <v>1404.3972168</v>
      </c>
      <c r="H111">
        <v>1388.7059326000001</v>
      </c>
      <c r="I111">
        <v>1250.3828125</v>
      </c>
      <c r="J111">
        <v>1210.9431152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8.2894059999999996</v>
      </c>
      <c r="B112" s="1">
        <f>DATE(2010,5,9) + TIME(6,56,44)</f>
        <v>40307.289398148147</v>
      </c>
      <c r="C112">
        <v>70</v>
      </c>
      <c r="D112">
        <v>69.903823853000006</v>
      </c>
      <c r="E112">
        <v>40</v>
      </c>
      <c r="F112">
        <v>14.995676040999999</v>
      </c>
      <c r="G112">
        <v>1404.2325439000001</v>
      </c>
      <c r="H112">
        <v>1388.5430908000001</v>
      </c>
      <c r="I112">
        <v>1250.385376</v>
      </c>
      <c r="J112">
        <v>1210.9455565999999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8.5207080000000008</v>
      </c>
      <c r="B113" s="1">
        <f>DATE(2010,5,9) + TIME(12,29,49)</f>
        <v>40307.52070601852</v>
      </c>
      <c r="C113">
        <v>70</v>
      </c>
      <c r="D113">
        <v>69.905021667</v>
      </c>
      <c r="E113">
        <v>40</v>
      </c>
      <c r="F113">
        <v>14.995705604999999</v>
      </c>
      <c r="G113">
        <v>1404.0687256000001</v>
      </c>
      <c r="H113">
        <v>1388.3811035000001</v>
      </c>
      <c r="I113">
        <v>1250.3879394999999</v>
      </c>
      <c r="J113">
        <v>1210.9481201000001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8.7526320000000002</v>
      </c>
      <c r="B114" s="1">
        <f>DATE(2010,5,9) + TIME(18,3,47)</f>
        <v>40307.752627314818</v>
      </c>
      <c r="C114">
        <v>70</v>
      </c>
      <c r="D114">
        <v>69.906036377000007</v>
      </c>
      <c r="E114">
        <v>40</v>
      </c>
      <c r="F114">
        <v>14.995733261</v>
      </c>
      <c r="G114">
        <v>1403.9089355000001</v>
      </c>
      <c r="H114">
        <v>1388.2233887</v>
      </c>
      <c r="I114">
        <v>1250.3905029</v>
      </c>
      <c r="J114">
        <v>1210.9506836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8.9856940000000005</v>
      </c>
      <c r="B115" s="1">
        <f>DATE(2010,5,9) + TIME(23,39,23)</f>
        <v>40307.985682870371</v>
      </c>
      <c r="C115">
        <v>70</v>
      </c>
      <c r="D115">
        <v>69.906898498999993</v>
      </c>
      <c r="E115">
        <v>40</v>
      </c>
      <c r="F115">
        <v>14.995761870999999</v>
      </c>
      <c r="G115">
        <v>1403.7529297000001</v>
      </c>
      <c r="H115">
        <v>1388.0693358999999</v>
      </c>
      <c r="I115">
        <v>1250.3930664</v>
      </c>
      <c r="J115">
        <v>1210.9532471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9.2203929999999996</v>
      </c>
      <c r="B116" s="1">
        <f>DATE(2010,5,10) + TIME(5,17,21)</f>
        <v>40308.220381944448</v>
      </c>
      <c r="C116">
        <v>70</v>
      </c>
      <c r="D116">
        <v>69.907638550000001</v>
      </c>
      <c r="E116">
        <v>40</v>
      </c>
      <c r="F116">
        <v>14.995789528</v>
      </c>
      <c r="G116">
        <v>1403.6000977000001</v>
      </c>
      <c r="H116">
        <v>1387.9185791</v>
      </c>
      <c r="I116">
        <v>1250.3956298999999</v>
      </c>
      <c r="J116">
        <v>1210.9558105000001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9.4572199999999995</v>
      </c>
      <c r="B117" s="1">
        <f>DATE(2010,5,10) + TIME(10,58,23)</f>
        <v>40308.45721064815</v>
      </c>
      <c r="C117">
        <v>70</v>
      </c>
      <c r="D117">
        <v>69.908271790000001</v>
      </c>
      <c r="E117">
        <v>40</v>
      </c>
      <c r="F117">
        <v>14.995816230999999</v>
      </c>
      <c r="G117">
        <v>1403.4499512</v>
      </c>
      <c r="H117">
        <v>1387.7706298999999</v>
      </c>
      <c r="I117">
        <v>1250.3983154</v>
      </c>
      <c r="J117">
        <v>1210.958374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9.6966680000000007</v>
      </c>
      <c r="B118" s="1">
        <f>DATE(2010,5,10) + TIME(16,43,12)</f>
        <v>40308.696666666663</v>
      </c>
      <c r="C118">
        <v>70</v>
      </c>
      <c r="D118">
        <v>69.908828735</v>
      </c>
      <c r="E118">
        <v>40</v>
      </c>
      <c r="F118">
        <v>14.995843886999999</v>
      </c>
      <c r="G118">
        <v>1403.3020019999999</v>
      </c>
      <c r="H118">
        <v>1387.6248779</v>
      </c>
      <c r="I118">
        <v>1250.4008789</v>
      </c>
      <c r="J118">
        <v>1210.9609375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9.9391809999999996</v>
      </c>
      <c r="B119" s="1">
        <f>DATE(2010,5,10) + TIME(22,32,25)</f>
        <v>40308.93917824074</v>
      </c>
      <c r="C119">
        <v>70</v>
      </c>
      <c r="D119">
        <v>69.909317017000006</v>
      </c>
      <c r="E119">
        <v>40</v>
      </c>
      <c r="F119">
        <v>14.995870589999999</v>
      </c>
      <c r="G119">
        <v>1403.1561279</v>
      </c>
      <c r="H119">
        <v>1387.4812012</v>
      </c>
      <c r="I119">
        <v>1250.4035644999999</v>
      </c>
      <c r="J119">
        <v>1210.963501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10.184642</v>
      </c>
      <c r="B120" s="1">
        <f>DATE(2010,5,11) + TIME(4,25,53)</f>
        <v>40309.184641203705</v>
      </c>
      <c r="C120">
        <v>70</v>
      </c>
      <c r="D120">
        <v>69.909751892000003</v>
      </c>
      <c r="E120">
        <v>40</v>
      </c>
      <c r="F120">
        <v>14.995896339</v>
      </c>
      <c r="G120">
        <v>1403.0117187999999</v>
      </c>
      <c r="H120">
        <v>1387.3391113</v>
      </c>
      <c r="I120">
        <v>1250.40625</v>
      </c>
      <c r="J120">
        <v>1210.9661865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10.433592000000001</v>
      </c>
      <c r="B121" s="1">
        <f>DATE(2010,5,11) + TIME(10,24,22)</f>
        <v>40309.433587962965</v>
      </c>
      <c r="C121">
        <v>70</v>
      </c>
      <c r="D121">
        <v>69.910133361999996</v>
      </c>
      <c r="E121">
        <v>40</v>
      </c>
      <c r="F121">
        <v>14.995923041999999</v>
      </c>
      <c r="G121">
        <v>1402.8690185999999</v>
      </c>
      <c r="H121">
        <v>1387.1988524999999</v>
      </c>
      <c r="I121">
        <v>1250.4090576000001</v>
      </c>
      <c r="J121">
        <v>1210.9688721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10.686541999999999</v>
      </c>
      <c r="B122" s="1">
        <f>DATE(2010,5,11) + TIME(16,28,37)</f>
        <v>40309.686539351853</v>
      </c>
      <c r="C122">
        <v>70</v>
      </c>
      <c r="D122">
        <v>69.910469054999993</v>
      </c>
      <c r="E122">
        <v>40</v>
      </c>
      <c r="F122">
        <v>14.995948792</v>
      </c>
      <c r="G122">
        <v>1402.7276611</v>
      </c>
      <c r="H122">
        <v>1387.0598144999999</v>
      </c>
      <c r="I122">
        <v>1250.4118652</v>
      </c>
      <c r="J122">
        <v>1210.9715576000001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10.944035</v>
      </c>
      <c r="B123" s="1">
        <f>DATE(2010,5,11) + TIME(22,39,24)</f>
        <v>40309.944027777776</v>
      </c>
      <c r="C123">
        <v>70</v>
      </c>
      <c r="D123">
        <v>69.910774231000005</v>
      </c>
      <c r="E123">
        <v>40</v>
      </c>
      <c r="F123">
        <v>14.995974541000001</v>
      </c>
      <c r="G123">
        <v>1402.5871582</v>
      </c>
      <c r="H123">
        <v>1386.921875</v>
      </c>
      <c r="I123">
        <v>1250.4146728999999</v>
      </c>
      <c r="J123">
        <v>1210.9743652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11.206645</v>
      </c>
      <c r="B124" s="1">
        <f>DATE(2010,5,12) + TIME(4,57,34)</f>
        <v>40310.206643518519</v>
      </c>
      <c r="C124">
        <v>70</v>
      </c>
      <c r="D124">
        <v>69.911048889</v>
      </c>
      <c r="E124">
        <v>40</v>
      </c>
      <c r="F124">
        <v>14.99600029</v>
      </c>
      <c r="G124">
        <v>1402.4475098</v>
      </c>
      <c r="H124">
        <v>1386.7847899999999</v>
      </c>
      <c r="I124">
        <v>1250.4174805</v>
      </c>
      <c r="J124">
        <v>1210.9771728999999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11.474989000000001</v>
      </c>
      <c r="B125" s="1">
        <f>DATE(2010,5,12) + TIME(11,23,59)</f>
        <v>40310.474988425929</v>
      </c>
      <c r="C125">
        <v>70</v>
      </c>
      <c r="D125">
        <v>69.911293029999996</v>
      </c>
      <c r="E125">
        <v>40</v>
      </c>
      <c r="F125">
        <v>14.996026039</v>
      </c>
      <c r="G125">
        <v>1402.3082274999999</v>
      </c>
      <c r="H125">
        <v>1386.6481934000001</v>
      </c>
      <c r="I125">
        <v>1250.4204102000001</v>
      </c>
      <c r="J125">
        <v>1210.9799805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11.749734</v>
      </c>
      <c r="B126" s="1">
        <f>DATE(2010,5,12) + TIME(17,59,36)</f>
        <v>40310.749722222223</v>
      </c>
      <c r="C126">
        <v>70</v>
      </c>
      <c r="D126">
        <v>69.911514281999999</v>
      </c>
      <c r="E126">
        <v>40</v>
      </c>
      <c r="F126">
        <v>14.996051788000001</v>
      </c>
      <c r="G126">
        <v>1402.1690673999999</v>
      </c>
      <c r="H126">
        <v>1386.5118408000001</v>
      </c>
      <c r="I126">
        <v>1250.4233397999999</v>
      </c>
      <c r="J126">
        <v>1210.9829102000001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12.03162</v>
      </c>
      <c r="B127" s="1">
        <f>DATE(2010,5,13) + TIME(0,45,31)</f>
        <v>40311.031608796293</v>
      </c>
      <c r="C127">
        <v>70</v>
      </c>
      <c r="D127">
        <v>69.911720275999997</v>
      </c>
      <c r="E127">
        <v>40</v>
      </c>
      <c r="F127">
        <v>14.996077538</v>
      </c>
      <c r="G127">
        <v>1402.0299072</v>
      </c>
      <c r="H127">
        <v>1386.3753661999999</v>
      </c>
      <c r="I127">
        <v>1250.4263916</v>
      </c>
      <c r="J127">
        <v>1210.9859618999999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12.321458</v>
      </c>
      <c r="B128" s="1">
        <f>DATE(2010,5,13) + TIME(7,42,53)</f>
        <v>40311.321446759262</v>
      </c>
      <c r="C128">
        <v>70</v>
      </c>
      <c r="D128">
        <v>69.911903381000002</v>
      </c>
      <c r="E128">
        <v>40</v>
      </c>
      <c r="F128">
        <v>14.996103287</v>
      </c>
      <c r="G128">
        <v>1401.8902588000001</v>
      </c>
      <c r="H128">
        <v>1386.2386475000001</v>
      </c>
      <c r="I128">
        <v>1250.4295654</v>
      </c>
      <c r="J128">
        <v>1210.9890137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12.619516000000001</v>
      </c>
      <c r="B129" s="1">
        <f>DATE(2010,5,13) + TIME(14,52,6)</f>
        <v>40311.619513888887</v>
      </c>
      <c r="C129">
        <v>70</v>
      </c>
      <c r="D129">
        <v>69.912078856999997</v>
      </c>
      <c r="E129">
        <v>40</v>
      </c>
      <c r="F129">
        <v>14.996129035999999</v>
      </c>
      <c r="G129">
        <v>1401.7498779</v>
      </c>
      <c r="H129">
        <v>1386.1013184000001</v>
      </c>
      <c r="I129">
        <v>1250.4328613</v>
      </c>
      <c r="J129">
        <v>1210.9921875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12.926045999999999</v>
      </c>
      <c r="B130" s="1">
        <f>DATE(2010,5,13) + TIME(22,13,30)</f>
        <v>40311.926041666666</v>
      </c>
      <c r="C130">
        <v>70</v>
      </c>
      <c r="D130">
        <v>69.912231445000003</v>
      </c>
      <c r="E130">
        <v>40</v>
      </c>
      <c r="F130">
        <v>14.996155739000001</v>
      </c>
      <c r="G130">
        <v>1401.6088867000001</v>
      </c>
      <c r="H130">
        <v>1385.9633789</v>
      </c>
      <c r="I130">
        <v>1250.4361572</v>
      </c>
      <c r="J130">
        <v>1210.9954834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13.241364000000001</v>
      </c>
      <c r="B131" s="1">
        <f>DATE(2010,5,14) + TIME(5,47,33)</f>
        <v>40312.241354166668</v>
      </c>
      <c r="C131">
        <v>70</v>
      </c>
      <c r="D131">
        <v>69.912376404</v>
      </c>
      <c r="E131">
        <v>40</v>
      </c>
      <c r="F131">
        <v>14.996181488</v>
      </c>
      <c r="G131">
        <v>1401.4670410000001</v>
      </c>
      <c r="H131">
        <v>1385.8248291</v>
      </c>
      <c r="I131">
        <v>1250.4395752</v>
      </c>
      <c r="J131">
        <v>1210.9987793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13.562529</v>
      </c>
      <c r="B132" s="1">
        <f>DATE(2010,5,14) + TIME(13,30,2)</f>
        <v>40312.562523148146</v>
      </c>
      <c r="C132">
        <v>70</v>
      </c>
      <c r="D132">
        <v>69.912506104000002</v>
      </c>
      <c r="E132">
        <v>40</v>
      </c>
      <c r="F132">
        <v>14.996208190999999</v>
      </c>
      <c r="G132">
        <v>1401.3245850000001</v>
      </c>
      <c r="H132">
        <v>1385.6856689000001</v>
      </c>
      <c r="I132">
        <v>1250.4429932</v>
      </c>
      <c r="J132">
        <v>1211.0021973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13.884363</v>
      </c>
      <c r="B133" s="1">
        <f>DATE(2010,5,14) + TIME(21,13,28)</f>
        <v>40312.884351851855</v>
      </c>
      <c r="C133">
        <v>70</v>
      </c>
      <c r="D133">
        <v>69.912628174000005</v>
      </c>
      <c r="E133">
        <v>40</v>
      </c>
      <c r="F133">
        <v>14.99623394</v>
      </c>
      <c r="G133">
        <v>1401.1826172000001</v>
      </c>
      <c r="H133">
        <v>1385.5471190999999</v>
      </c>
      <c r="I133">
        <v>1250.4465332</v>
      </c>
      <c r="J133">
        <v>1211.0057373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14.207599</v>
      </c>
      <c r="B134" s="1">
        <f>DATE(2010,5,15) + TIME(4,58,56)</f>
        <v>40313.207592592589</v>
      </c>
      <c r="C134">
        <v>70</v>
      </c>
      <c r="D134">
        <v>69.912734985</v>
      </c>
      <c r="E134">
        <v>40</v>
      </c>
      <c r="F134">
        <v>14.996259689</v>
      </c>
      <c r="G134">
        <v>1401.0435791</v>
      </c>
      <c r="H134">
        <v>1385.4116211</v>
      </c>
      <c r="I134">
        <v>1250.4501952999999</v>
      </c>
      <c r="J134">
        <v>1211.0091553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14.532952999999999</v>
      </c>
      <c r="B135" s="1">
        <f>DATE(2010,5,15) + TIME(12,47,27)</f>
        <v>40313.532951388886</v>
      </c>
      <c r="C135">
        <v>70</v>
      </c>
      <c r="D135">
        <v>69.912834167</v>
      </c>
      <c r="E135">
        <v>40</v>
      </c>
      <c r="F135">
        <v>14.996284485</v>
      </c>
      <c r="G135">
        <v>1400.9071045000001</v>
      </c>
      <c r="H135">
        <v>1385.2785644999999</v>
      </c>
      <c r="I135">
        <v>1250.4537353999999</v>
      </c>
      <c r="J135">
        <v>1211.0126952999999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14.860474999999999</v>
      </c>
      <c r="B136" s="1">
        <f>DATE(2010,5,15) + TIME(20,39,5)</f>
        <v>40313.860474537039</v>
      </c>
      <c r="C136">
        <v>70</v>
      </c>
      <c r="D136">
        <v>69.912925720000004</v>
      </c>
      <c r="E136">
        <v>40</v>
      </c>
      <c r="F136">
        <v>14.99630928</v>
      </c>
      <c r="G136">
        <v>1400.7727050999999</v>
      </c>
      <c r="H136">
        <v>1385.1475829999999</v>
      </c>
      <c r="I136">
        <v>1250.4573975000001</v>
      </c>
      <c r="J136">
        <v>1211.0162353999999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15.190402000000001</v>
      </c>
      <c r="B137" s="1">
        <f>DATE(2010,5,16) + TIME(4,34,10)</f>
        <v>40314.190393518518</v>
      </c>
      <c r="C137">
        <v>70</v>
      </c>
      <c r="D137">
        <v>69.913002014</v>
      </c>
      <c r="E137">
        <v>40</v>
      </c>
      <c r="F137">
        <v>14.996334076</v>
      </c>
      <c r="G137">
        <v>1400.6403809000001</v>
      </c>
      <c r="H137">
        <v>1385.0186768000001</v>
      </c>
      <c r="I137">
        <v>1250.4609375</v>
      </c>
      <c r="J137">
        <v>1211.0197754000001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15.523341</v>
      </c>
      <c r="B138" s="1">
        <f>DATE(2010,5,16) + TIME(12,33,36)</f>
        <v>40314.523333333331</v>
      </c>
      <c r="C138">
        <v>70</v>
      </c>
      <c r="D138">
        <v>69.913085937999995</v>
      </c>
      <c r="E138">
        <v>40</v>
      </c>
      <c r="F138">
        <v>14.996357917999999</v>
      </c>
      <c r="G138">
        <v>1400.5097656</v>
      </c>
      <c r="H138">
        <v>1384.8917236</v>
      </c>
      <c r="I138">
        <v>1250.4645995999999</v>
      </c>
      <c r="J138">
        <v>1211.0233154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15.860001</v>
      </c>
      <c r="B139" s="1">
        <f>DATE(2010,5,16) + TIME(20,38,24)</f>
        <v>40314.86</v>
      </c>
      <c r="C139">
        <v>70</v>
      </c>
      <c r="D139">
        <v>69.913154602000006</v>
      </c>
      <c r="E139">
        <v>40</v>
      </c>
      <c r="F139">
        <v>14.996382712999999</v>
      </c>
      <c r="G139">
        <v>1400.3807373</v>
      </c>
      <c r="H139">
        <v>1384.7662353999999</v>
      </c>
      <c r="I139">
        <v>1250.4683838000001</v>
      </c>
      <c r="J139">
        <v>1211.0269774999999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16.201086</v>
      </c>
      <c r="B140" s="1">
        <f>DATE(2010,5,17) + TIME(4,49,33)</f>
        <v>40315.20107638889</v>
      </c>
      <c r="C140">
        <v>70</v>
      </c>
      <c r="D140">
        <v>69.913223267000006</v>
      </c>
      <c r="E140">
        <v>40</v>
      </c>
      <c r="F140">
        <v>14.996406555</v>
      </c>
      <c r="G140">
        <v>1400.2530518000001</v>
      </c>
      <c r="H140">
        <v>1384.6420897999999</v>
      </c>
      <c r="I140">
        <v>1250.4720459</v>
      </c>
      <c r="J140">
        <v>1211.0306396000001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16.547315999999999</v>
      </c>
      <c r="B141" s="1">
        <f>DATE(2010,5,17) + TIME(13,8,8)</f>
        <v>40315.547314814816</v>
      </c>
      <c r="C141">
        <v>70</v>
      </c>
      <c r="D141">
        <v>69.913284301999994</v>
      </c>
      <c r="E141">
        <v>40</v>
      </c>
      <c r="F141">
        <v>14.996430396999999</v>
      </c>
      <c r="G141">
        <v>1400.1262207</v>
      </c>
      <c r="H141">
        <v>1384.5189209</v>
      </c>
      <c r="I141">
        <v>1250.4759521000001</v>
      </c>
      <c r="J141">
        <v>1211.0343018000001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16.899443000000002</v>
      </c>
      <c r="B142" s="1">
        <f>DATE(2010,5,17) + TIME(21,35,11)</f>
        <v>40315.89943287037</v>
      </c>
      <c r="C142">
        <v>70</v>
      </c>
      <c r="D142">
        <v>69.913345336999996</v>
      </c>
      <c r="E142">
        <v>40</v>
      </c>
      <c r="F142">
        <v>14.996453284999999</v>
      </c>
      <c r="G142">
        <v>1400.0001221</v>
      </c>
      <c r="H142">
        <v>1384.3966064000001</v>
      </c>
      <c r="I142">
        <v>1250.4797363</v>
      </c>
      <c r="J142">
        <v>1211.0380858999999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17.258267</v>
      </c>
      <c r="B143" s="1">
        <f>DATE(2010,5,18) + TIME(6,11,54)</f>
        <v>40316.258263888885</v>
      </c>
      <c r="C143">
        <v>70</v>
      </c>
      <c r="D143">
        <v>69.913406371999997</v>
      </c>
      <c r="E143">
        <v>40</v>
      </c>
      <c r="F143">
        <v>14.996477127</v>
      </c>
      <c r="G143">
        <v>1399.8745117000001</v>
      </c>
      <c r="H143">
        <v>1384.2746582</v>
      </c>
      <c r="I143">
        <v>1250.4837646000001</v>
      </c>
      <c r="J143">
        <v>1211.0419922000001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17.624647</v>
      </c>
      <c r="B144" s="1">
        <f>DATE(2010,5,18) + TIME(14,59,29)</f>
        <v>40316.624641203707</v>
      </c>
      <c r="C144">
        <v>70</v>
      </c>
      <c r="D144">
        <v>69.913467406999999</v>
      </c>
      <c r="E144">
        <v>40</v>
      </c>
      <c r="F144">
        <v>14.996500969</v>
      </c>
      <c r="G144">
        <v>1399.7490233999999</v>
      </c>
      <c r="H144">
        <v>1384.1530762</v>
      </c>
      <c r="I144">
        <v>1250.4876709</v>
      </c>
      <c r="J144">
        <v>1211.0458983999999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17.999528999999999</v>
      </c>
      <c r="B145" s="1">
        <f>DATE(2010,5,18) + TIME(23,59,19)</f>
        <v>40316.999525462961</v>
      </c>
      <c r="C145">
        <v>70</v>
      </c>
      <c r="D145">
        <v>69.913520813000005</v>
      </c>
      <c r="E145">
        <v>40</v>
      </c>
      <c r="F145">
        <v>14.996524811</v>
      </c>
      <c r="G145">
        <v>1399.6235352000001</v>
      </c>
      <c r="H145">
        <v>1384.0313721</v>
      </c>
      <c r="I145">
        <v>1250.4918213000001</v>
      </c>
      <c r="J145">
        <v>1211.0499268000001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18.383942999999999</v>
      </c>
      <c r="B146" s="1">
        <f>DATE(2010,5,19) + TIME(9,12,52)</f>
        <v>40317.383935185186</v>
      </c>
      <c r="C146">
        <v>70</v>
      </c>
      <c r="D146">
        <v>69.913574218999997</v>
      </c>
      <c r="E146">
        <v>40</v>
      </c>
      <c r="F146">
        <v>14.996548653</v>
      </c>
      <c r="G146">
        <v>1399.4976807</v>
      </c>
      <c r="H146">
        <v>1383.9095459</v>
      </c>
      <c r="I146">
        <v>1250.4960937999999</v>
      </c>
      <c r="J146">
        <v>1211.0540771000001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18.777851999999999</v>
      </c>
      <c r="B147" s="1">
        <f>DATE(2010,5,19) + TIME(18,40,6)</f>
        <v>40317.77784722222</v>
      </c>
      <c r="C147">
        <v>70</v>
      </c>
      <c r="D147">
        <v>69.913627625000004</v>
      </c>
      <c r="E147">
        <v>40</v>
      </c>
      <c r="F147">
        <v>14.996572495000001</v>
      </c>
      <c r="G147">
        <v>1399.3712158000001</v>
      </c>
      <c r="H147">
        <v>1383.7871094</v>
      </c>
      <c r="I147">
        <v>1250.5003661999999</v>
      </c>
      <c r="J147">
        <v>1211.0582274999999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19.181421</v>
      </c>
      <c r="B148" s="1">
        <f>DATE(2010,5,20) + TIME(4,21,14)</f>
        <v>40318.18141203704</v>
      </c>
      <c r="C148">
        <v>70</v>
      </c>
      <c r="D148">
        <v>69.913681030000006</v>
      </c>
      <c r="E148">
        <v>40</v>
      </c>
      <c r="F148">
        <v>14.996596336</v>
      </c>
      <c r="G148">
        <v>1399.2442627</v>
      </c>
      <c r="H148">
        <v>1383.6643065999999</v>
      </c>
      <c r="I148">
        <v>1250.5047606999999</v>
      </c>
      <c r="J148">
        <v>1211.0626221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19.594913999999999</v>
      </c>
      <c r="B149" s="1">
        <f>DATE(2010,5,20) + TIME(14,16,40)</f>
        <v>40318.594907407409</v>
      </c>
      <c r="C149">
        <v>70</v>
      </c>
      <c r="D149">
        <v>69.913734435999999</v>
      </c>
      <c r="E149">
        <v>40</v>
      </c>
      <c r="F149">
        <v>14.996620178000001</v>
      </c>
      <c r="G149">
        <v>1399.1168213000001</v>
      </c>
      <c r="H149">
        <v>1383.5411377</v>
      </c>
      <c r="I149">
        <v>1250.5093993999999</v>
      </c>
      <c r="J149">
        <v>1211.0670166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20.013439999999999</v>
      </c>
      <c r="B150" s="1">
        <f>DATE(2010,5,21) + TIME(0,19,21)</f>
        <v>40319.013437499998</v>
      </c>
      <c r="C150">
        <v>70</v>
      </c>
      <c r="D150">
        <v>69.913787842000005</v>
      </c>
      <c r="E150">
        <v>40</v>
      </c>
      <c r="F150">
        <v>14.99664402</v>
      </c>
      <c r="G150">
        <v>1398.9888916</v>
      </c>
      <c r="H150">
        <v>1383.4174805</v>
      </c>
      <c r="I150">
        <v>1250.5140381000001</v>
      </c>
      <c r="J150">
        <v>1211.0715332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20.432388</v>
      </c>
      <c r="B151" s="1">
        <f>DATE(2010,5,21) + TIME(10,22,38)</f>
        <v>40319.432384259257</v>
      </c>
      <c r="C151">
        <v>70</v>
      </c>
      <c r="D151">
        <v>69.913833617999998</v>
      </c>
      <c r="E151">
        <v>40</v>
      </c>
      <c r="F151">
        <v>14.996667862000001</v>
      </c>
      <c r="G151">
        <v>1398.8620605000001</v>
      </c>
      <c r="H151">
        <v>1383.2949219</v>
      </c>
      <c r="I151">
        <v>1250.5186768000001</v>
      </c>
      <c r="J151">
        <v>1211.0761719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20.852066000000001</v>
      </c>
      <c r="B152" s="1">
        <f>DATE(2010,5,21) + TIME(20,26,58)</f>
        <v>40319.852060185185</v>
      </c>
      <c r="C152">
        <v>70</v>
      </c>
      <c r="D152">
        <v>69.913887024000005</v>
      </c>
      <c r="E152">
        <v>40</v>
      </c>
      <c r="F152">
        <v>14.996690750000001</v>
      </c>
      <c r="G152">
        <v>1398.7375488</v>
      </c>
      <c r="H152">
        <v>1383.1748047000001</v>
      </c>
      <c r="I152">
        <v>1250.5234375</v>
      </c>
      <c r="J152">
        <v>1211.0806885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21.273371000000001</v>
      </c>
      <c r="B153" s="1">
        <f>DATE(2010,5,22) + TIME(6,33,39)</f>
        <v>40320.273368055554</v>
      </c>
      <c r="C153">
        <v>70</v>
      </c>
      <c r="D153">
        <v>69.913932799999998</v>
      </c>
      <c r="E153">
        <v>40</v>
      </c>
      <c r="F153">
        <v>14.996714592</v>
      </c>
      <c r="G153">
        <v>1398.6152344</v>
      </c>
      <c r="H153">
        <v>1383.0568848</v>
      </c>
      <c r="I153">
        <v>1250.5281981999999</v>
      </c>
      <c r="J153">
        <v>1211.0853271000001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21.697178000000001</v>
      </c>
      <c r="B154" s="1">
        <f>DATE(2010,5,22) + TIME(16,43,56)</f>
        <v>40320.697175925925</v>
      </c>
      <c r="C154">
        <v>70</v>
      </c>
      <c r="D154">
        <v>69.913986206000004</v>
      </c>
      <c r="E154">
        <v>40</v>
      </c>
      <c r="F154">
        <v>14.996736525999999</v>
      </c>
      <c r="G154">
        <v>1398.4948730000001</v>
      </c>
      <c r="H154">
        <v>1382.940918</v>
      </c>
      <c r="I154">
        <v>1250.5329589999999</v>
      </c>
      <c r="J154">
        <v>1211.0899658000001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22.124272000000001</v>
      </c>
      <c r="B155" s="1">
        <f>DATE(2010,5,23) + TIME(2,58,57)</f>
        <v>40321.12427083333</v>
      </c>
      <c r="C155">
        <v>70</v>
      </c>
      <c r="D155">
        <v>69.914031981999997</v>
      </c>
      <c r="E155">
        <v>40</v>
      </c>
      <c r="F155">
        <v>14.996759415</v>
      </c>
      <c r="G155">
        <v>1398.3762207</v>
      </c>
      <c r="H155">
        <v>1382.8264160000001</v>
      </c>
      <c r="I155">
        <v>1250.5377197</v>
      </c>
      <c r="J155">
        <v>1211.0947266000001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22.555596999999999</v>
      </c>
      <c r="B156" s="1">
        <f>DATE(2010,5,23) + TIME(13,20,3)</f>
        <v>40321.555590277778</v>
      </c>
      <c r="C156">
        <v>70</v>
      </c>
      <c r="D156">
        <v>69.914077758999994</v>
      </c>
      <c r="E156">
        <v>40</v>
      </c>
      <c r="F156">
        <v>14.996782303</v>
      </c>
      <c r="G156">
        <v>1398.2587891000001</v>
      </c>
      <c r="H156">
        <v>1382.7133789</v>
      </c>
      <c r="I156">
        <v>1250.5426024999999</v>
      </c>
      <c r="J156">
        <v>1211.0993652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22.992059000000001</v>
      </c>
      <c r="B157" s="1">
        <f>DATE(2010,5,23) + TIME(23,48,33)</f>
        <v>40321.992048611108</v>
      </c>
      <c r="C157">
        <v>70</v>
      </c>
      <c r="D157">
        <v>69.914131165000001</v>
      </c>
      <c r="E157">
        <v>40</v>
      </c>
      <c r="F157">
        <v>14.996804236999999</v>
      </c>
      <c r="G157">
        <v>1398.1423339999999</v>
      </c>
      <c r="H157">
        <v>1382.6013184000001</v>
      </c>
      <c r="I157">
        <v>1250.5476074000001</v>
      </c>
      <c r="J157">
        <v>1211.1042480000001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23.434581999999999</v>
      </c>
      <c r="B158" s="1">
        <f>DATE(2010,5,24) + TIME(10,25,47)</f>
        <v>40322.434571759259</v>
      </c>
      <c r="C158">
        <v>70</v>
      </c>
      <c r="D158">
        <v>69.914176940999994</v>
      </c>
      <c r="E158">
        <v>40</v>
      </c>
      <c r="F158">
        <v>14.996826172</v>
      </c>
      <c r="G158">
        <v>1398.0268555</v>
      </c>
      <c r="H158">
        <v>1382.4901123</v>
      </c>
      <c r="I158">
        <v>1250.5524902</v>
      </c>
      <c r="J158">
        <v>1211.1090088000001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23.884139000000001</v>
      </c>
      <c r="B159" s="1">
        <f>DATE(2010,5,24) + TIME(21,13,9)</f>
        <v>40322.884131944447</v>
      </c>
      <c r="C159">
        <v>70</v>
      </c>
      <c r="D159">
        <v>69.914230347</v>
      </c>
      <c r="E159">
        <v>40</v>
      </c>
      <c r="F159">
        <v>14.996848106</v>
      </c>
      <c r="G159">
        <v>1397.9117432</v>
      </c>
      <c r="H159">
        <v>1382.3795166</v>
      </c>
      <c r="I159">
        <v>1250.5576172000001</v>
      </c>
      <c r="J159">
        <v>1211.1140137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24.341756</v>
      </c>
      <c r="B160" s="1">
        <f>DATE(2010,5,25) + TIME(8,12,7)</f>
        <v>40323.341747685183</v>
      </c>
      <c r="C160">
        <v>70</v>
      </c>
      <c r="D160">
        <v>69.914276122999993</v>
      </c>
      <c r="E160">
        <v>40</v>
      </c>
      <c r="F160">
        <v>14.996870040999999</v>
      </c>
      <c r="G160">
        <v>1397.7969971</v>
      </c>
      <c r="H160">
        <v>1382.2691649999999</v>
      </c>
      <c r="I160">
        <v>1250.5627440999999</v>
      </c>
      <c r="J160">
        <v>1211.1190185999999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24.808548999999999</v>
      </c>
      <c r="B161" s="1">
        <f>DATE(2010,5,25) + TIME(19,24,18)</f>
        <v>40323.808541666665</v>
      </c>
      <c r="C161">
        <v>70</v>
      </c>
      <c r="D161">
        <v>69.914329529</v>
      </c>
      <c r="E161">
        <v>40</v>
      </c>
      <c r="F161">
        <v>14.996891975</v>
      </c>
      <c r="G161">
        <v>1397.6823730000001</v>
      </c>
      <c r="H161">
        <v>1382.1590576000001</v>
      </c>
      <c r="I161">
        <v>1250.5679932</v>
      </c>
      <c r="J161">
        <v>1211.1241454999999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25.285715</v>
      </c>
      <c r="B162" s="1">
        <f>DATE(2010,5,26) + TIME(6,51,25)</f>
        <v>40324.28570601852</v>
      </c>
      <c r="C162">
        <v>70</v>
      </c>
      <c r="D162">
        <v>69.914382935000006</v>
      </c>
      <c r="E162">
        <v>40</v>
      </c>
      <c r="F162">
        <v>14.99691391</v>
      </c>
      <c r="G162">
        <v>1397.5675048999999</v>
      </c>
      <c r="H162">
        <v>1382.0487060999999</v>
      </c>
      <c r="I162">
        <v>1250.5733643000001</v>
      </c>
      <c r="J162">
        <v>1211.1292725000001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25.773969000000001</v>
      </c>
      <c r="B163" s="1">
        <f>DATE(2010,5,26) + TIME(18,34,30)</f>
        <v>40324.773958333331</v>
      </c>
      <c r="C163">
        <v>70</v>
      </c>
      <c r="D163">
        <v>69.914436339999995</v>
      </c>
      <c r="E163">
        <v>40</v>
      </c>
      <c r="F163">
        <v>14.996935843999999</v>
      </c>
      <c r="G163">
        <v>1397.4522704999999</v>
      </c>
      <c r="H163">
        <v>1381.9381103999999</v>
      </c>
      <c r="I163">
        <v>1250.5788574000001</v>
      </c>
      <c r="J163">
        <v>1211.1346435999999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26.273199999999999</v>
      </c>
      <c r="B164" s="1">
        <f>DATE(2010,5,27) + TIME(6,33,24)</f>
        <v>40325.273194444446</v>
      </c>
      <c r="C164">
        <v>70</v>
      </c>
      <c r="D164">
        <v>69.914489746000001</v>
      </c>
      <c r="E164">
        <v>40</v>
      </c>
      <c r="F164">
        <v>14.996958733</v>
      </c>
      <c r="G164">
        <v>1397.3364257999999</v>
      </c>
      <c r="H164">
        <v>1381.8271483999999</v>
      </c>
      <c r="I164">
        <v>1250.5844727000001</v>
      </c>
      <c r="J164">
        <v>1211.1401367000001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26.783239999999999</v>
      </c>
      <c r="B165" s="1">
        <f>DATE(2010,5,27) + TIME(18,47,51)</f>
        <v>40325.783229166664</v>
      </c>
      <c r="C165">
        <v>70</v>
      </c>
      <c r="D165">
        <v>69.914543151999993</v>
      </c>
      <c r="E165">
        <v>40</v>
      </c>
      <c r="F165">
        <v>14.996980667000001</v>
      </c>
      <c r="G165">
        <v>1397.2203368999999</v>
      </c>
      <c r="H165">
        <v>1381.7156981999999</v>
      </c>
      <c r="I165">
        <v>1250.5902100000001</v>
      </c>
      <c r="J165">
        <v>1211.1457519999999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27.304344</v>
      </c>
      <c r="B166" s="1">
        <f>DATE(2010,5,28) + TIME(7,18,15)</f>
        <v>40326.304340277777</v>
      </c>
      <c r="C166">
        <v>70</v>
      </c>
      <c r="D166">
        <v>69.914596558</v>
      </c>
      <c r="E166">
        <v>40</v>
      </c>
      <c r="F166">
        <v>14.997002602</v>
      </c>
      <c r="G166">
        <v>1397.1037598</v>
      </c>
      <c r="H166">
        <v>1381.6040039</v>
      </c>
      <c r="I166">
        <v>1250.5961914</v>
      </c>
      <c r="J166">
        <v>1211.1514893000001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27.826087999999999</v>
      </c>
      <c r="B167" s="1">
        <f>DATE(2010,5,28) + TIME(19,49,34)</f>
        <v>40326.82608796296</v>
      </c>
      <c r="C167">
        <v>70</v>
      </c>
      <c r="D167">
        <v>69.914657593000001</v>
      </c>
      <c r="E167">
        <v>40</v>
      </c>
      <c r="F167">
        <v>14.99702549</v>
      </c>
      <c r="G167">
        <v>1396.9868164</v>
      </c>
      <c r="H167">
        <v>1381.4920654</v>
      </c>
      <c r="I167">
        <v>1250.6022949000001</v>
      </c>
      <c r="J167">
        <v>1211.1573486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28.348295</v>
      </c>
      <c r="B168" s="1">
        <f>DATE(2010,5,29) + TIME(8,21,32)</f>
        <v>40327.348287037035</v>
      </c>
      <c r="C168">
        <v>70</v>
      </c>
      <c r="D168">
        <v>69.914710998999993</v>
      </c>
      <c r="E168">
        <v>40</v>
      </c>
      <c r="F168">
        <v>14.997047424</v>
      </c>
      <c r="G168">
        <v>1396.8719481999999</v>
      </c>
      <c r="H168">
        <v>1381.3820800999999</v>
      </c>
      <c r="I168">
        <v>1250.6082764</v>
      </c>
      <c r="J168">
        <v>1211.1632079999999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28.872102000000002</v>
      </c>
      <c r="B169" s="1">
        <f>DATE(2010,5,29) + TIME(20,55,49)</f>
        <v>40327.872094907405</v>
      </c>
      <c r="C169">
        <v>70</v>
      </c>
      <c r="D169">
        <v>69.914772033999995</v>
      </c>
      <c r="E169">
        <v>40</v>
      </c>
      <c r="F169">
        <v>14.997068405</v>
      </c>
      <c r="G169">
        <v>1396.7590332</v>
      </c>
      <c r="H169">
        <v>1381.2739257999999</v>
      </c>
      <c r="I169">
        <v>1250.6143798999999</v>
      </c>
      <c r="J169">
        <v>1211.1691894999999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29.398622</v>
      </c>
      <c r="B170" s="1">
        <f>DATE(2010,5,30) + TIME(9,34,0)</f>
        <v>40328.398611111108</v>
      </c>
      <c r="C170">
        <v>70</v>
      </c>
      <c r="D170">
        <v>69.914825438999998</v>
      </c>
      <c r="E170">
        <v>40</v>
      </c>
      <c r="F170">
        <v>14.99709034</v>
      </c>
      <c r="G170">
        <v>1396.6478271000001</v>
      </c>
      <c r="H170">
        <v>1381.1676024999999</v>
      </c>
      <c r="I170">
        <v>1250.6206055</v>
      </c>
      <c r="J170">
        <v>1211.1751709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29.928837000000001</v>
      </c>
      <c r="B171" s="1">
        <f>DATE(2010,5,30) + TIME(22,17,31)</f>
        <v>40328.928831018522</v>
      </c>
      <c r="C171">
        <v>70</v>
      </c>
      <c r="D171">
        <v>69.914886475000003</v>
      </c>
      <c r="E171">
        <v>40</v>
      </c>
      <c r="F171">
        <v>14.99711132</v>
      </c>
      <c r="G171">
        <v>1396.5378418</v>
      </c>
      <c r="H171">
        <v>1381.0625</v>
      </c>
      <c r="I171">
        <v>1250.6267089999999</v>
      </c>
      <c r="J171">
        <v>1211.1811522999999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30.463958999999999</v>
      </c>
      <c r="B172" s="1">
        <f>DATE(2010,5,31) + TIME(11,8,6)</f>
        <v>40329.463958333334</v>
      </c>
      <c r="C172">
        <v>70</v>
      </c>
      <c r="D172">
        <v>69.914939880000006</v>
      </c>
      <c r="E172">
        <v>40</v>
      </c>
      <c r="F172">
        <v>14.997132301000001</v>
      </c>
      <c r="G172">
        <v>1396.4291992000001</v>
      </c>
      <c r="H172">
        <v>1380.9584961</v>
      </c>
      <c r="I172">
        <v>1250.6329346</v>
      </c>
      <c r="J172">
        <v>1211.1871338000001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31</v>
      </c>
      <c r="B173" s="1">
        <f>DATE(2010,6,1) + TIME(0,0,0)</f>
        <v>40330</v>
      </c>
      <c r="C173">
        <v>70</v>
      </c>
      <c r="D173">
        <v>69.915000915999997</v>
      </c>
      <c r="E173">
        <v>40</v>
      </c>
      <c r="F173">
        <v>14.997153281999999</v>
      </c>
      <c r="G173">
        <v>1396.3212891000001</v>
      </c>
      <c r="H173">
        <v>1380.8554687999999</v>
      </c>
      <c r="I173">
        <v>1250.6392822</v>
      </c>
      <c r="J173">
        <v>1211.1933594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31.541153999999999</v>
      </c>
      <c r="B174" s="1">
        <f>DATE(2010,6,1) + TIME(12,59,15)</f>
        <v>40330.541145833333</v>
      </c>
      <c r="C174">
        <v>70</v>
      </c>
      <c r="D174">
        <v>69.915061950999998</v>
      </c>
      <c r="E174">
        <v>40</v>
      </c>
      <c r="F174">
        <v>14.997174263</v>
      </c>
      <c r="G174">
        <v>1396.2150879000001</v>
      </c>
      <c r="H174">
        <v>1380.7540283000001</v>
      </c>
      <c r="I174">
        <v>1250.6456298999999</v>
      </c>
      <c r="J174">
        <v>1211.1994629000001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32.097833000000001</v>
      </c>
      <c r="B175" s="1">
        <f>DATE(2010,6,2) + TIME(2,20,52)</f>
        <v>40331.097824074073</v>
      </c>
      <c r="C175">
        <v>70</v>
      </c>
      <c r="D175">
        <v>69.915122986</v>
      </c>
      <c r="E175">
        <v>40</v>
      </c>
      <c r="F175">
        <v>14.997194289999999</v>
      </c>
      <c r="G175">
        <v>1396.1096190999999</v>
      </c>
      <c r="H175">
        <v>1380.6533202999999</v>
      </c>
      <c r="I175">
        <v>1250.6520995999999</v>
      </c>
      <c r="J175">
        <v>1211.2056885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32.664060999999997</v>
      </c>
      <c r="B176" s="1">
        <f>DATE(2010,6,2) + TIME(15,56,14)</f>
        <v>40331.664050925923</v>
      </c>
      <c r="C176">
        <v>70</v>
      </c>
      <c r="D176">
        <v>69.915184021000002</v>
      </c>
      <c r="E176">
        <v>40</v>
      </c>
      <c r="F176">
        <v>14.997215271</v>
      </c>
      <c r="G176">
        <v>1396.0029297000001</v>
      </c>
      <c r="H176">
        <v>1380.5516356999999</v>
      </c>
      <c r="I176">
        <v>1250.6586914</v>
      </c>
      <c r="J176">
        <v>1211.2121582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33.241368999999999</v>
      </c>
      <c r="B177" s="1">
        <f>DATE(2010,6,3) + TIME(5,47,34)</f>
        <v>40332.241365740738</v>
      </c>
      <c r="C177">
        <v>70</v>
      </c>
      <c r="D177">
        <v>69.915245056000003</v>
      </c>
      <c r="E177">
        <v>40</v>
      </c>
      <c r="F177">
        <v>14.997236252</v>
      </c>
      <c r="G177">
        <v>1395.8963623</v>
      </c>
      <c r="H177">
        <v>1380.4498291</v>
      </c>
      <c r="I177">
        <v>1250.6655272999999</v>
      </c>
      <c r="J177">
        <v>1211.21875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33.831243000000001</v>
      </c>
      <c r="B178" s="1">
        <f>DATE(2010,6,3) + TIME(19,56,59)</f>
        <v>40332.831238425926</v>
      </c>
      <c r="C178">
        <v>70</v>
      </c>
      <c r="D178">
        <v>69.915306091000005</v>
      </c>
      <c r="E178">
        <v>40</v>
      </c>
      <c r="F178">
        <v>14.997257232999999</v>
      </c>
      <c r="G178">
        <v>1395.7894286999999</v>
      </c>
      <c r="H178">
        <v>1380.3479004000001</v>
      </c>
      <c r="I178">
        <v>1250.6723632999999</v>
      </c>
      <c r="J178">
        <v>1211.2254639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34.433700000000002</v>
      </c>
      <c r="B179" s="1">
        <f>DATE(2010,6,4) + TIME(10,24,31)</f>
        <v>40333.433692129627</v>
      </c>
      <c r="C179">
        <v>70</v>
      </c>
      <c r="D179">
        <v>69.915374756000006</v>
      </c>
      <c r="E179">
        <v>40</v>
      </c>
      <c r="F179">
        <v>14.997278214</v>
      </c>
      <c r="G179">
        <v>1395.6820068</v>
      </c>
      <c r="H179">
        <v>1380.2456055</v>
      </c>
      <c r="I179">
        <v>1250.6795654</v>
      </c>
      <c r="J179">
        <v>1211.2322998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35.048734000000003</v>
      </c>
      <c r="B180" s="1">
        <f>DATE(2010,6,5) + TIME(1,10,10)</f>
        <v>40334.048726851855</v>
      </c>
      <c r="C180">
        <v>70</v>
      </c>
      <c r="D180">
        <v>69.915443420000003</v>
      </c>
      <c r="E180">
        <v>40</v>
      </c>
      <c r="F180">
        <v>14.997299194</v>
      </c>
      <c r="G180">
        <v>1395.5742187999999</v>
      </c>
      <c r="H180">
        <v>1380.1429443</v>
      </c>
      <c r="I180">
        <v>1250.6868896000001</v>
      </c>
      <c r="J180">
        <v>1211.2393798999999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35.358947999999998</v>
      </c>
      <c r="B181" s="1">
        <f>DATE(2010,6,5) + TIME(8,36,53)</f>
        <v>40334.358946759261</v>
      </c>
      <c r="C181">
        <v>70</v>
      </c>
      <c r="D181">
        <v>69.915466308999996</v>
      </c>
      <c r="E181">
        <v>40</v>
      </c>
      <c r="F181">
        <v>14.997312546</v>
      </c>
      <c r="G181">
        <v>1395.4654541</v>
      </c>
      <c r="H181">
        <v>1380.0391846</v>
      </c>
      <c r="I181">
        <v>1250.6938477000001</v>
      </c>
      <c r="J181">
        <v>1211.2462158000001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35.669161000000003</v>
      </c>
      <c r="B182" s="1">
        <f>DATE(2010,6,5) + TIME(16,3,35)</f>
        <v>40334.66915509259</v>
      </c>
      <c r="C182">
        <v>70</v>
      </c>
      <c r="D182">
        <v>69.915504455999994</v>
      </c>
      <c r="E182">
        <v>40</v>
      </c>
      <c r="F182">
        <v>14.997324944000001</v>
      </c>
      <c r="G182">
        <v>1395.4108887</v>
      </c>
      <c r="H182">
        <v>1379.9870605000001</v>
      </c>
      <c r="I182">
        <v>1250.6977539</v>
      </c>
      <c r="J182">
        <v>1211.2498779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35.979374999999997</v>
      </c>
      <c r="B183" s="1">
        <f>DATE(2010,6,5) + TIME(23,30,17)</f>
        <v>40334.979363425926</v>
      </c>
      <c r="C183">
        <v>70</v>
      </c>
      <c r="D183">
        <v>69.915534973000007</v>
      </c>
      <c r="E183">
        <v>40</v>
      </c>
      <c r="F183">
        <v>14.997336388000001</v>
      </c>
      <c r="G183">
        <v>1395.3574219</v>
      </c>
      <c r="H183">
        <v>1379.9361572</v>
      </c>
      <c r="I183">
        <v>1250.7015381000001</v>
      </c>
      <c r="J183">
        <v>1211.2535399999999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36.289588000000002</v>
      </c>
      <c r="B184" s="1">
        <f>DATE(2010,6,6) + TIME(6,57,0)</f>
        <v>40335.289583333331</v>
      </c>
      <c r="C184">
        <v>70</v>
      </c>
      <c r="D184">
        <v>69.915565490999995</v>
      </c>
      <c r="E184">
        <v>40</v>
      </c>
      <c r="F184">
        <v>14.997347832000001</v>
      </c>
      <c r="G184">
        <v>1395.3043213000001</v>
      </c>
      <c r="H184">
        <v>1379.8857422000001</v>
      </c>
      <c r="I184">
        <v>1250.7053223</v>
      </c>
      <c r="J184">
        <v>1211.2573242000001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36.910015000000001</v>
      </c>
      <c r="B185" s="1">
        <f>DATE(2010,6,6) + TIME(21,50,25)</f>
        <v>40335.910011574073</v>
      </c>
      <c r="C185">
        <v>70</v>
      </c>
      <c r="D185">
        <v>69.915649414000001</v>
      </c>
      <c r="E185">
        <v>40</v>
      </c>
      <c r="F185">
        <v>14.997365951999999</v>
      </c>
      <c r="G185">
        <v>1395.2526855000001</v>
      </c>
      <c r="H185">
        <v>1379.8366699000001</v>
      </c>
      <c r="I185">
        <v>1250.7094727000001</v>
      </c>
      <c r="J185">
        <v>1211.2613524999999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37.531177</v>
      </c>
      <c r="B186" s="1">
        <f>DATE(2010,6,7) + TIME(12,44,53)</f>
        <v>40336.531168981484</v>
      </c>
      <c r="C186">
        <v>70</v>
      </c>
      <c r="D186">
        <v>69.915718079000001</v>
      </c>
      <c r="E186">
        <v>40</v>
      </c>
      <c r="F186">
        <v>14.997384071000001</v>
      </c>
      <c r="G186">
        <v>1395.1492920000001</v>
      </c>
      <c r="H186">
        <v>1379.7382812000001</v>
      </c>
      <c r="I186">
        <v>1250.7170410000001</v>
      </c>
      <c r="J186">
        <v>1211.2686768000001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38.155985000000001</v>
      </c>
      <c r="B187" s="1">
        <f>DATE(2010,6,8) + TIME(3,44,37)</f>
        <v>40337.1559837963</v>
      </c>
      <c r="C187">
        <v>70</v>
      </c>
      <c r="D187">
        <v>69.915786742999998</v>
      </c>
      <c r="E187">
        <v>40</v>
      </c>
      <c r="F187">
        <v>14.997403145</v>
      </c>
      <c r="G187">
        <v>1395.0471190999999</v>
      </c>
      <c r="H187">
        <v>1379.6409911999999</v>
      </c>
      <c r="I187">
        <v>1250.7247314000001</v>
      </c>
      <c r="J187">
        <v>1211.276001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38.785803999999999</v>
      </c>
      <c r="B188" s="1">
        <f>DATE(2010,6,8) + TIME(18,51,33)</f>
        <v>40337.785798611112</v>
      </c>
      <c r="C188">
        <v>70</v>
      </c>
      <c r="D188">
        <v>69.915855407999999</v>
      </c>
      <c r="E188">
        <v>40</v>
      </c>
      <c r="F188">
        <v>14.997422218000001</v>
      </c>
      <c r="G188">
        <v>1394.9458007999999</v>
      </c>
      <c r="H188">
        <v>1379.5447998</v>
      </c>
      <c r="I188">
        <v>1250.7324219</v>
      </c>
      <c r="J188">
        <v>1211.2834473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39.421965</v>
      </c>
      <c r="B189" s="1">
        <f>DATE(2010,6,9) + TIME(10,7,37)</f>
        <v>40338.421956018516</v>
      </c>
      <c r="C189">
        <v>70</v>
      </c>
      <c r="D189">
        <v>69.915924071999996</v>
      </c>
      <c r="E189">
        <v>40</v>
      </c>
      <c r="F189">
        <v>14.997442245</v>
      </c>
      <c r="G189">
        <v>1394.8454589999999</v>
      </c>
      <c r="H189">
        <v>1379.4493408000001</v>
      </c>
      <c r="I189">
        <v>1250.7402344</v>
      </c>
      <c r="J189">
        <v>1211.2910156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40.065814000000003</v>
      </c>
      <c r="B190" s="1">
        <f>DATE(2010,6,10) + TIME(1,34,46)</f>
        <v>40339.065810185188</v>
      </c>
      <c r="C190">
        <v>70</v>
      </c>
      <c r="D190">
        <v>69.916000366000006</v>
      </c>
      <c r="E190">
        <v>40</v>
      </c>
      <c r="F190">
        <v>14.997461318999999</v>
      </c>
      <c r="G190">
        <v>1394.7456055</v>
      </c>
      <c r="H190">
        <v>1379.3544922000001</v>
      </c>
      <c r="I190">
        <v>1250.7481689000001</v>
      </c>
      <c r="J190">
        <v>1211.2987060999999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40.718752000000002</v>
      </c>
      <c r="B191" s="1">
        <f>DATE(2010,6,10) + TIME(17,15,0)</f>
        <v>40339.71875</v>
      </c>
      <c r="C191">
        <v>70</v>
      </c>
      <c r="D191">
        <v>69.916069031000006</v>
      </c>
      <c r="E191">
        <v>40</v>
      </c>
      <c r="F191">
        <v>14.997480392</v>
      </c>
      <c r="G191">
        <v>1394.6462402</v>
      </c>
      <c r="H191">
        <v>1379.2601318</v>
      </c>
      <c r="I191">
        <v>1250.7562256000001</v>
      </c>
      <c r="J191">
        <v>1211.3065185999999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41.382261</v>
      </c>
      <c r="B192" s="1">
        <f>DATE(2010,6,11) + TIME(9,10,27)</f>
        <v>40340.382256944446</v>
      </c>
      <c r="C192">
        <v>70</v>
      </c>
      <c r="D192">
        <v>69.916145325000002</v>
      </c>
      <c r="E192">
        <v>40</v>
      </c>
      <c r="F192">
        <v>14.99750042</v>
      </c>
      <c r="G192">
        <v>1394.546875</v>
      </c>
      <c r="H192">
        <v>1379.1658935999999</v>
      </c>
      <c r="I192">
        <v>1250.7644043</v>
      </c>
      <c r="J192">
        <v>1211.3144531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42.057934000000003</v>
      </c>
      <c r="B193" s="1">
        <f>DATE(2010,6,12) + TIME(1,23,25)</f>
        <v>40341.057928240742</v>
      </c>
      <c r="C193">
        <v>70</v>
      </c>
      <c r="D193">
        <v>69.916221618999998</v>
      </c>
      <c r="E193">
        <v>40</v>
      </c>
      <c r="F193">
        <v>14.997519493</v>
      </c>
      <c r="G193">
        <v>1394.4476318</v>
      </c>
      <c r="H193">
        <v>1379.0715332</v>
      </c>
      <c r="I193">
        <v>1250.7728271000001</v>
      </c>
      <c r="J193">
        <v>1211.3225098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42.747551000000001</v>
      </c>
      <c r="B194" s="1">
        <f>DATE(2010,6,12) + TIME(17,56,28)</f>
        <v>40341.747546296298</v>
      </c>
      <c r="C194">
        <v>70</v>
      </c>
      <c r="D194">
        <v>69.916297912999994</v>
      </c>
      <c r="E194">
        <v>40</v>
      </c>
      <c r="F194">
        <v>14.99753952</v>
      </c>
      <c r="G194">
        <v>1394.3480225000001</v>
      </c>
      <c r="H194">
        <v>1378.9770507999999</v>
      </c>
      <c r="I194">
        <v>1250.7813721</v>
      </c>
      <c r="J194">
        <v>1211.3308105000001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43.452717999999997</v>
      </c>
      <c r="B195" s="1">
        <f>DATE(2010,6,13) + TIME(10,51,54)</f>
        <v>40342.452708333331</v>
      </c>
      <c r="C195">
        <v>70</v>
      </c>
      <c r="D195">
        <v>69.916374207000004</v>
      </c>
      <c r="E195">
        <v>40</v>
      </c>
      <c r="F195">
        <v>14.997559547</v>
      </c>
      <c r="G195">
        <v>1394.2480469</v>
      </c>
      <c r="H195">
        <v>1378.8822021000001</v>
      </c>
      <c r="I195">
        <v>1250.7901611</v>
      </c>
      <c r="J195">
        <v>1211.3392334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44.172286999999997</v>
      </c>
      <c r="B196" s="1">
        <f>DATE(2010,6,14) + TIME(4,8,5)</f>
        <v>40343.172280092593</v>
      </c>
      <c r="C196">
        <v>70</v>
      </c>
      <c r="D196">
        <v>69.916458129999995</v>
      </c>
      <c r="E196">
        <v>40</v>
      </c>
      <c r="F196">
        <v>14.997579575</v>
      </c>
      <c r="G196">
        <v>1394.1473389</v>
      </c>
      <c r="H196">
        <v>1378.7867432</v>
      </c>
      <c r="I196">
        <v>1250.7991943</v>
      </c>
      <c r="J196">
        <v>1211.3480225000001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44.534821000000001</v>
      </c>
      <c r="B197" s="1">
        <f>DATE(2010,6,14) + TIME(12,50,8)</f>
        <v>40343.534814814811</v>
      </c>
      <c r="C197">
        <v>70</v>
      </c>
      <c r="D197">
        <v>69.916488646999994</v>
      </c>
      <c r="E197">
        <v>40</v>
      </c>
      <c r="F197">
        <v>14.997592925999999</v>
      </c>
      <c r="G197">
        <v>1394.0457764</v>
      </c>
      <c r="H197">
        <v>1378.6903076000001</v>
      </c>
      <c r="I197">
        <v>1250.8081055</v>
      </c>
      <c r="J197">
        <v>1211.3564452999999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44.897354999999997</v>
      </c>
      <c r="B198" s="1">
        <f>DATE(2010,6,14) + TIME(21,32,11)</f>
        <v>40343.897349537037</v>
      </c>
      <c r="C198">
        <v>70</v>
      </c>
      <c r="D198">
        <v>69.916526794000006</v>
      </c>
      <c r="E198">
        <v>40</v>
      </c>
      <c r="F198">
        <v>14.997604369999999</v>
      </c>
      <c r="G198">
        <v>1393.9946289</v>
      </c>
      <c r="H198">
        <v>1378.6418457</v>
      </c>
      <c r="I198">
        <v>1250.8128661999999</v>
      </c>
      <c r="J198">
        <v>1211.3610839999999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45.259889000000001</v>
      </c>
      <c r="B199" s="1">
        <f>DATE(2010,6,15) + TIME(6,14,14)</f>
        <v>40344.259884259256</v>
      </c>
      <c r="C199">
        <v>70</v>
      </c>
      <c r="D199">
        <v>69.916564941000004</v>
      </c>
      <c r="E199">
        <v>40</v>
      </c>
      <c r="F199">
        <v>14.997615814</v>
      </c>
      <c r="G199">
        <v>1393.9445800999999</v>
      </c>
      <c r="H199">
        <v>1378.5943603999999</v>
      </c>
      <c r="I199">
        <v>1250.8175048999999</v>
      </c>
      <c r="J199">
        <v>1211.3656006000001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45.622422999999998</v>
      </c>
      <c r="B200" s="1">
        <f>DATE(2010,6,15) + TIME(14,56,17)</f>
        <v>40344.622418981482</v>
      </c>
      <c r="C200">
        <v>70</v>
      </c>
      <c r="D200">
        <v>69.916610718000001</v>
      </c>
      <c r="E200">
        <v>40</v>
      </c>
      <c r="F200">
        <v>14.997627258</v>
      </c>
      <c r="G200">
        <v>1393.8950195</v>
      </c>
      <c r="H200">
        <v>1378.5473632999999</v>
      </c>
      <c r="I200">
        <v>1250.8222656</v>
      </c>
      <c r="J200">
        <v>1211.3701172000001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46.347490999999998</v>
      </c>
      <c r="B201" s="1">
        <f>DATE(2010,6,16) + TIME(8,20,23)</f>
        <v>40345.347488425927</v>
      </c>
      <c r="C201">
        <v>70</v>
      </c>
      <c r="D201">
        <v>69.916702271000005</v>
      </c>
      <c r="E201">
        <v>40</v>
      </c>
      <c r="F201">
        <v>14.997642516999999</v>
      </c>
      <c r="G201">
        <v>1393.8466797000001</v>
      </c>
      <c r="H201">
        <v>1378.5015868999999</v>
      </c>
      <c r="I201">
        <v>1250.8272704999999</v>
      </c>
      <c r="J201">
        <v>1211.3751221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47.072685</v>
      </c>
      <c r="B202" s="1">
        <f>DATE(2010,6,17) + TIME(1,44,39)</f>
        <v>40346.07267361111</v>
      </c>
      <c r="C202">
        <v>70</v>
      </c>
      <c r="D202">
        <v>69.916778563999998</v>
      </c>
      <c r="E202">
        <v>40</v>
      </c>
      <c r="F202">
        <v>14.997660636999999</v>
      </c>
      <c r="G202">
        <v>1393.7497559000001</v>
      </c>
      <c r="H202">
        <v>1378.4097899999999</v>
      </c>
      <c r="I202">
        <v>1250.8366699000001</v>
      </c>
      <c r="J202">
        <v>1211.3841553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47.802160999999998</v>
      </c>
      <c r="B203" s="1">
        <f>DATE(2010,6,17) + TIME(19,15,6)</f>
        <v>40346.802152777775</v>
      </c>
      <c r="C203">
        <v>70</v>
      </c>
      <c r="D203">
        <v>69.916862488000007</v>
      </c>
      <c r="E203">
        <v>40</v>
      </c>
      <c r="F203">
        <v>14.997678756999999</v>
      </c>
      <c r="G203">
        <v>1393.6539307</v>
      </c>
      <c r="H203">
        <v>1378.3190918</v>
      </c>
      <c r="I203">
        <v>1250.8461914</v>
      </c>
      <c r="J203">
        <v>1211.3933105000001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48.537568999999998</v>
      </c>
      <c r="B204" s="1">
        <f>DATE(2010,6,18) + TIME(12,54,5)</f>
        <v>40347.537557870368</v>
      </c>
      <c r="C204">
        <v>70</v>
      </c>
      <c r="D204">
        <v>69.916946410999998</v>
      </c>
      <c r="E204">
        <v>40</v>
      </c>
      <c r="F204">
        <v>14.997696876999999</v>
      </c>
      <c r="G204">
        <v>1393.5589600000001</v>
      </c>
      <c r="H204">
        <v>1378.229126</v>
      </c>
      <c r="I204">
        <v>1250.8558350000001</v>
      </c>
      <c r="J204">
        <v>1211.4025879000001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49.280462999999997</v>
      </c>
      <c r="B205" s="1">
        <f>DATE(2010,6,19) + TIME(6,43,52)</f>
        <v>40348.280462962961</v>
      </c>
      <c r="C205">
        <v>70</v>
      </c>
      <c r="D205">
        <v>69.917030334000003</v>
      </c>
      <c r="E205">
        <v>40</v>
      </c>
      <c r="F205">
        <v>14.997714995999999</v>
      </c>
      <c r="G205">
        <v>1393.4645995999999</v>
      </c>
      <c r="H205">
        <v>1378.1398925999999</v>
      </c>
      <c r="I205">
        <v>1250.8654785000001</v>
      </c>
      <c r="J205">
        <v>1211.4118652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50.032449</v>
      </c>
      <c r="B206" s="1">
        <f>DATE(2010,6,20) + TIME(0,46,43)</f>
        <v>40349.032442129632</v>
      </c>
      <c r="C206">
        <v>70</v>
      </c>
      <c r="D206">
        <v>69.917114257999998</v>
      </c>
      <c r="E206">
        <v>40</v>
      </c>
      <c r="F206">
        <v>14.99773407</v>
      </c>
      <c r="G206">
        <v>1393.3707274999999</v>
      </c>
      <c r="H206">
        <v>1378.0510254000001</v>
      </c>
      <c r="I206">
        <v>1250.8753661999999</v>
      </c>
      <c r="J206">
        <v>1211.4213867000001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50.795198999999997</v>
      </c>
      <c r="B207" s="1">
        <f>DATE(2010,6,20) + TIME(19,5,5)</f>
        <v>40349.79519675926</v>
      </c>
      <c r="C207">
        <v>70</v>
      </c>
      <c r="D207">
        <v>69.917205811000002</v>
      </c>
      <c r="E207">
        <v>40</v>
      </c>
      <c r="F207">
        <v>14.997753143000001</v>
      </c>
      <c r="G207">
        <v>1393.2770995999999</v>
      </c>
      <c r="H207">
        <v>1377.9624022999999</v>
      </c>
      <c r="I207">
        <v>1250.8854980000001</v>
      </c>
      <c r="J207">
        <v>1211.4310303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51.570480000000003</v>
      </c>
      <c r="B208" s="1">
        <f>DATE(2010,6,21) + TIME(13,41,29)</f>
        <v>40350.570474537039</v>
      </c>
      <c r="C208">
        <v>70</v>
      </c>
      <c r="D208">
        <v>69.917289733999993</v>
      </c>
      <c r="E208">
        <v>40</v>
      </c>
      <c r="F208">
        <v>14.997771263000001</v>
      </c>
      <c r="G208">
        <v>1393.1834716999999</v>
      </c>
      <c r="H208">
        <v>1377.8739014</v>
      </c>
      <c r="I208">
        <v>1250.8957519999999</v>
      </c>
      <c r="J208">
        <v>1211.440918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52.360233999999998</v>
      </c>
      <c r="B209" s="1">
        <f>DATE(2010,6,22) + TIME(8,38,44)</f>
        <v>40351.360231481478</v>
      </c>
      <c r="C209">
        <v>70</v>
      </c>
      <c r="D209">
        <v>69.917381286999998</v>
      </c>
      <c r="E209">
        <v>40</v>
      </c>
      <c r="F209">
        <v>14.997790337</v>
      </c>
      <c r="G209">
        <v>1393.0897216999999</v>
      </c>
      <c r="H209">
        <v>1377.7851562000001</v>
      </c>
      <c r="I209">
        <v>1250.9061279</v>
      </c>
      <c r="J209">
        <v>1211.4510498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53.166618999999997</v>
      </c>
      <c r="B210" s="1">
        <f>DATE(2010,6,23) + TIME(3,59,55)</f>
        <v>40352.166608796295</v>
      </c>
      <c r="C210">
        <v>70</v>
      </c>
      <c r="D210">
        <v>69.917472838999998</v>
      </c>
      <c r="E210">
        <v>40</v>
      </c>
      <c r="F210">
        <v>14.99780941</v>
      </c>
      <c r="G210">
        <v>1392.9956055</v>
      </c>
      <c r="H210">
        <v>1377.6961670000001</v>
      </c>
      <c r="I210">
        <v>1250.9168701000001</v>
      </c>
      <c r="J210">
        <v>1211.4613036999999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53.988841000000001</v>
      </c>
      <c r="B211" s="1">
        <f>DATE(2010,6,23) + TIME(23,43,55)</f>
        <v>40352.98883101852</v>
      </c>
      <c r="C211">
        <v>70</v>
      </c>
      <c r="D211">
        <v>69.917564392000003</v>
      </c>
      <c r="E211">
        <v>40</v>
      </c>
      <c r="F211">
        <v>14.997828483999999</v>
      </c>
      <c r="G211">
        <v>1392.9008789</v>
      </c>
      <c r="H211">
        <v>1377.6066894999999</v>
      </c>
      <c r="I211">
        <v>1250.9278564000001</v>
      </c>
      <c r="J211">
        <v>1211.4719238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54.405580999999998</v>
      </c>
      <c r="B212" s="1">
        <f>DATE(2010,6,24) + TIME(9,44,2)</f>
        <v>40353.405578703707</v>
      </c>
      <c r="C212">
        <v>70</v>
      </c>
      <c r="D212">
        <v>69.917602539000001</v>
      </c>
      <c r="E212">
        <v>40</v>
      </c>
      <c r="F212">
        <v>14.997841834999999</v>
      </c>
      <c r="G212">
        <v>1392.8052978999999</v>
      </c>
      <c r="H212">
        <v>1377.5162353999999</v>
      </c>
      <c r="I212">
        <v>1250.9388428</v>
      </c>
      <c r="J212">
        <v>1211.4822998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54.822321000000002</v>
      </c>
      <c r="B213" s="1">
        <f>DATE(2010,6,24) + TIME(19,44,8)</f>
        <v>40353.822314814817</v>
      </c>
      <c r="C213">
        <v>70</v>
      </c>
      <c r="D213">
        <v>69.917648314999994</v>
      </c>
      <c r="E213">
        <v>40</v>
      </c>
      <c r="F213">
        <v>14.997853278999999</v>
      </c>
      <c r="G213">
        <v>1392.7568358999999</v>
      </c>
      <c r="H213">
        <v>1377.4704589999999</v>
      </c>
      <c r="I213">
        <v>1250.9447021000001</v>
      </c>
      <c r="J213">
        <v>1211.4880370999999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55.239061999999997</v>
      </c>
      <c r="B214" s="1">
        <f>DATE(2010,6,25) + TIME(5,44,14)</f>
        <v>40354.239050925928</v>
      </c>
      <c r="C214">
        <v>70</v>
      </c>
      <c r="D214">
        <v>69.917694092000005</v>
      </c>
      <c r="E214">
        <v>40</v>
      </c>
      <c r="F214">
        <v>14.99786377</v>
      </c>
      <c r="G214">
        <v>1392.7094727000001</v>
      </c>
      <c r="H214">
        <v>1377.4256591999999</v>
      </c>
      <c r="I214">
        <v>1250.9504394999999</v>
      </c>
      <c r="J214">
        <v>1211.4935303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55.655802000000001</v>
      </c>
      <c r="B215" s="1">
        <f>DATE(2010,6,25) + TIME(15,44,21)</f>
        <v>40354.655798611115</v>
      </c>
      <c r="C215">
        <v>70</v>
      </c>
      <c r="D215">
        <v>69.917739867999998</v>
      </c>
      <c r="E215">
        <v>40</v>
      </c>
      <c r="F215">
        <v>14.99787426</v>
      </c>
      <c r="G215">
        <v>1392.6624756000001</v>
      </c>
      <c r="H215">
        <v>1377.3811035000001</v>
      </c>
      <c r="I215">
        <v>1250.9561768000001</v>
      </c>
      <c r="J215">
        <v>1211.4991454999999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56.072541999999999</v>
      </c>
      <c r="B216" s="1">
        <f>DATE(2010,6,26) + TIME(1,44,27)</f>
        <v>40355.072534722225</v>
      </c>
      <c r="C216">
        <v>70</v>
      </c>
      <c r="D216">
        <v>69.917785644999995</v>
      </c>
      <c r="E216">
        <v>40</v>
      </c>
      <c r="F216">
        <v>14.997884750000001</v>
      </c>
      <c r="G216">
        <v>1392.6157227000001</v>
      </c>
      <c r="H216">
        <v>1377.3369141000001</v>
      </c>
      <c r="I216">
        <v>1250.9620361</v>
      </c>
      <c r="J216">
        <v>1211.5047606999999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56.489282000000003</v>
      </c>
      <c r="B217" s="1">
        <f>DATE(2010,6,26) + TIME(11,44,33)</f>
        <v>40355.489270833335</v>
      </c>
      <c r="C217">
        <v>70</v>
      </c>
      <c r="D217">
        <v>69.917831421000002</v>
      </c>
      <c r="E217">
        <v>40</v>
      </c>
      <c r="F217">
        <v>14.997894286999999</v>
      </c>
      <c r="G217">
        <v>1392.5693358999999</v>
      </c>
      <c r="H217">
        <v>1377.2930908000001</v>
      </c>
      <c r="I217">
        <v>1250.9678954999999</v>
      </c>
      <c r="J217">
        <v>1211.510376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57.322761999999997</v>
      </c>
      <c r="B218" s="1">
        <f>DATE(2010,6,27) + TIME(7,44,46)</f>
        <v>40356.322754629633</v>
      </c>
      <c r="C218">
        <v>70</v>
      </c>
      <c r="D218">
        <v>69.917938231999997</v>
      </c>
      <c r="E218">
        <v>40</v>
      </c>
      <c r="F218">
        <v>14.997908592</v>
      </c>
      <c r="G218">
        <v>1392.5240478999999</v>
      </c>
      <c r="H218">
        <v>1377.2503661999999</v>
      </c>
      <c r="I218">
        <v>1250.9741211</v>
      </c>
      <c r="J218">
        <v>1211.5163574000001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58.156666999999999</v>
      </c>
      <c r="B219" s="1">
        <f>DATE(2010,6,28) + TIME(3,45,36)</f>
        <v>40357.156666666669</v>
      </c>
      <c r="C219">
        <v>70</v>
      </c>
      <c r="D219">
        <v>69.918037415000001</v>
      </c>
      <c r="E219">
        <v>40</v>
      </c>
      <c r="F219">
        <v>14.997924805</v>
      </c>
      <c r="G219">
        <v>1392.4333495999999</v>
      </c>
      <c r="H219">
        <v>1377.1646728999999</v>
      </c>
      <c r="I219">
        <v>1250.9857178</v>
      </c>
      <c r="J219">
        <v>1211.5274658000001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58.997143999999999</v>
      </c>
      <c r="B220" s="1">
        <f>DATE(2010,6,28) + TIME(23,55,53)</f>
        <v>40357.997141203705</v>
      </c>
      <c r="C220">
        <v>70</v>
      </c>
      <c r="D220">
        <v>69.918128967000001</v>
      </c>
      <c r="E220">
        <v>40</v>
      </c>
      <c r="F220">
        <v>14.997941970999999</v>
      </c>
      <c r="G220">
        <v>1392.3435059000001</v>
      </c>
      <c r="H220">
        <v>1377.0799560999999</v>
      </c>
      <c r="I220">
        <v>1250.9975586</v>
      </c>
      <c r="J220">
        <v>1211.5388184000001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59.845942999999998</v>
      </c>
      <c r="B221" s="1">
        <f>DATE(2010,6,29) + TIME(20,18,9)</f>
        <v>40358.845937500002</v>
      </c>
      <c r="C221">
        <v>70</v>
      </c>
      <c r="D221">
        <v>69.918228149000001</v>
      </c>
      <c r="E221">
        <v>40</v>
      </c>
      <c r="F221">
        <v>14.997959137</v>
      </c>
      <c r="G221">
        <v>1392.2542725000001</v>
      </c>
      <c r="H221">
        <v>1376.9956055</v>
      </c>
      <c r="I221">
        <v>1251.0095214999999</v>
      </c>
      <c r="J221">
        <v>1211.550293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60.704889000000001</v>
      </c>
      <c r="B222" s="1">
        <f>DATE(2010,6,30) + TIME(16,55,2)</f>
        <v>40359.704884259256</v>
      </c>
      <c r="C222">
        <v>70</v>
      </c>
      <c r="D222">
        <v>69.918327332000004</v>
      </c>
      <c r="E222">
        <v>40</v>
      </c>
      <c r="F222">
        <v>14.997977257000001</v>
      </c>
      <c r="G222">
        <v>1392.1652832</v>
      </c>
      <c r="H222">
        <v>1376.9116211</v>
      </c>
      <c r="I222">
        <v>1251.0216064000001</v>
      </c>
      <c r="J222">
        <v>1211.5618896000001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61</v>
      </c>
      <c r="B223" s="1">
        <f>DATE(2010,7,1) + TIME(0,0,0)</f>
        <v>40360</v>
      </c>
      <c r="C223">
        <v>70</v>
      </c>
      <c r="D223">
        <v>69.918350219999994</v>
      </c>
      <c r="E223">
        <v>40</v>
      </c>
      <c r="F223">
        <v>14.997986793999999</v>
      </c>
      <c r="G223">
        <v>1392.0765381000001</v>
      </c>
      <c r="H223">
        <v>1376.8278809000001</v>
      </c>
      <c r="I223">
        <v>1251.0334473</v>
      </c>
      <c r="J223">
        <v>1211.5731201000001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61.871000000000002</v>
      </c>
      <c r="B224" s="1">
        <f>DATE(2010,7,1) + TIME(20,54,14)</f>
        <v>40360.870995370373</v>
      </c>
      <c r="C224">
        <v>70</v>
      </c>
      <c r="D224">
        <v>69.918457031000003</v>
      </c>
      <c r="E224">
        <v>40</v>
      </c>
      <c r="F224">
        <v>14.998003005999999</v>
      </c>
      <c r="G224">
        <v>1392.0457764</v>
      </c>
      <c r="H224">
        <v>1376.7988281</v>
      </c>
      <c r="I224">
        <v>1251.0384521000001</v>
      </c>
      <c r="J224">
        <v>1211.5780029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62.761479999999999</v>
      </c>
      <c r="B225" s="1">
        <f>DATE(2010,7,2) + TIME(18,16,31)</f>
        <v>40361.761469907404</v>
      </c>
      <c r="C225">
        <v>70</v>
      </c>
      <c r="D225">
        <v>69.918556213000002</v>
      </c>
      <c r="E225">
        <v>40</v>
      </c>
      <c r="F225">
        <v>14.998020172</v>
      </c>
      <c r="G225">
        <v>1391.9578856999999</v>
      </c>
      <c r="H225">
        <v>1376.7158202999999</v>
      </c>
      <c r="I225">
        <v>1251.0510254000001</v>
      </c>
      <c r="J225">
        <v>1211.5900879000001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63.668937999999997</v>
      </c>
      <c r="B226" s="1">
        <f>DATE(2010,7,3) + TIME(16,3,16)</f>
        <v>40362.668935185182</v>
      </c>
      <c r="C226">
        <v>70</v>
      </c>
      <c r="D226">
        <v>69.918663025000001</v>
      </c>
      <c r="E226">
        <v>40</v>
      </c>
      <c r="F226">
        <v>14.998038292</v>
      </c>
      <c r="G226">
        <v>1391.8686522999999</v>
      </c>
      <c r="H226">
        <v>1376.6317139</v>
      </c>
      <c r="I226">
        <v>1251.0639647999999</v>
      </c>
      <c r="J226">
        <v>1211.6025391000001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64.595877000000002</v>
      </c>
      <c r="B227" s="1">
        <f>DATE(2010,7,4) + TIME(14,18,3)</f>
        <v>40363.595868055556</v>
      </c>
      <c r="C227">
        <v>70</v>
      </c>
      <c r="D227">
        <v>69.918769835999996</v>
      </c>
      <c r="E227">
        <v>40</v>
      </c>
      <c r="F227">
        <v>14.998056412</v>
      </c>
      <c r="G227">
        <v>1391.7790527</v>
      </c>
      <c r="H227">
        <v>1376.5472411999999</v>
      </c>
      <c r="I227">
        <v>1251.0773925999999</v>
      </c>
      <c r="J227">
        <v>1211.6153564000001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65.066463999999996</v>
      </c>
      <c r="B228" s="1">
        <f>DATE(2010,7,5) + TIME(1,35,42)</f>
        <v>40364.066458333335</v>
      </c>
      <c r="C228">
        <v>70</v>
      </c>
      <c r="D228">
        <v>69.918815613000007</v>
      </c>
      <c r="E228">
        <v>40</v>
      </c>
      <c r="F228">
        <v>14.998068809999999</v>
      </c>
      <c r="G228">
        <v>1391.6884766000001</v>
      </c>
      <c r="H228">
        <v>1376.4616699000001</v>
      </c>
      <c r="I228">
        <v>1251.0906981999999</v>
      </c>
      <c r="J228">
        <v>1211.6280518000001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65.537051000000005</v>
      </c>
      <c r="B229" s="1">
        <f>DATE(2010,7,5) + TIME(12,53,21)</f>
        <v>40364.537048611113</v>
      </c>
      <c r="C229">
        <v>70</v>
      </c>
      <c r="D229">
        <v>69.918861389</v>
      </c>
      <c r="E229">
        <v>40</v>
      </c>
      <c r="F229">
        <v>14.998080254</v>
      </c>
      <c r="G229">
        <v>1391.6424560999999</v>
      </c>
      <c r="H229">
        <v>1376.4182129000001</v>
      </c>
      <c r="I229">
        <v>1251.0977783000001</v>
      </c>
      <c r="J229">
        <v>1211.6348877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66.007638</v>
      </c>
      <c r="B230" s="1">
        <f>DATE(2010,7,6) + TIME(0,10,59)</f>
        <v>40365.007627314815</v>
      </c>
      <c r="C230">
        <v>70</v>
      </c>
      <c r="D230">
        <v>69.918914795000006</v>
      </c>
      <c r="E230">
        <v>40</v>
      </c>
      <c r="F230">
        <v>14.998090744000001</v>
      </c>
      <c r="G230">
        <v>1391.5972899999999</v>
      </c>
      <c r="H230">
        <v>1376.3756103999999</v>
      </c>
      <c r="I230">
        <v>1251.1048584</v>
      </c>
      <c r="J230">
        <v>1211.6416016000001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66.478224999999995</v>
      </c>
      <c r="B231" s="1">
        <f>DATE(2010,7,6) + TIME(11,28,38)</f>
        <v>40365.478217592594</v>
      </c>
      <c r="C231">
        <v>70</v>
      </c>
      <c r="D231">
        <v>69.918968200999998</v>
      </c>
      <c r="E231">
        <v>40</v>
      </c>
      <c r="F231">
        <v>14.998101234</v>
      </c>
      <c r="G231">
        <v>1391.5524902</v>
      </c>
      <c r="H231">
        <v>1376.333374</v>
      </c>
      <c r="I231">
        <v>1251.1119385</v>
      </c>
      <c r="J231">
        <v>1211.6484375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66.948812000000004</v>
      </c>
      <c r="B232" s="1">
        <f>DATE(2010,7,6) + TIME(22,46,17)</f>
        <v>40365.948807870373</v>
      </c>
      <c r="C232">
        <v>70</v>
      </c>
      <c r="D232">
        <v>69.919021606000001</v>
      </c>
      <c r="E232">
        <v>40</v>
      </c>
      <c r="F232">
        <v>14.998110771</v>
      </c>
      <c r="G232">
        <v>1391.5080565999999</v>
      </c>
      <c r="H232">
        <v>1376.2913818</v>
      </c>
      <c r="I232">
        <v>1251.1190185999999</v>
      </c>
      <c r="J232">
        <v>1211.6552733999999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67.419398999999999</v>
      </c>
      <c r="B233" s="1">
        <f>DATE(2010,7,7) + TIME(10,3,56)</f>
        <v>40366.419398148151</v>
      </c>
      <c r="C233">
        <v>70</v>
      </c>
      <c r="D233">
        <v>69.919075011999993</v>
      </c>
      <c r="E233">
        <v>40</v>
      </c>
      <c r="F233">
        <v>14.998120308000001</v>
      </c>
      <c r="G233">
        <v>1391.4638672000001</v>
      </c>
      <c r="H233">
        <v>1376.2496338000001</v>
      </c>
      <c r="I233">
        <v>1251.1262207</v>
      </c>
      <c r="J233">
        <v>1211.6621094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67.889985999999993</v>
      </c>
      <c r="B234" s="1">
        <f>DATE(2010,7,7) + TIME(21,21,34)</f>
        <v>40366.889976851853</v>
      </c>
      <c r="C234">
        <v>70</v>
      </c>
      <c r="D234">
        <v>69.919128418</v>
      </c>
      <c r="E234">
        <v>40</v>
      </c>
      <c r="F234">
        <v>14.998129844999999</v>
      </c>
      <c r="G234">
        <v>1391.4200439000001</v>
      </c>
      <c r="H234">
        <v>1376.2082519999999</v>
      </c>
      <c r="I234">
        <v>1251.1334228999999</v>
      </c>
      <c r="J234">
        <v>1211.6689452999999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68.831159999999997</v>
      </c>
      <c r="B235" s="1">
        <f>DATE(2010,7,8) + TIME(19,56,52)</f>
        <v>40367.831157407411</v>
      </c>
      <c r="C235">
        <v>70</v>
      </c>
      <c r="D235">
        <v>69.919242858999993</v>
      </c>
      <c r="E235">
        <v>40</v>
      </c>
      <c r="F235">
        <v>14.998143195999999</v>
      </c>
      <c r="G235">
        <v>1391.3770752</v>
      </c>
      <c r="H235">
        <v>1376.1678466999999</v>
      </c>
      <c r="I235">
        <v>1251.1409911999999</v>
      </c>
      <c r="J235">
        <v>1211.6761475000001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69.773527000000001</v>
      </c>
      <c r="B236" s="1">
        <f>DATE(2010,7,9) + TIME(18,33,52)</f>
        <v>40368.773518518516</v>
      </c>
      <c r="C236">
        <v>70</v>
      </c>
      <c r="D236">
        <v>69.919357300000001</v>
      </c>
      <c r="E236">
        <v>40</v>
      </c>
      <c r="F236">
        <v>14.998158455</v>
      </c>
      <c r="G236">
        <v>1391.2911377</v>
      </c>
      <c r="H236">
        <v>1376.0867920000001</v>
      </c>
      <c r="I236">
        <v>1251.1552733999999</v>
      </c>
      <c r="J236">
        <v>1211.6899414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70.724410000000006</v>
      </c>
      <c r="B237" s="1">
        <f>DATE(2010,7,10) + TIME(17,23,9)</f>
        <v>40369.724409722221</v>
      </c>
      <c r="C237">
        <v>70</v>
      </c>
      <c r="D237">
        <v>69.919464110999996</v>
      </c>
      <c r="E237">
        <v>40</v>
      </c>
      <c r="F237">
        <v>14.998174667000001</v>
      </c>
      <c r="G237">
        <v>1391.2058105000001</v>
      </c>
      <c r="H237">
        <v>1376.0064697</v>
      </c>
      <c r="I237">
        <v>1251.1697998</v>
      </c>
      <c r="J237">
        <v>1211.7037353999999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71.685790999999995</v>
      </c>
      <c r="B238" s="1">
        <f>DATE(2010,7,11) + TIME(16,27,32)</f>
        <v>40370.685787037037</v>
      </c>
      <c r="C238">
        <v>70</v>
      </c>
      <c r="D238">
        <v>69.919570922999995</v>
      </c>
      <c r="E238">
        <v>40</v>
      </c>
      <c r="F238">
        <v>14.998191833</v>
      </c>
      <c r="G238">
        <v>1391.1209716999999</v>
      </c>
      <c r="H238">
        <v>1375.9263916</v>
      </c>
      <c r="I238">
        <v>1251.1845702999999</v>
      </c>
      <c r="J238">
        <v>1211.7178954999999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72.659768</v>
      </c>
      <c r="B239" s="1">
        <f>DATE(2010,7,12) + TIME(15,50,3)</f>
        <v>40371.659756944442</v>
      </c>
      <c r="C239">
        <v>70</v>
      </c>
      <c r="D239">
        <v>69.919685364000003</v>
      </c>
      <c r="E239">
        <v>40</v>
      </c>
      <c r="F239">
        <v>14.998209953</v>
      </c>
      <c r="G239">
        <v>1391.0361327999999</v>
      </c>
      <c r="H239">
        <v>1375.8464355000001</v>
      </c>
      <c r="I239">
        <v>1251.1995850000001</v>
      </c>
      <c r="J239">
        <v>1211.7321777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73.648546999999994</v>
      </c>
      <c r="B240" s="1">
        <f>DATE(2010,7,13) + TIME(15,33,54)</f>
        <v>40372.648541666669</v>
      </c>
      <c r="C240">
        <v>70</v>
      </c>
      <c r="D240">
        <v>69.919792174999998</v>
      </c>
      <c r="E240">
        <v>40</v>
      </c>
      <c r="F240">
        <v>14.998227118999999</v>
      </c>
      <c r="G240">
        <v>1390.9514160000001</v>
      </c>
      <c r="H240">
        <v>1375.7666016000001</v>
      </c>
      <c r="I240">
        <v>1251.2149658000001</v>
      </c>
      <c r="J240">
        <v>1211.7468262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74.654484999999994</v>
      </c>
      <c r="B241" s="1">
        <f>DATE(2010,7,14) + TIME(15,42,27)</f>
        <v>40373.654479166667</v>
      </c>
      <c r="C241">
        <v>70</v>
      </c>
      <c r="D241">
        <v>69.919906616000006</v>
      </c>
      <c r="E241">
        <v>40</v>
      </c>
      <c r="F241">
        <v>14.998245238999999</v>
      </c>
      <c r="G241">
        <v>1390.8664550999999</v>
      </c>
      <c r="H241">
        <v>1375.6865233999999</v>
      </c>
      <c r="I241">
        <v>1251.2307129000001</v>
      </c>
      <c r="J241">
        <v>1211.7618408000001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75.680173999999994</v>
      </c>
      <c r="B242" s="1">
        <f>DATE(2010,7,15) + TIME(16,19,27)</f>
        <v>40374.680173611108</v>
      </c>
      <c r="C242">
        <v>70</v>
      </c>
      <c r="D242">
        <v>69.920021057</v>
      </c>
      <c r="E242">
        <v>40</v>
      </c>
      <c r="F242">
        <v>14.998262405</v>
      </c>
      <c r="G242">
        <v>1390.7811279</v>
      </c>
      <c r="H242">
        <v>1375.6060791</v>
      </c>
      <c r="I242">
        <v>1251.2468262</v>
      </c>
      <c r="J242">
        <v>1211.7772216999999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76.720952999999994</v>
      </c>
      <c r="B243" s="1">
        <f>DATE(2010,7,16) + TIME(17,18,10)</f>
        <v>40375.720949074072</v>
      </c>
      <c r="C243">
        <v>70</v>
      </c>
      <c r="D243">
        <v>69.920143127000003</v>
      </c>
      <c r="E243">
        <v>40</v>
      </c>
      <c r="F243">
        <v>14.998280525</v>
      </c>
      <c r="G243">
        <v>1390.6951904</v>
      </c>
      <c r="H243">
        <v>1375.5251464999999</v>
      </c>
      <c r="I243">
        <v>1251.2633057</v>
      </c>
      <c r="J243">
        <v>1211.7929687999999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77.245395000000002</v>
      </c>
      <c r="B244" s="1">
        <f>DATE(2010,7,17) + TIME(5,53,22)</f>
        <v>40376.245393518519</v>
      </c>
      <c r="C244">
        <v>70</v>
      </c>
      <c r="D244">
        <v>69.920188904</v>
      </c>
      <c r="E244">
        <v>40</v>
      </c>
      <c r="F244">
        <v>14.998293877</v>
      </c>
      <c r="G244">
        <v>1390.6087646000001</v>
      </c>
      <c r="H244">
        <v>1375.4436035000001</v>
      </c>
      <c r="I244">
        <v>1251.2797852000001</v>
      </c>
      <c r="J244">
        <v>1211.8087158000001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77.769836999999995</v>
      </c>
      <c r="B245" s="1">
        <f>DATE(2010,7,17) + TIME(18,28,33)</f>
        <v>40376.769826388889</v>
      </c>
      <c r="C245">
        <v>70</v>
      </c>
      <c r="D245">
        <v>69.920249939000001</v>
      </c>
      <c r="E245">
        <v>40</v>
      </c>
      <c r="F245">
        <v>14.998304366999999</v>
      </c>
      <c r="G245">
        <v>1390.5651855000001</v>
      </c>
      <c r="H245">
        <v>1375.4024658000001</v>
      </c>
      <c r="I245">
        <v>1251.2885742000001</v>
      </c>
      <c r="J245">
        <v>1211.8170166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78.294278000000006</v>
      </c>
      <c r="B246" s="1">
        <f>DATE(2010,7,18) + TIME(7,3,45)</f>
        <v>40377.294270833336</v>
      </c>
      <c r="C246">
        <v>70</v>
      </c>
      <c r="D246">
        <v>69.920303344999994</v>
      </c>
      <c r="E246">
        <v>40</v>
      </c>
      <c r="F246">
        <v>14.998314857</v>
      </c>
      <c r="G246">
        <v>1390.5224608999999</v>
      </c>
      <c r="H246">
        <v>1375.3621826000001</v>
      </c>
      <c r="I246">
        <v>1251.2972411999999</v>
      </c>
      <c r="J246">
        <v>1211.8253173999999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78.818719999999999</v>
      </c>
      <c r="B247" s="1">
        <f>DATE(2010,7,18) + TIME(19,38,57)</f>
        <v>40377.818715277775</v>
      </c>
      <c r="C247">
        <v>70</v>
      </c>
      <c r="D247">
        <v>69.920364379999995</v>
      </c>
      <c r="E247">
        <v>40</v>
      </c>
      <c r="F247">
        <v>14.998325348</v>
      </c>
      <c r="G247">
        <v>1390.4799805</v>
      </c>
      <c r="H247">
        <v>1375.3221435999999</v>
      </c>
      <c r="I247">
        <v>1251.3059082</v>
      </c>
      <c r="J247">
        <v>1211.8336182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79.343162000000007</v>
      </c>
      <c r="B248" s="1">
        <f>DATE(2010,7,19) + TIME(8,14,9)</f>
        <v>40378.343159722222</v>
      </c>
      <c r="C248">
        <v>70</v>
      </c>
      <c r="D248">
        <v>69.920417786000002</v>
      </c>
      <c r="E248">
        <v>40</v>
      </c>
      <c r="F248">
        <v>14.998333930999999</v>
      </c>
      <c r="G248">
        <v>1390.4378661999999</v>
      </c>
      <c r="H248">
        <v>1375.2824707</v>
      </c>
      <c r="I248">
        <v>1251.3146973</v>
      </c>
      <c r="J248">
        <v>1211.8419189000001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80.392045999999993</v>
      </c>
      <c r="B249" s="1">
        <f>DATE(2010,7,20) + TIME(9,24,32)</f>
        <v>40379.39203703704</v>
      </c>
      <c r="C249">
        <v>70</v>
      </c>
      <c r="D249">
        <v>69.920547485</v>
      </c>
      <c r="E249">
        <v>40</v>
      </c>
      <c r="F249">
        <v>14.998347281999999</v>
      </c>
      <c r="G249">
        <v>1390.3964844</v>
      </c>
      <c r="H249">
        <v>1375.2435303</v>
      </c>
      <c r="I249">
        <v>1251.3238524999999</v>
      </c>
      <c r="J249">
        <v>1211.8505858999999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81.441922000000005</v>
      </c>
      <c r="B250" s="1">
        <f>DATE(2010,7,21) + TIME(10,36,22)</f>
        <v>40380.441921296297</v>
      </c>
      <c r="C250">
        <v>70</v>
      </c>
      <c r="D250">
        <v>69.920669556000007</v>
      </c>
      <c r="E250">
        <v>40</v>
      </c>
      <c r="F250">
        <v>14.998362541000001</v>
      </c>
      <c r="G250">
        <v>1390.3138428</v>
      </c>
      <c r="H250">
        <v>1375.1656493999999</v>
      </c>
      <c r="I250">
        <v>1251.3413086</v>
      </c>
      <c r="J250">
        <v>1211.8673096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82.500407999999993</v>
      </c>
      <c r="B251" s="1">
        <f>DATE(2010,7,22) + TIME(12,0,35)</f>
        <v>40381.500405092593</v>
      </c>
      <c r="C251">
        <v>70</v>
      </c>
      <c r="D251">
        <v>69.920783997000001</v>
      </c>
      <c r="E251">
        <v>40</v>
      </c>
      <c r="F251">
        <v>14.998379707</v>
      </c>
      <c r="G251">
        <v>1390.2318115</v>
      </c>
      <c r="H251">
        <v>1375.0883789</v>
      </c>
      <c r="I251">
        <v>1251.3591309000001</v>
      </c>
      <c r="J251">
        <v>1211.8841553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83.569795999999997</v>
      </c>
      <c r="B252" s="1">
        <f>DATE(2010,7,23) + TIME(13,40,30)</f>
        <v>40382.569791666669</v>
      </c>
      <c r="C252">
        <v>70</v>
      </c>
      <c r="D252">
        <v>69.920906067000004</v>
      </c>
      <c r="E252">
        <v>40</v>
      </c>
      <c r="F252">
        <v>14.99839592</v>
      </c>
      <c r="G252">
        <v>1390.1500243999999</v>
      </c>
      <c r="H252">
        <v>1375.0113524999999</v>
      </c>
      <c r="I252">
        <v>1251.3770752</v>
      </c>
      <c r="J252">
        <v>1211.9013672000001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84.652480999999995</v>
      </c>
      <c r="B253" s="1">
        <f>DATE(2010,7,24) + TIME(15,39,34)</f>
        <v>40383.65247685185</v>
      </c>
      <c r="C253">
        <v>70</v>
      </c>
      <c r="D253">
        <v>69.921028136999993</v>
      </c>
      <c r="E253">
        <v>40</v>
      </c>
      <c r="F253">
        <v>14.99841404</v>
      </c>
      <c r="G253">
        <v>1390.0684814000001</v>
      </c>
      <c r="H253">
        <v>1374.9344481999999</v>
      </c>
      <c r="I253">
        <v>1251.3955077999999</v>
      </c>
      <c r="J253">
        <v>1211.9188231999999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85.750967000000003</v>
      </c>
      <c r="B254" s="1">
        <f>DATE(2010,7,25) + TIME(18,1,23)</f>
        <v>40384.750960648147</v>
      </c>
      <c r="C254">
        <v>70</v>
      </c>
      <c r="D254">
        <v>69.921150208</v>
      </c>
      <c r="E254">
        <v>40</v>
      </c>
      <c r="F254">
        <v>14.998431205999999</v>
      </c>
      <c r="G254">
        <v>1389.9869385</v>
      </c>
      <c r="H254">
        <v>1374.8575439000001</v>
      </c>
      <c r="I254">
        <v>1251.4143065999999</v>
      </c>
      <c r="J254">
        <v>1211.9366454999999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86.866508999999994</v>
      </c>
      <c r="B255" s="1">
        <f>DATE(2010,7,26) + TIME(20,47,46)</f>
        <v>40385.86650462963</v>
      </c>
      <c r="C255">
        <v>70</v>
      </c>
      <c r="D255">
        <v>69.921272278000004</v>
      </c>
      <c r="E255">
        <v>40</v>
      </c>
      <c r="F255">
        <v>14.998449325999999</v>
      </c>
      <c r="G255">
        <v>1389.9050293</v>
      </c>
      <c r="H255">
        <v>1374.7805175999999</v>
      </c>
      <c r="I255">
        <v>1251.4335937999999</v>
      </c>
      <c r="J255">
        <v>1211.9549560999999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87.993031000000002</v>
      </c>
      <c r="B256" s="1">
        <f>DATE(2010,7,27) + TIME(23,49,57)</f>
        <v>40386.993020833332</v>
      </c>
      <c r="C256">
        <v>70</v>
      </c>
      <c r="D256">
        <v>69.921401978000006</v>
      </c>
      <c r="E256">
        <v>40</v>
      </c>
      <c r="F256">
        <v>14.998466492</v>
      </c>
      <c r="G256">
        <v>1389.8229980000001</v>
      </c>
      <c r="H256">
        <v>1374.7032471</v>
      </c>
      <c r="I256">
        <v>1251.4533690999999</v>
      </c>
      <c r="J256">
        <v>1211.9737548999999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89.130909000000003</v>
      </c>
      <c r="B257" s="1">
        <f>DATE(2010,7,29) + TIME(3,8,30)</f>
        <v>40388.130902777775</v>
      </c>
      <c r="C257">
        <v>70</v>
      </c>
      <c r="D257">
        <v>69.921524047999995</v>
      </c>
      <c r="E257">
        <v>40</v>
      </c>
      <c r="F257">
        <v>14.998484612</v>
      </c>
      <c r="G257">
        <v>1389.7410889</v>
      </c>
      <c r="H257">
        <v>1374.6259766000001</v>
      </c>
      <c r="I257">
        <v>1251.4735106999999</v>
      </c>
      <c r="J257">
        <v>1211.9927978999999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90.275229999999993</v>
      </c>
      <c r="B258" s="1">
        <f>DATE(2010,7,30) + TIME(6,36,19)</f>
        <v>40389.275219907409</v>
      </c>
      <c r="C258">
        <v>70</v>
      </c>
      <c r="D258">
        <v>69.921653747999997</v>
      </c>
      <c r="E258">
        <v>40</v>
      </c>
      <c r="F258">
        <v>14.998502731</v>
      </c>
      <c r="G258">
        <v>1389.6594238</v>
      </c>
      <c r="H258">
        <v>1374.5489502</v>
      </c>
      <c r="I258">
        <v>1251.4940185999999</v>
      </c>
      <c r="J258">
        <v>1212.0123291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91.426699999999997</v>
      </c>
      <c r="B259" s="1">
        <f>DATE(2010,7,31) + TIME(10,14,26)</f>
        <v>40390.426689814813</v>
      </c>
      <c r="C259">
        <v>70</v>
      </c>
      <c r="D259">
        <v>69.921775818</v>
      </c>
      <c r="E259">
        <v>40</v>
      </c>
      <c r="F259">
        <v>14.998520851</v>
      </c>
      <c r="G259">
        <v>1389.578125</v>
      </c>
      <c r="H259">
        <v>1374.4724120999999</v>
      </c>
      <c r="I259">
        <v>1251.5148925999999</v>
      </c>
      <c r="J259">
        <v>1212.0321045000001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92</v>
      </c>
      <c r="B260" s="1">
        <f>DATE(2010,8,1) + TIME(0,0,0)</f>
        <v>40391</v>
      </c>
      <c r="C260">
        <v>70</v>
      </c>
      <c r="D260">
        <v>69.921829224000007</v>
      </c>
      <c r="E260">
        <v>40</v>
      </c>
      <c r="F260">
        <v>14.998534203</v>
      </c>
      <c r="G260">
        <v>1389.4971923999999</v>
      </c>
      <c r="H260">
        <v>1374.3961182</v>
      </c>
      <c r="I260">
        <v>1251.5356445</v>
      </c>
      <c r="J260">
        <v>1212.0516356999999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93.155437000000006</v>
      </c>
      <c r="B261" s="1">
        <f>DATE(2010,8,2) + TIME(3,43,49)</f>
        <v>40392.155428240738</v>
      </c>
      <c r="C261">
        <v>70</v>
      </c>
      <c r="D261">
        <v>69.921966553000004</v>
      </c>
      <c r="E261">
        <v>40</v>
      </c>
      <c r="F261">
        <v>14.998550415</v>
      </c>
      <c r="G261">
        <v>1389.4571533000001</v>
      </c>
      <c r="H261">
        <v>1374.3583983999999</v>
      </c>
      <c r="I261">
        <v>1251.546875</v>
      </c>
      <c r="J261">
        <v>1212.0623779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94.319226</v>
      </c>
      <c r="B262" s="1">
        <f>DATE(2010,8,3) + TIME(7,39,41)</f>
        <v>40393.319224537037</v>
      </c>
      <c r="C262">
        <v>70</v>
      </c>
      <c r="D262">
        <v>69.922096252000003</v>
      </c>
      <c r="E262">
        <v>40</v>
      </c>
      <c r="F262">
        <v>14.998567581</v>
      </c>
      <c r="G262">
        <v>1389.3776855000001</v>
      </c>
      <c r="H262">
        <v>1374.2835693</v>
      </c>
      <c r="I262">
        <v>1251.5684814000001</v>
      </c>
      <c r="J262">
        <v>1212.0827637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95.491748999999999</v>
      </c>
      <c r="B263" s="1">
        <f>DATE(2010,8,4) + TIME(11,48,7)</f>
        <v>40394.491747685184</v>
      </c>
      <c r="C263">
        <v>70</v>
      </c>
      <c r="D263">
        <v>69.922225952000005</v>
      </c>
      <c r="E263">
        <v>40</v>
      </c>
      <c r="F263">
        <v>14.998586655</v>
      </c>
      <c r="G263">
        <v>1389.2984618999999</v>
      </c>
      <c r="H263">
        <v>1374.2087402</v>
      </c>
      <c r="I263">
        <v>1251.5904541</v>
      </c>
      <c r="J263">
        <v>1212.1036377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96.675646999999998</v>
      </c>
      <c r="B264" s="1">
        <f>DATE(2010,8,5) + TIME(16,12,55)</f>
        <v>40395.675636574073</v>
      </c>
      <c r="C264">
        <v>70</v>
      </c>
      <c r="D264">
        <v>69.922355651999993</v>
      </c>
      <c r="E264">
        <v>40</v>
      </c>
      <c r="F264">
        <v>14.998605727999999</v>
      </c>
      <c r="G264">
        <v>1389.2193603999999</v>
      </c>
      <c r="H264">
        <v>1374.1342772999999</v>
      </c>
      <c r="I264">
        <v>1251.6129149999999</v>
      </c>
      <c r="J264">
        <v>1212.1247559000001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97.870080999999999</v>
      </c>
      <c r="B265" s="1">
        <f>DATE(2010,8,6) + TIME(20,52,54)</f>
        <v>40396.870069444441</v>
      </c>
      <c r="C265">
        <v>70</v>
      </c>
      <c r="D265">
        <v>69.922485351999995</v>
      </c>
      <c r="E265">
        <v>40</v>
      </c>
      <c r="F265">
        <v>14.998624802</v>
      </c>
      <c r="G265">
        <v>1389.1405029</v>
      </c>
      <c r="H265">
        <v>1374.0599365</v>
      </c>
      <c r="I265">
        <v>1251.6357422000001</v>
      </c>
      <c r="J265">
        <v>1212.1463623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99.071252000000001</v>
      </c>
      <c r="B266" s="1">
        <f>DATE(2010,8,8) + TIME(1,42,36)</f>
        <v>40398.071250000001</v>
      </c>
      <c r="C266">
        <v>70</v>
      </c>
      <c r="D266">
        <v>69.922615050999994</v>
      </c>
      <c r="E266">
        <v>40</v>
      </c>
      <c r="F266">
        <v>14.998645782000001</v>
      </c>
      <c r="G266">
        <v>1389.0617675999999</v>
      </c>
      <c r="H266">
        <v>1373.9857178</v>
      </c>
      <c r="I266">
        <v>1251.6591797000001</v>
      </c>
      <c r="J266">
        <v>1212.168457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100.27799400000001</v>
      </c>
      <c r="B267" s="1">
        <f>DATE(2010,8,9) + TIME(6,40,18)</f>
        <v>40399.277986111112</v>
      </c>
      <c r="C267">
        <v>70</v>
      </c>
      <c r="D267">
        <v>69.922744750999996</v>
      </c>
      <c r="E267">
        <v>40</v>
      </c>
      <c r="F267">
        <v>14.998666762999999</v>
      </c>
      <c r="G267">
        <v>1388.9835204999999</v>
      </c>
      <c r="H267">
        <v>1373.9119873</v>
      </c>
      <c r="I267">
        <v>1251.6829834</v>
      </c>
      <c r="J267">
        <v>1212.190918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101.48712500000001</v>
      </c>
      <c r="B268" s="1">
        <f>DATE(2010,8,10) + TIME(11,41,27)</f>
        <v>40400.487118055556</v>
      </c>
      <c r="C268">
        <v>70</v>
      </c>
      <c r="D268">
        <v>69.922874450999998</v>
      </c>
      <c r="E268">
        <v>40</v>
      </c>
      <c r="F268">
        <v>14.998688698</v>
      </c>
      <c r="G268">
        <v>1388.9056396000001</v>
      </c>
      <c r="H268">
        <v>1373.8386230000001</v>
      </c>
      <c r="I268">
        <v>1251.7070312000001</v>
      </c>
      <c r="J268">
        <v>1212.2136230000001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102.701638</v>
      </c>
      <c r="B269" s="1">
        <f>DATE(2010,8,11) + TIME(16,50,21)</f>
        <v>40401.701631944445</v>
      </c>
      <c r="C269">
        <v>70</v>
      </c>
      <c r="D269">
        <v>69.923011779999996</v>
      </c>
      <c r="E269">
        <v>40</v>
      </c>
      <c r="F269">
        <v>14.998711586000001</v>
      </c>
      <c r="G269">
        <v>1388.8286132999999</v>
      </c>
      <c r="H269">
        <v>1373.7659911999999</v>
      </c>
      <c r="I269">
        <v>1251.7315673999999</v>
      </c>
      <c r="J269">
        <v>1212.2366943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103.924147</v>
      </c>
      <c r="B270" s="1">
        <f>DATE(2010,8,12) + TIME(22,10,46)</f>
        <v>40402.924143518518</v>
      </c>
      <c r="C270">
        <v>70</v>
      </c>
      <c r="D270">
        <v>69.923141478999995</v>
      </c>
      <c r="E270">
        <v>40</v>
      </c>
      <c r="F270">
        <v>14.998735428</v>
      </c>
      <c r="G270">
        <v>1388.7519531</v>
      </c>
      <c r="H270">
        <v>1373.6937256000001</v>
      </c>
      <c r="I270">
        <v>1251.7564697</v>
      </c>
      <c r="J270">
        <v>1212.2601318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105.15765399999999</v>
      </c>
      <c r="B271" s="1">
        <f>DATE(2010,8,14) + TIME(3,47,1)</f>
        <v>40404.157650462963</v>
      </c>
      <c r="C271">
        <v>70</v>
      </c>
      <c r="D271">
        <v>69.923271178999997</v>
      </c>
      <c r="E271">
        <v>40</v>
      </c>
      <c r="F271">
        <v>14.998761177</v>
      </c>
      <c r="G271">
        <v>1388.6757812000001</v>
      </c>
      <c r="H271">
        <v>1373.6217041</v>
      </c>
      <c r="I271">
        <v>1251.7818603999999</v>
      </c>
      <c r="J271">
        <v>1212.2840576000001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106.405017</v>
      </c>
      <c r="B272" s="1">
        <f>DATE(2010,8,15) + TIME(9,43,13)</f>
        <v>40405.405011574076</v>
      </c>
      <c r="C272">
        <v>70</v>
      </c>
      <c r="D272">
        <v>69.923408507999994</v>
      </c>
      <c r="E272">
        <v>40</v>
      </c>
      <c r="F272">
        <v>14.998789787</v>
      </c>
      <c r="G272">
        <v>1388.5996094</v>
      </c>
      <c r="H272">
        <v>1373.5499268000001</v>
      </c>
      <c r="I272">
        <v>1251.8077393000001</v>
      </c>
      <c r="J272">
        <v>1212.3084716999999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107.669202</v>
      </c>
      <c r="B273" s="1">
        <f>DATE(2010,8,16) + TIME(16,3,39)</f>
        <v>40406.66920138889</v>
      </c>
      <c r="C273">
        <v>70</v>
      </c>
      <c r="D273">
        <v>69.923545837000006</v>
      </c>
      <c r="E273">
        <v>40</v>
      </c>
      <c r="F273">
        <v>14.998820305000001</v>
      </c>
      <c r="G273">
        <v>1388.5233154</v>
      </c>
      <c r="H273">
        <v>1373.4780272999999</v>
      </c>
      <c r="I273">
        <v>1251.8343506000001</v>
      </c>
      <c r="J273">
        <v>1212.333374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108.302179</v>
      </c>
      <c r="B274" s="1">
        <f>DATE(2010,8,17) + TIME(7,15,8)</f>
        <v>40407.302175925928</v>
      </c>
      <c r="C274">
        <v>70</v>
      </c>
      <c r="D274">
        <v>69.923606872999997</v>
      </c>
      <c r="E274">
        <v>40</v>
      </c>
      <c r="F274">
        <v>14.9988451</v>
      </c>
      <c r="G274">
        <v>1388.4467772999999</v>
      </c>
      <c r="H274">
        <v>1373.4057617000001</v>
      </c>
      <c r="I274">
        <v>1251.8612060999999</v>
      </c>
      <c r="J274">
        <v>1212.3586425999999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108.93515499999999</v>
      </c>
      <c r="B275" s="1">
        <f>DATE(2010,8,17) + TIME(22,26,37)</f>
        <v>40407.935150462959</v>
      </c>
      <c r="C275">
        <v>70</v>
      </c>
      <c r="D275">
        <v>69.923667907999999</v>
      </c>
      <c r="E275">
        <v>40</v>
      </c>
      <c r="F275">
        <v>14.998867989000001</v>
      </c>
      <c r="G275">
        <v>1388.4082031</v>
      </c>
      <c r="H275">
        <v>1373.3692627</v>
      </c>
      <c r="I275">
        <v>1251.8752440999999</v>
      </c>
      <c r="J275">
        <v>1212.3717041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109.56813200000001</v>
      </c>
      <c r="B276" s="1">
        <f>DATE(2010,8,18) + TIME(13,38,6)</f>
        <v>40408.568124999998</v>
      </c>
      <c r="C276">
        <v>70</v>
      </c>
      <c r="D276">
        <v>69.923736571999996</v>
      </c>
      <c r="E276">
        <v>40</v>
      </c>
      <c r="F276">
        <v>14.998889923</v>
      </c>
      <c r="G276">
        <v>1388.3703613</v>
      </c>
      <c r="H276">
        <v>1373.3336182</v>
      </c>
      <c r="I276">
        <v>1251.8891602000001</v>
      </c>
      <c r="J276">
        <v>1212.3848877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110.201109</v>
      </c>
      <c r="B277" s="1">
        <f>DATE(2010,8,19) + TIME(4,49,35)</f>
        <v>40409.201099537036</v>
      </c>
      <c r="C277">
        <v>70</v>
      </c>
      <c r="D277">
        <v>69.923805236999996</v>
      </c>
      <c r="E277">
        <v>40</v>
      </c>
      <c r="F277">
        <v>14.998912811</v>
      </c>
      <c r="G277">
        <v>1388.3327637</v>
      </c>
      <c r="H277">
        <v>1373.2980957</v>
      </c>
      <c r="I277">
        <v>1251.9031981999999</v>
      </c>
      <c r="J277">
        <v>1212.3980713000001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110.834085</v>
      </c>
      <c r="B278" s="1">
        <f>DATE(2010,8,19) + TIME(20,1,4)</f>
        <v>40409.834074074075</v>
      </c>
      <c r="C278">
        <v>70</v>
      </c>
      <c r="D278">
        <v>69.923873900999993</v>
      </c>
      <c r="E278">
        <v>40</v>
      </c>
      <c r="F278">
        <v>14.998936652999999</v>
      </c>
      <c r="G278">
        <v>1388.2952881000001</v>
      </c>
      <c r="H278">
        <v>1373.2626952999999</v>
      </c>
      <c r="I278">
        <v>1251.9173584</v>
      </c>
      <c r="J278">
        <v>1212.4112548999999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111.467062</v>
      </c>
      <c r="B279" s="1">
        <f>DATE(2010,8,20) + TIME(11,12,34)</f>
        <v>40410.467060185183</v>
      </c>
      <c r="C279">
        <v>70</v>
      </c>
      <c r="D279">
        <v>69.923934936999999</v>
      </c>
      <c r="E279">
        <v>40</v>
      </c>
      <c r="F279">
        <v>14.998960495</v>
      </c>
      <c r="G279">
        <v>1388.2580565999999</v>
      </c>
      <c r="H279">
        <v>1373.2275391000001</v>
      </c>
      <c r="I279">
        <v>1251.9316406</v>
      </c>
      <c r="J279">
        <v>1212.4246826000001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112.100039</v>
      </c>
      <c r="B280" s="1">
        <f>DATE(2010,8,21) + TIME(2,24,3)</f>
        <v>40411.100034722222</v>
      </c>
      <c r="C280">
        <v>70</v>
      </c>
      <c r="D280">
        <v>69.924003600999995</v>
      </c>
      <c r="E280">
        <v>40</v>
      </c>
      <c r="F280">
        <v>14.998986243999999</v>
      </c>
      <c r="G280">
        <v>1388.2209473</v>
      </c>
      <c r="H280">
        <v>1373.1925048999999</v>
      </c>
      <c r="I280">
        <v>1251.9460449000001</v>
      </c>
      <c r="J280">
        <v>1212.4381103999999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112.73301600000001</v>
      </c>
      <c r="B281" s="1">
        <f>DATE(2010,8,21) + TIME(17,35,32)</f>
        <v>40411.73300925926</v>
      </c>
      <c r="C281">
        <v>70</v>
      </c>
      <c r="D281">
        <v>69.924072265999996</v>
      </c>
      <c r="E281">
        <v>40</v>
      </c>
      <c r="F281">
        <v>14.999013901</v>
      </c>
      <c r="G281">
        <v>1388.184082</v>
      </c>
      <c r="H281">
        <v>1373.1577147999999</v>
      </c>
      <c r="I281">
        <v>1251.9604492000001</v>
      </c>
      <c r="J281">
        <v>1212.4516602000001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113.36599200000001</v>
      </c>
      <c r="B282" s="1">
        <f>DATE(2010,8,22) + TIME(8,47,1)</f>
        <v>40412.365983796299</v>
      </c>
      <c r="C282">
        <v>70</v>
      </c>
      <c r="D282">
        <v>69.924140929999993</v>
      </c>
      <c r="E282">
        <v>40</v>
      </c>
      <c r="F282">
        <v>14.999043465</v>
      </c>
      <c r="G282">
        <v>1388.1474608999999</v>
      </c>
      <c r="H282">
        <v>1373.1230469</v>
      </c>
      <c r="I282">
        <v>1251.9749756000001</v>
      </c>
      <c r="J282">
        <v>1212.465332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113.998969</v>
      </c>
      <c r="B283" s="1">
        <f>DATE(2010,8,22) + TIME(23,58,30)</f>
        <v>40412.99895833333</v>
      </c>
      <c r="C283">
        <v>70</v>
      </c>
      <c r="D283">
        <v>69.924209594999994</v>
      </c>
      <c r="E283">
        <v>40</v>
      </c>
      <c r="F283">
        <v>14.999074936</v>
      </c>
      <c r="G283">
        <v>1388.1109618999999</v>
      </c>
      <c r="H283">
        <v>1373.0886230000001</v>
      </c>
      <c r="I283">
        <v>1251.989624</v>
      </c>
      <c r="J283">
        <v>1212.4790039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114.631946</v>
      </c>
      <c r="B284" s="1">
        <f>DATE(2010,8,23) + TIME(15,10,0)</f>
        <v>40413.631944444445</v>
      </c>
      <c r="C284">
        <v>70</v>
      </c>
      <c r="D284">
        <v>69.924278259000005</v>
      </c>
      <c r="E284">
        <v>40</v>
      </c>
      <c r="F284">
        <v>14.999108315000001</v>
      </c>
      <c r="G284">
        <v>1388.0745850000001</v>
      </c>
      <c r="H284">
        <v>1373.0543213000001</v>
      </c>
      <c r="I284">
        <v>1252.0043945</v>
      </c>
      <c r="J284">
        <v>1212.4927978999999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115.264923</v>
      </c>
      <c r="B285" s="1">
        <f>DATE(2010,8,24) + TIME(6,21,29)</f>
        <v>40414.264918981484</v>
      </c>
      <c r="C285">
        <v>70</v>
      </c>
      <c r="D285">
        <v>69.924339294000006</v>
      </c>
      <c r="E285">
        <v>40</v>
      </c>
      <c r="F285">
        <v>14.999145508</v>
      </c>
      <c r="G285">
        <v>1388.0384521000001</v>
      </c>
      <c r="H285">
        <v>1373.0201416</v>
      </c>
      <c r="I285">
        <v>1252.0192870999999</v>
      </c>
      <c r="J285">
        <v>1212.5067139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115.897899</v>
      </c>
      <c r="B286" s="1">
        <f>DATE(2010,8,24) + TIME(21,32,58)</f>
        <v>40414.897893518515</v>
      </c>
      <c r="C286">
        <v>70</v>
      </c>
      <c r="D286">
        <v>69.924407959000007</v>
      </c>
      <c r="E286">
        <v>40</v>
      </c>
      <c r="F286">
        <v>14.999184608</v>
      </c>
      <c r="G286">
        <v>1388.0024414</v>
      </c>
      <c r="H286">
        <v>1372.9860839999999</v>
      </c>
      <c r="I286">
        <v>1252.0343018000001</v>
      </c>
      <c r="J286">
        <v>1212.5207519999999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117.163853</v>
      </c>
      <c r="B287" s="1">
        <f>DATE(2010,8,26) + TIME(3,55,56)</f>
        <v>40416.163842592592</v>
      </c>
      <c r="C287">
        <v>70</v>
      </c>
      <c r="D287">
        <v>69.924552917</v>
      </c>
      <c r="E287">
        <v>40</v>
      </c>
      <c r="F287">
        <v>14.999242783</v>
      </c>
      <c r="G287">
        <v>1387.9671631000001</v>
      </c>
      <c r="H287">
        <v>1372.9527588000001</v>
      </c>
      <c r="I287">
        <v>1252.0496826000001</v>
      </c>
      <c r="J287">
        <v>1212.5352783000001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118.43423300000001</v>
      </c>
      <c r="B288" s="1">
        <f>DATE(2010,8,27) + TIME(10,25,17)</f>
        <v>40417.434224537035</v>
      </c>
      <c r="C288">
        <v>70</v>
      </c>
      <c r="D288">
        <v>69.924682617000002</v>
      </c>
      <c r="E288">
        <v>40</v>
      </c>
      <c r="F288">
        <v>14.999326706</v>
      </c>
      <c r="G288">
        <v>1387.8963623</v>
      </c>
      <c r="H288">
        <v>1372.8859863</v>
      </c>
      <c r="I288">
        <v>1252.0799560999999</v>
      </c>
      <c r="J288">
        <v>1212.5635986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119.724322</v>
      </c>
      <c r="B289" s="1">
        <f>DATE(2010,8,28) + TIME(17,23,1)</f>
        <v>40418.724317129629</v>
      </c>
      <c r="C289">
        <v>70</v>
      </c>
      <c r="D289">
        <v>69.924819946</v>
      </c>
      <c r="E289">
        <v>40</v>
      </c>
      <c r="F289">
        <v>14.999429703000001</v>
      </c>
      <c r="G289">
        <v>1387.8258057</v>
      </c>
      <c r="H289">
        <v>1372.8192139</v>
      </c>
      <c r="I289">
        <v>1252.1109618999999</v>
      </c>
      <c r="J289">
        <v>1212.5924072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121.037148</v>
      </c>
      <c r="B290" s="1">
        <f>DATE(2010,8,30) + TIME(0,53,29)</f>
        <v>40420.037141203706</v>
      </c>
      <c r="C290">
        <v>70</v>
      </c>
      <c r="D290">
        <v>69.924957274999997</v>
      </c>
      <c r="E290">
        <v>40</v>
      </c>
      <c r="F290">
        <v>14.999554634000001</v>
      </c>
      <c r="G290">
        <v>1387.7546387</v>
      </c>
      <c r="H290">
        <v>1372.7521973</v>
      </c>
      <c r="I290">
        <v>1252.1429443</v>
      </c>
      <c r="J290">
        <v>1212.6221923999999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122.37312300000001</v>
      </c>
      <c r="B291" s="1">
        <f>DATE(2010,8,31) + TIME(8,57,17)</f>
        <v>40421.373113425929</v>
      </c>
      <c r="C291">
        <v>70</v>
      </c>
      <c r="D291">
        <v>69.925094603999995</v>
      </c>
      <c r="E291">
        <v>40</v>
      </c>
      <c r="F291">
        <v>14.999703407</v>
      </c>
      <c r="G291">
        <v>1387.6831055</v>
      </c>
      <c r="H291">
        <v>1372.6844481999999</v>
      </c>
      <c r="I291">
        <v>1252.1759033000001</v>
      </c>
      <c r="J291">
        <v>1212.6530762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123</v>
      </c>
      <c r="B292" s="1">
        <f>DATE(2010,9,1) + TIME(0,0,0)</f>
        <v>40422</v>
      </c>
      <c r="C292">
        <v>70</v>
      </c>
      <c r="D292">
        <v>69.92515564</v>
      </c>
      <c r="E292">
        <v>40</v>
      </c>
      <c r="F292">
        <v>14.999827385</v>
      </c>
      <c r="G292">
        <v>1387.6107178</v>
      </c>
      <c r="H292">
        <v>1372.6160889</v>
      </c>
      <c r="I292">
        <v>1252.2094727000001</v>
      </c>
      <c r="J292">
        <v>1212.6843262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123.669335</v>
      </c>
      <c r="B293" s="1">
        <f>DATE(2010,9,1) + TIME(16,3,50)</f>
        <v>40422.669328703705</v>
      </c>
      <c r="C293">
        <v>70</v>
      </c>
      <c r="D293">
        <v>69.925224303999997</v>
      </c>
      <c r="E293">
        <v>40</v>
      </c>
      <c r="F293">
        <v>14.999947548</v>
      </c>
      <c r="G293">
        <v>1387.5764160000001</v>
      </c>
      <c r="H293">
        <v>1372.5836182</v>
      </c>
      <c r="I293">
        <v>1252.2261963000001</v>
      </c>
      <c r="J293">
        <v>1212.6998291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124.33866999999999</v>
      </c>
      <c r="B294" s="1">
        <f>DATE(2010,9,2) + TIME(8,7,41)</f>
        <v>40423.33866898148</v>
      </c>
      <c r="C294">
        <v>70</v>
      </c>
      <c r="D294">
        <v>69.925292968999997</v>
      </c>
      <c r="E294">
        <v>40</v>
      </c>
      <c r="F294">
        <v>15.000070572</v>
      </c>
      <c r="G294">
        <v>1387.5405272999999</v>
      </c>
      <c r="H294">
        <v>1372.5496826000001</v>
      </c>
      <c r="I294">
        <v>1252.2437743999999</v>
      </c>
      <c r="J294">
        <v>1212.7161865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125.00800599999999</v>
      </c>
      <c r="B295" s="1">
        <f>DATE(2010,9,3) + TIME(0,11,31)</f>
        <v>40424.007997685185</v>
      </c>
      <c r="C295">
        <v>70</v>
      </c>
      <c r="D295">
        <v>69.925361632999994</v>
      </c>
      <c r="E295">
        <v>40</v>
      </c>
      <c r="F295">
        <v>15.000198363999999</v>
      </c>
      <c r="G295">
        <v>1387.5048827999999</v>
      </c>
      <c r="H295">
        <v>1372.5159911999999</v>
      </c>
      <c r="I295">
        <v>1252.2614745999999</v>
      </c>
      <c r="J295">
        <v>1212.7327881000001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125.677341</v>
      </c>
      <c r="B296" s="1">
        <f>DATE(2010,9,3) + TIME(16,15,22)</f>
        <v>40424.677337962959</v>
      </c>
      <c r="C296">
        <v>70</v>
      </c>
      <c r="D296">
        <v>69.925430297999995</v>
      </c>
      <c r="E296">
        <v>40</v>
      </c>
      <c r="F296">
        <v>15.00033474</v>
      </c>
      <c r="G296">
        <v>1387.4693603999999</v>
      </c>
      <c r="H296">
        <v>1372.4824219</v>
      </c>
      <c r="I296">
        <v>1252.2794189000001</v>
      </c>
      <c r="J296">
        <v>1212.7493896000001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126.346676</v>
      </c>
      <c r="B297" s="1">
        <f>DATE(2010,9,4) + TIME(8,19,12)</f>
        <v>40425.346666666665</v>
      </c>
      <c r="C297">
        <v>70</v>
      </c>
      <c r="D297">
        <v>69.925498962000006</v>
      </c>
      <c r="E297">
        <v>40</v>
      </c>
      <c r="F297">
        <v>15.000480652</v>
      </c>
      <c r="G297">
        <v>1387.4339600000001</v>
      </c>
      <c r="H297">
        <v>1372.4489745999999</v>
      </c>
      <c r="I297">
        <v>1252.2973632999999</v>
      </c>
      <c r="J297">
        <v>1212.7662353999999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127.01601100000001</v>
      </c>
      <c r="B298" s="1">
        <f>DATE(2010,9,5) + TIME(0,23,3)</f>
        <v>40426.016006944446</v>
      </c>
      <c r="C298">
        <v>70</v>
      </c>
      <c r="D298">
        <v>69.925567627000007</v>
      </c>
      <c r="E298">
        <v>40</v>
      </c>
      <c r="F298">
        <v>15.000638962</v>
      </c>
      <c r="G298">
        <v>1387.3988036999999</v>
      </c>
      <c r="H298">
        <v>1372.4156493999999</v>
      </c>
      <c r="I298">
        <v>1252.3156738</v>
      </c>
      <c r="J298">
        <v>1212.7832031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127.685346</v>
      </c>
      <c r="B299" s="1">
        <f>DATE(2010,9,5) + TIME(16,26,53)</f>
        <v>40426.685335648152</v>
      </c>
      <c r="C299">
        <v>70</v>
      </c>
      <c r="D299">
        <v>69.925636291999993</v>
      </c>
      <c r="E299">
        <v>40</v>
      </c>
      <c r="F299">
        <v>15.000810623</v>
      </c>
      <c r="G299">
        <v>1387.3637695</v>
      </c>
      <c r="H299">
        <v>1372.3824463000001</v>
      </c>
      <c r="I299">
        <v>1252.3341064000001</v>
      </c>
      <c r="J299">
        <v>1212.8004149999999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128.354682</v>
      </c>
      <c r="B300" s="1">
        <f>DATE(2010,9,6) + TIME(8,30,44)</f>
        <v>40427.354675925926</v>
      </c>
      <c r="C300">
        <v>70</v>
      </c>
      <c r="D300">
        <v>69.925704956000004</v>
      </c>
      <c r="E300">
        <v>40</v>
      </c>
      <c r="F300">
        <v>15.00099659</v>
      </c>
      <c r="G300">
        <v>1387.3288574000001</v>
      </c>
      <c r="H300">
        <v>1372.3493652</v>
      </c>
      <c r="I300">
        <v>1252.3526611</v>
      </c>
      <c r="J300">
        <v>1212.8176269999999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129.02401699999999</v>
      </c>
      <c r="B301" s="1">
        <f>DATE(2010,9,7) + TIME(0,34,35)</f>
        <v>40428.024016203701</v>
      </c>
      <c r="C301">
        <v>70</v>
      </c>
      <c r="D301">
        <v>69.925773621000005</v>
      </c>
      <c r="E301">
        <v>40</v>
      </c>
      <c r="F301">
        <v>15.001197814999999</v>
      </c>
      <c r="G301">
        <v>1387.2940673999999</v>
      </c>
      <c r="H301">
        <v>1372.3165283000001</v>
      </c>
      <c r="I301">
        <v>1252.3713379000001</v>
      </c>
      <c r="J301">
        <v>1212.8350829999999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130.36268699999999</v>
      </c>
      <c r="B302" s="1">
        <f>DATE(2010,9,8) + TIME(8,42,16)</f>
        <v>40429.362685185188</v>
      </c>
      <c r="C302">
        <v>70</v>
      </c>
      <c r="D302">
        <v>69.925918578999998</v>
      </c>
      <c r="E302">
        <v>40</v>
      </c>
      <c r="F302">
        <v>15.001502037</v>
      </c>
      <c r="G302">
        <v>1387.2598877</v>
      </c>
      <c r="H302">
        <v>1372.2841797000001</v>
      </c>
      <c r="I302">
        <v>1252.390625</v>
      </c>
      <c r="J302">
        <v>1212.8531493999999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131.70277400000001</v>
      </c>
      <c r="B303" s="1">
        <f>DATE(2010,9,9) + TIME(16,51,59)</f>
        <v>40430.702766203707</v>
      </c>
      <c r="C303">
        <v>70</v>
      </c>
      <c r="D303">
        <v>69.926055907999995</v>
      </c>
      <c r="E303">
        <v>40</v>
      </c>
      <c r="F303">
        <v>15.001936913</v>
      </c>
      <c r="G303">
        <v>1387.1915283000001</v>
      </c>
      <c r="H303">
        <v>1372.2194824000001</v>
      </c>
      <c r="I303">
        <v>1252.4287108999999</v>
      </c>
      <c r="J303">
        <v>1212.8885498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133.06485699999999</v>
      </c>
      <c r="B304" s="1">
        <f>DATE(2010,9,11) + TIME(1,33,23)</f>
        <v>40432.064849537041</v>
      </c>
      <c r="C304">
        <v>70</v>
      </c>
      <c r="D304">
        <v>69.926200867000006</v>
      </c>
      <c r="E304">
        <v>40</v>
      </c>
      <c r="F304">
        <v>15.002480507</v>
      </c>
      <c r="G304">
        <v>1387.1232910000001</v>
      </c>
      <c r="H304">
        <v>1372.1549072</v>
      </c>
      <c r="I304">
        <v>1252.4676514</v>
      </c>
      <c r="J304">
        <v>1212.9248047000001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133.75848199999999</v>
      </c>
      <c r="B305" s="1">
        <f>DATE(2010,9,11) + TIME(18,12,12)</f>
        <v>40432.758472222224</v>
      </c>
      <c r="C305">
        <v>70</v>
      </c>
      <c r="D305">
        <v>69.926261901999993</v>
      </c>
      <c r="E305">
        <v>40</v>
      </c>
      <c r="F305">
        <v>15.002954483</v>
      </c>
      <c r="G305">
        <v>1387.0544434000001</v>
      </c>
      <c r="H305">
        <v>1372.0897216999999</v>
      </c>
      <c r="I305">
        <v>1252.5076904</v>
      </c>
      <c r="J305">
        <v>1212.9620361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134.45210700000001</v>
      </c>
      <c r="B306" s="1">
        <f>DATE(2010,9,12) + TIME(10,51,2)</f>
        <v>40433.452106481483</v>
      </c>
      <c r="C306">
        <v>70</v>
      </c>
      <c r="D306">
        <v>69.926330566000004</v>
      </c>
      <c r="E306">
        <v>40</v>
      </c>
      <c r="F306">
        <v>15.003408432000001</v>
      </c>
      <c r="G306">
        <v>1387.019043</v>
      </c>
      <c r="H306">
        <v>1372.0562743999999</v>
      </c>
      <c r="I306">
        <v>1252.5289307</v>
      </c>
      <c r="J306">
        <v>1212.9818115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135.14573100000001</v>
      </c>
      <c r="B307" s="1">
        <f>DATE(2010,9,13) + TIME(3,29,51)</f>
        <v>40434.145729166667</v>
      </c>
      <c r="C307">
        <v>70</v>
      </c>
      <c r="D307">
        <v>69.926399231000005</v>
      </c>
      <c r="E307">
        <v>40</v>
      </c>
      <c r="F307">
        <v>15.003867149</v>
      </c>
      <c r="G307">
        <v>1386.984375</v>
      </c>
      <c r="H307">
        <v>1372.0233154</v>
      </c>
      <c r="I307">
        <v>1252.5501709</v>
      </c>
      <c r="J307">
        <v>1213.0017089999999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135.83851300000001</v>
      </c>
      <c r="B308" s="1">
        <f>DATE(2010,9,13) + TIME(20,7,27)</f>
        <v>40434.838506944441</v>
      </c>
      <c r="C308">
        <v>70</v>
      </c>
      <c r="D308">
        <v>69.926467896000005</v>
      </c>
      <c r="E308">
        <v>40</v>
      </c>
      <c r="F308">
        <v>15.004345894</v>
      </c>
      <c r="G308">
        <v>1386.949707</v>
      </c>
      <c r="H308">
        <v>1371.9906006000001</v>
      </c>
      <c r="I308">
        <v>1252.5717772999999</v>
      </c>
      <c r="J308">
        <v>1213.0218506000001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136.53019900000001</v>
      </c>
      <c r="B309" s="1">
        <f>DATE(2010,9,14) + TIME(12,43,29)</f>
        <v>40435.53019675926</v>
      </c>
      <c r="C309">
        <v>70</v>
      </c>
      <c r="D309">
        <v>69.926536560000002</v>
      </c>
      <c r="E309">
        <v>40</v>
      </c>
      <c r="F309">
        <v>15.004852294999999</v>
      </c>
      <c r="G309">
        <v>1386.9154053</v>
      </c>
      <c r="H309">
        <v>1371.9580077999999</v>
      </c>
      <c r="I309">
        <v>1252.5935059000001</v>
      </c>
      <c r="J309">
        <v>1213.0421143000001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137.221226</v>
      </c>
      <c r="B310" s="1">
        <f>DATE(2010,9,15) + TIME(5,18,33)</f>
        <v>40436.221215277779</v>
      </c>
      <c r="C310">
        <v>70</v>
      </c>
      <c r="D310">
        <v>69.926612853999998</v>
      </c>
      <c r="E310">
        <v>40</v>
      </c>
      <c r="F310">
        <v>15.005394936</v>
      </c>
      <c r="G310">
        <v>1386.8812256000001</v>
      </c>
      <c r="H310">
        <v>1371.9255370999999</v>
      </c>
      <c r="I310">
        <v>1252.6153564000001</v>
      </c>
      <c r="J310">
        <v>1213.0626221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137.91204400000001</v>
      </c>
      <c r="B311" s="1">
        <f>DATE(2010,9,15) + TIME(21,53,20)</f>
        <v>40436.912037037036</v>
      </c>
      <c r="C311">
        <v>70</v>
      </c>
      <c r="D311">
        <v>69.926681518999999</v>
      </c>
      <c r="E311">
        <v>40</v>
      </c>
      <c r="F311">
        <v>15.005977631</v>
      </c>
      <c r="G311">
        <v>1386.847168</v>
      </c>
      <c r="H311">
        <v>1371.8933105000001</v>
      </c>
      <c r="I311">
        <v>1252.6375731999999</v>
      </c>
      <c r="J311">
        <v>1213.083374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138.60286199999999</v>
      </c>
      <c r="B312" s="1">
        <f>DATE(2010,9,16) + TIME(14,28,7)</f>
        <v>40437.602858796294</v>
      </c>
      <c r="C312">
        <v>70</v>
      </c>
      <c r="D312">
        <v>69.926750182999996</v>
      </c>
      <c r="E312">
        <v>40</v>
      </c>
      <c r="F312">
        <v>15.006605148</v>
      </c>
      <c r="G312">
        <v>1386.8132324000001</v>
      </c>
      <c r="H312">
        <v>1371.8612060999999</v>
      </c>
      <c r="I312">
        <v>1252.6600341999999</v>
      </c>
      <c r="J312">
        <v>1213.1042480000001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139.29367999999999</v>
      </c>
      <c r="B313" s="1">
        <f>DATE(2010,9,17) + TIME(7,2,53)</f>
        <v>40438.293668981481</v>
      </c>
      <c r="C313">
        <v>70</v>
      </c>
      <c r="D313">
        <v>69.926818847999996</v>
      </c>
      <c r="E313">
        <v>40</v>
      </c>
      <c r="F313">
        <v>15.007282257</v>
      </c>
      <c r="G313">
        <v>1386.7794189000001</v>
      </c>
      <c r="H313">
        <v>1371.8292236</v>
      </c>
      <c r="I313">
        <v>1252.6827393000001</v>
      </c>
      <c r="J313">
        <v>1213.1254882999999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139.984498</v>
      </c>
      <c r="B314" s="1">
        <f>DATE(2010,9,17) + TIME(23,37,40)</f>
        <v>40438.984490740739</v>
      </c>
      <c r="C314">
        <v>70</v>
      </c>
      <c r="D314">
        <v>69.926887511999993</v>
      </c>
      <c r="E314">
        <v>40</v>
      </c>
      <c r="F314">
        <v>15.008012772000001</v>
      </c>
      <c r="G314">
        <v>1386.7458495999999</v>
      </c>
      <c r="H314">
        <v>1371.7973632999999</v>
      </c>
      <c r="I314">
        <v>1252.7056885</v>
      </c>
      <c r="J314">
        <v>1213.1470947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140.67531500000001</v>
      </c>
      <c r="B315" s="1">
        <f>DATE(2010,9,18) + TIME(16,12,27)</f>
        <v>40439.675312500003</v>
      </c>
      <c r="C315">
        <v>70</v>
      </c>
      <c r="D315">
        <v>69.926956176999994</v>
      </c>
      <c r="E315">
        <v>40</v>
      </c>
      <c r="F315">
        <v>15.008801460000001</v>
      </c>
      <c r="G315">
        <v>1386.7122803</v>
      </c>
      <c r="H315">
        <v>1371.7655029</v>
      </c>
      <c r="I315">
        <v>1252.7288818</v>
      </c>
      <c r="J315">
        <v>1213.1688231999999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141.36613299999999</v>
      </c>
      <c r="B316" s="1">
        <f>DATE(2010,9,19) + TIME(8,47,13)</f>
        <v>40440.366122685184</v>
      </c>
      <c r="C316">
        <v>70</v>
      </c>
      <c r="D316">
        <v>69.927024841000005</v>
      </c>
      <c r="E316">
        <v>40</v>
      </c>
      <c r="F316">
        <v>15.00965023</v>
      </c>
      <c r="G316">
        <v>1386.6789550999999</v>
      </c>
      <c r="H316">
        <v>1371.7338867000001</v>
      </c>
      <c r="I316">
        <v>1252.7524414</v>
      </c>
      <c r="J316">
        <v>1213.190918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142.056951</v>
      </c>
      <c r="B317" s="1">
        <f>DATE(2010,9,20) + TIME(1,22,0)</f>
        <v>40441.056944444441</v>
      </c>
      <c r="C317">
        <v>70</v>
      </c>
      <c r="D317">
        <v>69.927093506000006</v>
      </c>
      <c r="E317">
        <v>40</v>
      </c>
      <c r="F317">
        <v>15.010565758</v>
      </c>
      <c r="G317">
        <v>1386.6456298999999</v>
      </c>
      <c r="H317">
        <v>1371.7022704999999</v>
      </c>
      <c r="I317">
        <v>1252.7762451000001</v>
      </c>
      <c r="J317">
        <v>1213.2133789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143.43836899999999</v>
      </c>
      <c r="B318" s="1">
        <f>DATE(2010,9,21) + TIME(10,31,15)</f>
        <v>40442.438368055555</v>
      </c>
      <c r="C318">
        <v>70</v>
      </c>
      <c r="D318">
        <v>69.927238463999998</v>
      </c>
      <c r="E318">
        <v>40</v>
      </c>
      <c r="F318">
        <v>15.011935233999999</v>
      </c>
      <c r="G318">
        <v>1386.612793</v>
      </c>
      <c r="H318">
        <v>1371.6711425999999</v>
      </c>
      <c r="I318">
        <v>1252.8006591999999</v>
      </c>
      <c r="J318">
        <v>1213.2365723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144.82369700000001</v>
      </c>
      <c r="B319" s="1">
        <f>DATE(2010,9,22) + TIME(19,46,7)</f>
        <v>40443.823692129627</v>
      </c>
      <c r="C319">
        <v>70</v>
      </c>
      <c r="D319">
        <v>69.927375792999996</v>
      </c>
      <c r="E319">
        <v>40</v>
      </c>
      <c r="F319">
        <v>15.013882637</v>
      </c>
      <c r="G319">
        <v>1386.5472411999999</v>
      </c>
      <c r="H319">
        <v>1371.6090088000001</v>
      </c>
      <c r="I319">
        <v>1252.8493652</v>
      </c>
      <c r="J319">
        <v>1213.2823486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145.531476</v>
      </c>
      <c r="B320" s="1">
        <f>DATE(2010,9,23) + TIME(12,45,19)</f>
        <v>40444.531469907408</v>
      </c>
      <c r="C320">
        <v>70</v>
      </c>
      <c r="D320">
        <v>69.927436829000001</v>
      </c>
      <c r="E320">
        <v>40</v>
      </c>
      <c r="F320">
        <v>15.015625</v>
      </c>
      <c r="G320">
        <v>1386.4814452999999</v>
      </c>
      <c r="H320">
        <v>1371.5466309000001</v>
      </c>
      <c r="I320">
        <v>1252.8994141000001</v>
      </c>
      <c r="J320">
        <v>1213.3289795000001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146.23925600000001</v>
      </c>
      <c r="B321" s="1">
        <f>DATE(2010,9,24) + TIME(5,44,31)</f>
        <v>40445.239247685182</v>
      </c>
      <c r="C321">
        <v>70</v>
      </c>
      <c r="D321">
        <v>69.927505492999998</v>
      </c>
      <c r="E321">
        <v>40</v>
      </c>
      <c r="F321">
        <v>15.017289162000001</v>
      </c>
      <c r="G321">
        <v>1386.4476318</v>
      </c>
      <c r="H321">
        <v>1371.5144043</v>
      </c>
      <c r="I321">
        <v>1252.9259033000001</v>
      </c>
      <c r="J321">
        <v>1213.3542480000001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146.947036</v>
      </c>
      <c r="B322" s="1">
        <f>DATE(2010,9,24) + TIME(22,43,43)</f>
        <v>40445.947025462963</v>
      </c>
      <c r="C322">
        <v>70</v>
      </c>
      <c r="D322">
        <v>69.927581786999994</v>
      </c>
      <c r="E322">
        <v>40</v>
      </c>
      <c r="F322">
        <v>15.01896286</v>
      </c>
      <c r="G322">
        <v>1386.4143065999999</v>
      </c>
      <c r="H322">
        <v>1371.4827881000001</v>
      </c>
      <c r="I322">
        <v>1252.9526367000001</v>
      </c>
      <c r="J322">
        <v>1213.3797606999999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147.65481500000001</v>
      </c>
      <c r="B323" s="1">
        <f>DATE(2010,9,25) + TIME(15,42,56)</f>
        <v>40446.654814814814</v>
      </c>
      <c r="C323">
        <v>70</v>
      </c>
      <c r="D323">
        <v>69.927650451999995</v>
      </c>
      <c r="E323">
        <v>40</v>
      </c>
      <c r="F323">
        <v>15.020697594</v>
      </c>
      <c r="G323">
        <v>1386.3811035000001</v>
      </c>
      <c r="H323">
        <v>1371.4512939000001</v>
      </c>
      <c r="I323">
        <v>1252.9797363</v>
      </c>
      <c r="J323">
        <v>1213.4056396000001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148.362595</v>
      </c>
      <c r="B324" s="1">
        <f>DATE(2010,9,26) + TIME(8,42,8)</f>
        <v>40447.362592592595</v>
      </c>
      <c r="C324">
        <v>70</v>
      </c>
      <c r="D324">
        <v>69.927719116000006</v>
      </c>
      <c r="E324">
        <v>40</v>
      </c>
      <c r="F324">
        <v>15.022525786999999</v>
      </c>
      <c r="G324">
        <v>1386.3480225000001</v>
      </c>
      <c r="H324">
        <v>1371.4199219</v>
      </c>
      <c r="I324">
        <v>1253.0072021000001</v>
      </c>
      <c r="J324">
        <v>1213.4318848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149.07037500000001</v>
      </c>
      <c r="B325" s="1">
        <f>DATE(2010,9,27) + TIME(1,41,20)</f>
        <v>40448.070370370369</v>
      </c>
      <c r="C325">
        <v>70</v>
      </c>
      <c r="D325">
        <v>69.927787781000006</v>
      </c>
      <c r="E325">
        <v>40</v>
      </c>
      <c r="F325">
        <v>15.024469376000001</v>
      </c>
      <c r="G325">
        <v>1386.3150635</v>
      </c>
      <c r="H325">
        <v>1371.3886719</v>
      </c>
      <c r="I325">
        <v>1253.0351562000001</v>
      </c>
      <c r="J325">
        <v>1213.4584961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149.778154</v>
      </c>
      <c r="B326" s="1">
        <f>DATE(2010,9,27) + TIME(18,40,32)</f>
        <v>40448.778148148151</v>
      </c>
      <c r="C326">
        <v>70</v>
      </c>
      <c r="D326">
        <v>69.927856445000003</v>
      </c>
      <c r="E326">
        <v>40</v>
      </c>
      <c r="F326">
        <v>15.026544571000001</v>
      </c>
      <c r="G326">
        <v>1386.2822266000001</v>
      </c>
      <c r="H326">
        <v>1371.3574219</v>
      </c>
      <c r="I326">
        <v>1253.0634766000001</v>
      </c>
      <c r="J326">
        <v>1213.4857178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150.48593399999999</v>
      </c>
      <c r="B327" s="1">
        <f>DATE(2010,9,28) + TIME(11,39,44)</f>
        <v>40449.485925925925</v>
      </c>
      <c r="C327">
        <v>70</v>
      </c>
      <c r="D327">
        <v>69.927925110000004</v>
      </c>
      <c r="E327">
        <v>40</v>
      </c>
      <c r="F327">
        <v>15.028763770999999</v>
      </c>
      <c r="G327">
        <v>1386.2493896000001</v>
      </c>
      <c r="H327">
        <v>1371.3262939000001</v>
      </c>
      <c r="I327">
        <v>1253.0921631000001</v>
      </c>
      <c r="J327">
        <v>1213.5133057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151.193713</v>
      </c>
      <c r="B328" s="1">
        <f>DATE(2010,9,29) + TIME(4,38,56)</f>
        <v>40450.193703703706</v>
      </c>
      <c r="C328">
        <v>70</v>
      </c>
      <c r="D328">
        <v>69.927993774000001</v>
      </c>
      <c r="E328">
        <v>40</v>
      </c>
      <c r="F328">
        <v>15.031139374</v>
      </c>
      <c r="G328">
        <v>1386.2167969</v>
      </c>
      <c r="H328">
        <v>1371.2952881000001</v>
      </c>
      <c r="I328">
        <v>1253.1213379000001</v>
      </c>
      <c r="J328">
        <v>1213.5413818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151.90149299999999</v>
      </c>
      <c r="B329" s="1">
        <f>DATE(2010,9,29) + TIME(21,38,9)</f>
        <v>40450.901493055557</v>
      </c>
      <c r="C329">
        <v>70</v>
      </c>
      <c r="D329">
        <v>69.928062439000001</v>
      </c>
      <c r="E329">
        <v>40</v>
      </c>
      <c r="F329">
        <v>15.033682822999999</v>
      </c>
      <c r="G329">
        <v>1386.1842041</v>
      </c>
      <c r="H329">
        <v>1371.2642822</v>
      </c>
      <c r="I329">
        <v>1253.151001</v>
      </c>
      <c r="J329">
        <v>1213.5700684000001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153</v>
      </c>
      <c r="B330" s="1">
        <f>DATE(2010,10,1) + TIME(0,0,0)</f>
        <v>40452</v>
      </c>
      <c r="C330">
        <v>70</v>
      </c>
      <c r="D330">
        <v>69.928169249999996</v>
      </c>
      <c r="E330">
        <v>40</v>
      </c>
      <c r="F330">
        <v>15.037074089000001</v>
      </c>
      <c r="G330">
        <v>1386.1518555</v>
      </c>
      <c r="H330">
        <v>1371.2336425999999</v>
      </c>
      <c r="I330">
        <v>1253.1809082</v>
      </c>
      <c r="J330">
        <v>1213.5997314000001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153.70778000000001</v>
      </c>
      <c r="B331" s="1">
        <f>DATE(2010,10,1) + TIME(16,59,12)</f>
        <v>40452.707777777781</v>
      </c>
      <c r="C331">
        <v>70</v>
      </c>
      <c r="D331">
        <v>69.928237914999997</v>
      </c>
      <c r="E331">
        <v>40</v>
      </c>
      <c r="F331">
        <v>15.040464400999999</v>
      </c>
      <c r="G331">
        <v>1386.1019286999999</v>
      </c>
      <c r="H331">
        <v>1371.1860352000001</v>
      </c>
      <c r="I331">
        <v>1253.2283935999999</v>
      </c>
      <c r="J331">
        <v>1213.6448975000001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154.415559</v>
      </c>
      <c r="B332" s="1">
        <f>DATE(2010,10,2) + TIME(9,58,24)</f>
        <v>40453.415555555555</v>
      </c>
      <c r="C332">
        <v>70</v>
      </c>
      <c r="D332">
        <v>69.928306579999997</v>
      </c>
      <c r="E332">
        <v>40</v>
      </c>
      <c r="F332">
        <v>15.043896674999999</v>
      </c>
      <c r="G332">
        <v>1386.0693358999999</v>
      </c>
      <c r="H332">
        <v>1371.1551514</v>
      </c>
      <c r="I332">
        <v>1253.2597656</v>
      </c>
      <c r="J332">
        <v>1213.6756591999999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155.12333899999999</v>
      </c>
      <c r="B333" s="1">
        <f>DATE(2010,10,3) + TIME(2,57,36)</f>
        <v>40454.123333333337</v>
      </c>
      <c r="C333">
        <v>70</v>
      </c>
      <c r="D333">
        <v>69.928375243999994</v>
      </c>
      <c r="E333">
        <v>40</v>
      </c>
      <c r="F333">
        <v>15.047460556000001</v>
      </c>
      <c r="G333">
        <v>1386.0372314000001</v>
      </c>
      <c r="H333">
        <v>1371.1245117000001</v>
      </c>
      <c r="I333">
        <v>1253.2915039</v>
      </c>
      <c r="J333">
        <v>1213.7069091999999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155.831119</v>
      </c>
      <c r="B334" s="1">
        <f>DATE(2010,10,3) + TIME(19,56,48)</f>
        <v>40454.831111111111</v>
      </c>
      <c r="C334">
        <v>70</v>
      </c>
      <c r="D334">
        <v>69.928443908999995</v>
      </c>
      <c r="E334">
        <v>40</v>
      </c>
      <c r="F334">
        <v>15.051207542</v>
      </c>
      <c r="G334">
        <v>1386.0051269999999</v>
      </c>
      <c r="H334">
        <v>1371.0939940999999</v>
      </c>
      <c r="I334">
        <v>1253.3238524999999</v>
      </c>
      <c r="J334">
        <v>1213.7387695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157.246678</v>
      </c>
      <c r="B335" s="1">
        <f>DATE(2010,10,5) + TIME(5,55,12)</f>
        <v>40456.246666666666</v>
      </c>
      <c r="C335">
        <v>70</v>
      </c>
      <c r="D335">
        <v>69.928588867000002</v>
      </c>
      <c r="E335">
        <v>40</v>
      </c>
      <c r="F335">
        <v>15.056698798999999</v>
      </c>
      <c r="G335">
        <v>1385.9735106999999</v>
      </c>
      <c r="H335">
        <v>1371.0639647999999</v>
      </c>
      <c r="I335">
        <v>1253.3565673999999</v>
      </c>
      <c r="J335">
        <v>1213.7724608999999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158.66537500000001</v>
      </c>
      <c r="B336" s="1">
        <f>DATE(2010,10,6) + TIME(15,58,8)</f>
        <v>40457.665370370371</v>
      </c>
      <c r="C336">
        <v>70</v>
      </c>
      <c r="D336">
        <v>69.928718567000004</v>
      </c>
      <c r="E336">
        <v>40</v>
      </c>
      <c r="F336">
        <v>15.064388275000001</v>
      </c>
      <c r="G336">
        <v>1385.9101562000001</v>
      </c>
      <c r="H336">
        <v>1371.0036620999999</v>
      </c>
      <c r="I336">
        <v>1253.4233397999999</v>
      </c>
      <c r="J336">
        <v>1213.8381348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160.09156200000001</v>
      </c>
      <c r="B337" s="1">
        <f>DATE(2010,10,8) + TIME(2,11,50)</f>
        <v>40459.091550925928</v>
      </c>
      <c r="C337">
        <v>70</v>
      </c>
      <c r="D337">
        <v>69.928855896000002</v>
      </c>
      <c r="E337">
        <v>40</v>
      </c>
      <c r="F337">
        <v>15.0736866</v>
      </c>
      <c r="G337">
        <v>1385.8466797000001</v>
      </c>
      <c r="H337">
        <v>1370.9433594</v>
      </c>
      <c r="I337">
        <v>1253.4924315999999</v>
      </c>
      <c r="J337">
        <v>1213.9072266000001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160.80950999999999</v>
      </c>
      <c r="B338" s="1">
        <f>DATE(2010,10,8) + TIME(19,25,41)</f>
        <v>40459.809502314813</v>
      </c>
      <c r="C338">
        <v>70</v>
      </c>
      <c r="D338">
        <v>69.928924561000002</v>
      </c>
      <c r="E338">
        <v>40</v>
      </c>
      <c r="F338">
        <v>15.08150959</v>
      </c>
      <c r="G338">
        <v>1385.7832031</v>
      </c>
      <c r="H338">
        <v>1370.8829346</v>
      </c>
      <c r="I338">
        <v>1253.5649414</v>
      </c>
      <c r="J338">
        <v>1213.9777832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161.52745899999999</v>
      </c>
      <c r="B339" s="1">
        <f>DATE(2010,10,9) + TIME(12,39,32)</f>
        <v>40460.527453703704</v>
      </c>
      <c r="C339">
        <v>70</v>
      </c>
      <c r="D339">
        <v>69.928985596000004</v>
      </c>
      <c r="E339">
        <v>40</v>
      </c>
      <c r="F339">
        <v>15.088796616</v>
      </c>
      <c r="G339">
        <v>1385.7507324000001</v>
      </c>
      <c r="H339">
        <v>1370.8519286999999</v>
      </c>
      <c r="I339">
        <v>1253.6024170000001</v>
      </c>
      <c r="J339">
        <v>1214.0169678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162.245408</v>
      </c>
      <c r="B340" s="1">
        <f>DATE(2010,10,10) + TIME(5,53,23)</f>
        <v>40461.245405092595</v>
      </c>
      <c r="C340">
        <v>70</v>
      </c>
      <c r="D340">
        <v>69.929054260000001</v>
      </c>
      <c r="E340">
        <v>40</v>
      </c>
      <c r="F340">
        <v>15.095979691</v>
      </c>
      <c r="G340">
        <v>1385.7189940999999</v>
      </c>
      <c r="H340">
        <v>1370.8216553</v>
      </c>
      <c r="I340">
        <v>1253.6403809000001</v>
      </c>
      <c r="J340">
        <v>1214.0565185999999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162.963357</v>
      </c>
      <c r="B341" s="1">
        <f>DATE(2010,10,10) + TIME(23,7,14)</f>
        <v>40461.963356481479</v>
      </c>
      <c r="C341">
        <v>70</v>
      </c>
      <c r="D341">
        <v>69.929122925000001</v>
      </c>
      <c r="E341">
        <v>40</v>
      </c>
      <c r="F341">
        <v>15.103308677999999</v>
      </c>
      <c r="G341">
        <v>1385.6871338000001</v>
      </c>
      <c r="H341">
        <v>1370.7913818</v>
      </c>
      <c r="I341">
        <v>1253.6791992000001</v>
      </c>
      <c r="J341">
        <v>1214.0969238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163.68130500000001</v>
      </c>
      <c r="B342" s="1">
        <f>DATE(2010,10,11) + TIME(16,21,4)</f>
        <v>40462.681296296294</v>
      </c>
      <c r="C342">
        <v>70</v>
      </c>
      <c r="D342">
        <v>69.929191588999998</v>
      </c>
      <c r="E342">
        <v>40</v>
      </c>
      <c r="F342">
        <v>15.110927582</v>
      </c>
      <c r="G342">
        <v>1385.6555175999999</v>
      </c>
      <c r="H342">
        <v>1370.7612305</v>
      </c>
      <c r="I342">
        <v>1253.71875</v>
      </c>
      <c r="J342">
        <v>1214.1381836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164.39925400000001</v>
      </c>
      <c r="B343" s="1">
        <f>DATE(2010,10,12) + TIME(9,34,55)</f>
        <v>40463.399247685185</v>
      </c>
      <c r="C343">
        <v>70</v>
      </c>
      <c r="D343">
        <v>69.929260253999999</v>
      </c>
      <c r="E343">
        <v>40</v>
      </c>
      <c r="F343">
        <v>15.118930817000001</v>
      </c>
      <c r="G343">
        <v>1385.6239014</v>
      </c>
      <c r="H343">
        <v>1370.7310791</v>
      </c>
      <c r="I343">
        <v>1253.7590332</v>
      </c>
      <c r="J343">
        <v>1214.1804199000001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165.11720299999999</v>
      </c>
      <c r="B344" s="1">
        <f>DATE(2010,10,13) + TIME(2,48,46)</f>
        <v>40464.117199074077</v>
      </c>
      <c r="C344">
        <v>70</v>
      </c>
      <c r="D344">
        <v>69.929328917999996</v>
      </c>
      <c r="E344">
        <v>40</v>
      </c>
      <c r="F344">
        <v>15.127379417</v>
      </c>
      <c r="G344">
        <v>1385.5922852000001</v>
      </c>
      <c r="H344">
        <v>1370.7009277</v>
      </c>
      <c r="I344">
        <v>1253.8001709</v>
      </c>
      <c r="J344">
        <v>1214.2236327999999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165.83515199999999</v>
      </c>
      <c r="B345" s="1">
        <f>DATE(2010,10,13) + TIME(20,2,37)</f>
        <v>40464.835150462961</v>
      </c>
      <c r="C345">
        <v>70</v>
      </c>
      <c r="D345">
        <v>69.929397582999997</v>
      </c>
      <c r="E345">
        <v>40</v>
      </c>
      <c r="F345">
        <v>15.136320114</v>
      </c>
      <c r="G345">
        <v>1385.5607910000001</v>
      </c>
      <c r="H345">
        <v>1370.6708983999999</v>
      </c>
      <c r="I345">
        <v>1253.8419189000001</v>
      </c>
      <c r="J345">
        <v>1214.2680664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166.5531</v>
      </c>
      <c r="B346" s="1">
        <f>DATE(2010,10,14) + TIME(13,16,27)</f>
        <v>40465.553090277775</v>
      </c>
      <c r="C346">
        <v>70</v>
      </c>
      <c r="D346">
        <v>69.929458617999998</v>
      </c>
      <c r="E346">
        <v>40</v>
      </c>
      <c r="F346">
        <v>15.145791054</v>
      </c>
      <c r="G346">
        <v>1385.5294189000001</v>
      </c>
      <c r="H346">
        <v>1370.6409911999999</v>
      </c>
      <c r="I346">
        <v>1253.8846435999999</v>
      </c>
      <c r="J346">
        <v>1214.3134766000001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167.271049</v>
      </c>
      <c r="B347" s="1">
        <f>DATE(2010,10,15) + TIME(6,30,18)</f>
        <v>40466.271041666667</v>
      </c>
      <c r="C347">
        <v>70</v>
      </c>
      <c r="D347">
        <v>69.929527282999999</v>
      </c>
      <c r="E347">
        <v>40</v>
      </c>
      <c r="F347">
        <v>15.155826569</v>
      </c>
      <c r="G347">
        <v>1385.4980469</v>
      </c>
      <c r="H347">
        <v>1370.6109618999999</v>
      </c>
      <c r="I347">
        <v>1253.9281006000001</v>
      </c>
      <c r="J347">
        <v>1214.3601074000001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167.98899800000001</v>
      </c>
      <c r="B348" s="1">
        <f>DATE(2010,10,15) + TIME(23,44,9)</f>
        <v>40466.988993055558</v>
      </c>
      <c r="C348">
        <v>70</v>
      </c>
      <c r="D348">
        <v>69.929595946999996</v>
      </c>
      <c r="E348">
        <v>40</v>
      </c>
      <c r="F348">
        <v>15.166459084</v>
      </c>
      <c r="G348">
        <v>1385.4666748</v>
      </c>
      <c r="H348">
        <v>1370.5810547000001</v>
      </c>
      <c r="I348">
        <v>1253.9722899999999</v>
      </c>
      <c r="J348">
        <v>1214.4080810999999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168.70694599999999</v>
      </c>
      <c r="B349" s="1">
        <f>DATE(2010,10,16) + TIME(16,58,0)</f>
        <v>40467.706944444442</v>
      </c>
      <c r="C349">
        <v>70</v>
      </c>
      <c r="D349">
        <v>69.929664611999996</v>
      </c>
      <c r="E349">
        <v>40</v>
      </c>
      <c r="F349">
        <v>15.177720069999999</v>
      </c>
      <c r="G349">
        <v>1385.4354248</v>
      </c>
      <c r="H349">
        <v>1370.5512695</v>
      </c>
      <c r="I349">
        <v>1254.0174560999999</v>
      </c>
      <c r="J349">
        <v>1214.4572754000001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169.42489499999999</v>
      </c>
      <c r="B350" s="1">
        <f>DATE(2010,10,17) + TIME(10,11,50)</f>
        <v>40468.424884259257</v>
      </c>
      <c r="C350">
        <v>70</v>
      </c>
      <c r="D350">
        <v>69.929733275999993</v>
      </c>
      <c r="E350">
        <v>40</v>
      </c>
      <c r="F350">
        <v>15.189641953000001</v>
      </c>
      <c r="G350">
        <v>1385.4042969</v>
      </c>
      <c r="H350">
        <v>1370.5214844</v>
      </c>
      <c r="I350">
        <v>1254.0634766000001</v>
      </c>
      <c r="J350">
        <v>1214.5076904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170.142844</v>
      </c>
      <c r="B351" s="1">
        <f>DATE(2010,10,18) + TIME(3,25,41)</f>
        <v>40469.142835648148</v>
      </c>
      <c r="C351">
        <v>70</v>
      </c>
      <c r="D351">
        <v>69.929794311999999</v>
      </c>
      <c r="E351">
        <v>40</v>
      </c>
      <c r="F351">
        <v>15.202258110000001</v>
      </c>
      <c r="G351">
        <v>1385.3730469</v>
      </c>
      <c r="H351">
        <v>1370.4916992000001</v>
      </c>
      <c r="I351">
        <v>1254.1103516000001</v>
      </c>
      <c r="J351">
        <v>1214.5595702999999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170.860793</v>
      </c>
      <c r="B352" s="1">
        <f>DATE(2010,10,18) + TIME(20,39,32)</f>
        <v>40469.86078703704</v>
      </c>
      <c r="C352">
        <v>70</v>
      </c>
      <c r="D352">
        <v>69.929862975999995</v>
      </c>
      <c r="E352">
        <v>40</v>
      </c>
      <c r="F352">
        <v>15.215600967</v>
      </c>
      <c r="G352">
        <v>1385.3419189000001</v>
      </c>
      <c r="H352">
        <v>1370.4620361</v>
      </c>
      <c r="I352">
        <v>1254.1582031</v>
      </c>
      <c r="J352">
        <v>1214.6129149999999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171.57874100000001</v>
      </c>
      <c r="B353" s="1">
        <f>DATE(2010,10,19) + TIME(13,53,23)</f>
        <v>40470.578738425924</v>
      </c>
      <c r="C353">
        <v>70</v>
      </c>
      <c r="D353">
        <v>69.929931640999996</v>
      </c>
      <c r="E353">
        <v>40</v>
      </c>
      <c r="F353">
        <v>15.229705811000001</v>
      </c>
      <c r="G353">
        <v>1385.3109131000001</v>
      </c>
      <c r="H353">
        <v>1370.4323730000001</v>
      </c>
      <c r="I353">
        <v>1254.2069091999999</v>
      </c>
      <c r="J353">
        <v>1214.6677245999999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172.29669000000001</v>
      </c>
      <c r="B354" s="1">
        <f>DATE(2010,10,20) + TIME(7,7,14)</f>
        <v>40471.296689814815</v>
      </c>
      <c r="C354">
        <v>70</v>
      </c>
      <c r="D354">
        <v>69.929992675999998</v>
      </c>
      <c r="E354">
        <v>40</v>
      </c>
      <c r="F354">
        <v>15.244606972</v>
      </c>
      <c r="G354">
        <v>1385.2799072</v>
      </c>
      <c r="H354">
        <v>1370.4027100000001</v>
      </c>
      <c r="I354">
        <v>1254.2567139</v>
      </c>
      <c r="J354">
        <v>1214.7241211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173.01463899999999</v>
      </c>
      <c r="B355" s="1">
        <f>DATE(2010,10,21) + TIME(0,21,4)</f>
        <v>40472.01462962963</v>
      </c>
      <c r="C355">
        <v>70</v>
      </c>
      <c r="D355">
        <v>69.930061339999995</v>
      </c>
      <c r="E355">
        <v>40</v>
      </c>
      <c r="F355">
        <v>15.260342597999999</v>
      </c>
      <c r="G355">
        <v>1385.2489014</v>
      </c>
      <c r="H355">
        <v>1370.3730469</v>
      </c>
      <c r="I355">
        <v>1254.3073730000001</v>
      </c>
      <c r="J355">
        <v>1214.7821045000001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173.73258799999999</v>
      </c>
      <c r="B356" s="1">
        <f>DATE(2010,10,21) + TIME(17,34,55)</f>
        <v>40472.732581018521</v>
      </c>
      <c r="C356">
        <v>70</v>
      </c>
      <c r="D356">
        <v>69.930130004999995</v>
      </c>
      <c r="E356">
        <v>40</v>
      </c>
      <c r="F356">
        <v>15.276948929</v>
      </c>
      <c r="G356">
        <v>1385.2180175999999</v>
      </c>
      <c r="H356">
        <v>1370.3435059000001</v>
      </c>
      <c r="I356">
        <v>1254.3590088000001</v>
      </c>
      <c r="J356">
        <v>1214.8416748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174.450536</v>
      </c>
      <c r="B357" s="1">
        <f>DATE(2010,10,22) + TIME(10,48,46)</f>
        <v>40473.450532407405</v>
      </c>
      <c r="C357">
        <v>70</v>
      </c>
      <c r="D357">
        <v>69.930198669000006</v>
      </c>
      <c r="E357">
        <v>40</v>
      </c>
      <c r="F357">
        <v>15.294465065000001</v>
      </c>
      <c r="G357">
        <v>1385.1871338000001</v>
      </c>
      <c r="H357">
        <v>1370.3139647999999</v>
      </c>
      <c r="I357">
        <v>1254.4117432</v>
      </c>
      <c r="J357">
        <v>1214.9029541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175.168485</v>
      </c>
      <c r="B358" s="1">
        <f>DATE(2010,10,23) + TIME(4,2,37)</f>
        <v>40474.168483796297</v>
      </c>
      <c r="C358">
        <v>70</v>
      </c>
      <c r="D358">
        <v>69.930259704999997</v>
      </c>
      <c r="E358">
        <v>40</v>
      </c>
      <c r="F358">
        <v>15.312930107</v>
      </c>
      <c r="G358">
        <v>1385.15625</v>
      </c>
      <c r="H358">
        <v>1370.2845459</v>
      </c>
      <c r="I358">
        <v>1254.4655762</v>
      </c>
      <c r="J358">
        <v>1214.9660644999999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176.60438300000001</v>
      </c>
      <c r="B359" s="1">
        <f>DATE(2010,10,24) + TIME(14,30,18)</f>
        <v>40475.604375000003</v>
      </c>
      <c r="C359">
        <v>70</v>
      </c>
      <c r="D359">
        <v>69.930397033999995</v>
      </c>
      <c r="E359">
        <v>40</v>
      </c>
      <c r="F359">
        <v>15.339755058</v>
      </c>
      <c r="G359">
        <v>1385.1257324000001</v>
      </c>
      <c r="H359">
        <v>1370.255249</v>
      </c>
      <c r="I359">
        <v>1254.5185547000001</v>
      </c>
      <c r="J359">
        <v>1215.0360106999999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178.05040700000001</v>
      </c>
      <c r="B360" s="1">
        <f>DATE(2010,10,26) + TIME(1,12,35)</f>
        <v>40477.050405092596</v>
      </c>
      <c r="C360">
        <v>70</v>
      </c>
      <c r="D360">
        <v>69.930534363000007</v>
      </c>
      <c r="E360">
        <v>40</v>
      </c>
      <c r="F360">
        <v>15.377038002000001</v>
      </c>
      <c r="G360">
        <v>1385.0645752</v>
      </c>
      <c r="H360">
        <v>1370.1967772999999</v>
      </c>
      <c r="I360">
        <v>1254.6309814000001</v>
      </c>
      <c r="J360">
        <v>1215.1667480000001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178.781768</v>
      </c>
      <c r="B361" s="1">
        <f>DATE(2010,10,26) + TIME(18,45,44)</f>
        <v>40477.781759259262</v>
      </c>
      <c r="C361">
        <v>70</v>
      </c>
      <c r="D361">
        <v>69.930595397999994</v>
      </c>
      <c r="E361">
        <v>40</v>
      </c>
      <c r="F361">
        <v>15.409340858</v>
      </c>
      <c r="G361">
        <v>1385.0029297000001</v>
      </c>
      <c r="H361">
        <v>1370.1378173999999</v>
      </c>
      <c r="I361">
        <v>1254.7510986</v>
      </c>
      <c r="J361">
        <v>1215.3000488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180.18534399999999</v>
      </c>
      <c r="B362" s="1">
        <f>DATE(2010,10,28) + TIME(4,26,53)</f>
        <v>40479.185335648152</v>
      </c>
      <c r="C362">
        <v>70</v>
      </c>
      <c r="D362">
        <v>69.930725097999996</v>
      </c>
      <c r="E362">
        <v>40</v>
      </c>
      <c r="F362">
        <v>15.449736594999999</v>
      </c>
      <c r="G362">
        <v>1384.9714355000001</v>
      </c>
      <c r="H362">
        <v>1370.1075439000001</v>
      </c>
      <c r="I362">
        <v>1254.8092041</v>
      </c>
      <c r="J362">
        <v>1215.3868408000001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181.63874000000001</v>
      </c>
      <c r="B363" s="1">
        <f>DATE(2010,10,29) + TIME(15,19,47)</f>
        <v>40480.638738425929</v>
      </c>
      <c r="C363">
        <v>70</v>
      </c>
      <c r="D363">
        <v>69.930854796999995</v>
      </c>
      <c r="E363">
        <v>40</v>
      </c>
      <c r="F363">
        <v>15.499402999999999</v>
      </c>
      <c r="G363">
        <v>1384.9119873</v>
      </c>
      <c r="H363">
        <v>1370.0506591999999</v>
      </c>
      <c r="I363">
        <v>1254.9298096</v>
      </c>
      <c r="J363">
        <v>1215.5363769999999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183.09857299999999</v>
      </c>
      <c r="B364" s="1">
        <f>DATE(2010,10,31) + TIME(2,21,56)</f>
        <v>40482.098564814813</v>
      </c>
      <c r="C364">
        <v>70</v>
      </c>
      <c r="D364">
        <v>69.930984496999997</v>
      </c>
      <c r="E364">
        <v>40</v>
      </c>
      <c r="F364">
        <v>15.556686401</v>
      </c>
      <c r="G364">
        <v>1384.8502197</v>
      </c>
      <c r="H364">
        <v>1369.9915771000001</v>
      </c>
      <c r="I364">
        <v>1255.0593262</v>
      </c>
      <c r="J364">
        <v>1215.7008057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184</v>
      </c>
      <c r="B365" s="1">
        <f>DATE(2010,11,1) + TIME(0,0,0)</f>
        <v>40483</v>
      </c>
      <c r="C365">
        <v>70</v>
      </c>
      <c r="D365">
        <v>69.931060790999993</v>
      </c>
      <c r="E365">
        <v>40</v>
      </c>
      <c r="F365">
        <v>15.608633040999999</v>
      </c>
      <c r="G365">
        <v>1384.7884521000001</v>
      </c>
      <c r="H365">
        <v>1369.932251</v>
      </c>
      <c r="I365">
        <v>1255.1971435999999</v>
      </c>
      <c r="J365">
        <v>1215.8680420000001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184.000001</v>
      </c>
      <c r="B366" s="1">
        <f>DATE(2010,11,1) + TIME(0,0,0)</f>
        <v>40483</v>
      </c>
      <c r="C366">
        <v>70</v>
      </c>
      <c r="D366">
        <v>69.930946349999999</v>
      </c>
      <c r="E366">
        <v>40</v>
      </c>
      <c r="F366">
        <v>15.608751297</v>
      </c>
      <c r="G366">
        <v>1369.0596923999999</v>
      </c>
      <c r="H366">
        <v>1355.2489014</v>
      </c>
      <c r="I366">
        <v>1294.8229980000001</v>
      </c>
      <c r="J366">
        <v>1256.0783690999999</v>
      </c>
      <c r="K366">
        <v>0</v>
      </c>
      <c r="L366">
        <v>2400</v>
      </c>
      <c r="M366">
        <v>2400</v>
      </c>
      <c r="N366">
        <v>0</v>
      </c>
    </row>
    <row r="367" spans="1:14" x14ac:dyDescent="0.25">
      <c r="A367">
        <v>184.00000399999999</v>
      </c>
      <c r="B367" s="1">
        <f>DATE(2010,11,1) + TIME(0,0,0)</f>
        <v>40483</v>
      </c>
      <c r="C367">
        <v>70</v>
      </c>
      <c r="D367">
        <v>69.930633545000006</v>
      </c>
      <c r="E367">
        <v>40</v>
      </c>
      <c r="F367">
        <v>15.609090804999999</v>
      </c>
      <c r="G367">
        <v>1366.8145752</v>
      </c>
      <c r="H367">
        <v>1353.0025635</v>
      </c>
      <c r="I367">
        <v>1297.2973632999999</v>
      </c>
      <c r="J367">
        <v>1258.5672606999999</v>
      </c>
      <c r="K367">
        <v>0</v>
      </c>
      <c r="L367">
        <v>2400</v>
      </c>
      <c r="M367">
        <v>2400</v>
      </c>
      <c r="N367">
        <v>0</v>
      </c>
    </row>
    <row r="368" spans="1:14" x14ac:dyDescent="0.25">
      <c r="A368">
        <v>184.000013</v>
      </c>
      <c r="B368" s="1">
        <f>DATE(2010,11,1) + TIME(0,0,1)</f>
        <v>40483.000011574077</v>
      </c>
      <c r="C368">
        <v>70</v>
      </c>
      <c r="D368">
        <v>69.929992675999998</v>
      </c>
      <c r="E368">
        <v>40</v>
      </c>
      <c r="F368">
        <v>15.609993935</v>
      </c>
      <c r="G368">
        <v>1362.125</v>
      </c>
      <c r="H368">
        <v>1348.3118896000001</v>
      </c>
      <c r="I368">
        <v>1303.6148682</v>
      </c>
      <c r="J368">
        <v>1264.9135742000001</v>
      </c>
      <c r="K368">
        <v>0</v>
      </c>
      <c r="L368">
        <v>2400</v>
      </c>
      <c r="M368">
        <v>2400</v>
      </c>
      <c r="N368">
        <v>0</v>
      </c>
    </row>
    <row r="369" spans="1:14" x14ac:dyDescent="0.25">
      <c r="A369">
        <v>184.00004000000001</v>
      </c>
      <c r="B369" s="1">
        <f>DATE(2010,11,1) + TIME(0,0,3)</f>
        <v>40483.000034722223</v>
      </c>
      <c r="C369">
        <v>70</v>
      </c>
      <c r="D369">
        <v>69.929016113000003</v>
      </c>
      <c r="E369">
        <v>40</v>
      </c>
      <c r="F369">
        <v>15.612083435000001</v>
      </c>
      <c r="G369">
        <v>1354.9915771000001</v>
      </c>
      <c r="H369">
        <v>1341.1791992000001</v>
      </c>
      <c r="I369">
        <v>1316.6252440999999</v>
      </c>
      <c r="J369">
        <v>1277.9564209</v>
      </c>
      <c r="K369">
        <v>0</v>
      </c>
      <c r="L369">
        <v>2400</v>
      </c>
      <c r="M369">
        <v>2400</v>
      </c>
      <c r="N369">
        <v>0</v>
      </c>
    </row>
    <row r="370" spans="1:14" x14ac:dyDescent="0.25">
      <c r="A370">
        <v>184.00012100000001</v>
      </c>
      <c r="B370" s="1">
        <f>DATE(2010,11,1) + TIME(0,0,10)</f>
        <v>40483.000115740739</v>
      </c>
      <c r="C370">
        <v>70</v>
      </c>
      <c r="D370">
        <v>69.927871703999998</v>
      </c>
      <c r="E370">
        <v>40</v>
      </c>
      <c r="F370">
        <v>15.616306305</v>
      </c>
      <c r="G370">
        <v>1346.8419189000001</v>
      </c>
      <c r="H370">
        <v>1333.0412598</v>
      </c>
      <c r="I370">
        <v>1336.0845947</v>
      </c>
      <c r="J370">
        <v>1297.4162598</v>
      </c>
      <c r="K370">
        <v>0</v>
      </c>
      <c r="L370">
        <v>2400</v>
      </c>
      <c r="M370">
        <v>2400</v>
      </c>
      <c r="N370">
        <v>0</v>
      </c>
    </row>
    <row r="371" spans="1:14" x14ac:dyDescent="0.25">
      <c r="A371">
        <v>184.00036399999999</v>
      </c>
      <c r="B371" s="1">
        <f>DATE(2010,11,1) + TIME(0,0,31)</f>
        <v>40483.000358796293</v>
      </c>
      <c r="C371">
        <v>70</v>
      </c>
      <c r="D371">
        <v>69.926673889</v>
      </c>
      <c r="E371">
        <v>40</v>
      </c>
      <c r="F371">
        <v>15.625256538</v>
      </c>
      <c r="G371">
        <v>1338.5991211</v>
      </c>
      <c r="H371">
        <v>1324.815918</v>
      </c>
      <c r="I371">
        <v>1358.137207</v>
      </c>
      <c r="J371">
        <v>1319.4718018000001</v>
      </c>
      <c r="K371">
        <v>0</v>
      </c>
      <c r="L371">
        <v>2400</v>
      </c>
      <c r="M371">
        <v>2400</v>
      </c>
      <c r="N371">
        <v>0</v>
      </c>
    </row>
    <row r="372" spans="1:14" x14ac:dyDescent="0.25">
      <c r="A372">
        <v>184.001093</v>
      </c>
      <c r="B372" s="1">
        <f>DATE(2010,11,1) + TIME(0,1,34)</f>
        <v>40483.001087962963</v>
      </c>
      <c r="C372">
        <v>70</v>
      </c>
      <c r="D372">
        <v>69.925300598000007</v>
      </c>
      <c r="E372">
        <v>40</v>
      </c>
      <c r="F372">
        <v>15.647557258999999</v>
      </c>
      <c r="G372">
        <v>1330.2961425999999</v>
      </c>
      <c r="H372">
        <v>1316.5222168</v>
      </c>
      <c r="I372">
        <v>1380.309082</v>
      </c>
      <c r="J372">
        <v>1341.6381836</v>
      </c>
      <c r="K372">
        <v>0</v>
      </c>
      <c r="L372">
        <v>2400</v>
      </c>
      <c r="M372">
        <v>2400</v>
      </c>
      <c r="N372">
        <v>0</v>
      </c>
    </row>
    <row r="373" spans="1:14" x14ac:dyDescent="0.25">
      <c r="A373">
        <v>184.00327999999999</v>
      </c>
      <c r="B373" s="1">
        <f>DATE(2010,11,1) + TIME(0,4,43)</f>
        <v>40483.003275462965</v>
      </c>
      <c r="C373">
        <v>70</v>
      </c>
      <c r="D373">
        <v>69.923385620000005</v>
      </c>
      <c r="E373">
        <v>40</v>
      </c>
      <c r="F373">
        <v>15.709775925000001</v>
      </c>
      <c r="G373">
        <v>1321.4611815999999</v>
      </c>
      <c r="H373">
        <v>1307.6453856999999</v>
      </c>
      <c r="I373">
        <v>1401.9868164</v>
      </c>
      <c r="J373">
        <v>1363.3165283000001</v>
      </c>
      <c r="K373">
        <v>0</v>
      </c>
      <c r="L373">
        <v>2400</v>
      </c>
      <c r="M373">
        <v>2400</v>
      </c>
      <c r="N373">
        <v>0</v>
      </c>
    </row>
    <row r="374" spans="1:14" x14ac:dyDescent="0.25">
      <c r="A374">
        <v>184.00984099999999</v>
      </c>
      <c r="B374" s="1">
        <f>DATE(2010,11,1) + TIME(0,14,10)</f>
        <v>40483.009837962964</v>
      </c>
      <c r="C374">
        <v>70</v>
      </c>
      <c r="D374">
        <v>69.919944763000004</v>
      </c>
      <c r="E374">
        <v>40</v>
      </c>
      <c r="F374">
        <v>15.890911102</v>
      </c>
      <c r="G374">
        <v>1311.7130127</v>
      </c>
      <c r="H374">
        <v>1297.8271483999999</v>
      </c>
      <c r="I374">
        <v>1421.4874268000001</v>
      </c>
      <c r="J374">
        <v>1382.8951416</v>
      </c>
      <c r="K374">
        <v>0</v>
      </c>
      <c r="L374">
        <v>2400</v>
      </c>
      <c r="M374">
        <v>2400</v>
      </c>
      <c r="N374">
        <v>0</v>
      </c>
    </row>
    <row r="375" spans="1:14" x14ac:dyDescent="0.25">
      <c r="A375">
        <v>184.02952400000001</v>
      </c>
      <c r="B375" s="1">
        <f>DATE(2010,11,1) + TIME(0,42,30)</f>
        <v>40483.029513888891</v>
      </c>
      <c r="C375">
        <v>70</v>
      </c>
      <c r="D375">
        <v>69.912490844999994</v>
      </c>
      <c r="E375">
        <v>40</v>
      </c>
      <c r="F375">
        <v>16.419527054</v>
      </c>
      <c r="G375">
        <v>1302.8256836</v>
      </c>
      <c r="H375">
        <v>1288.9001464999999</v>
      </c>
      <c r="I375">
        <v>1434.9277344</v>
      </c>
      <c r="J375">
        <v>1396.7658690999999</v>
      </c>
      <c r="K375">
        <v>0</v>
      </c>
      <c r="L375">
        <v>2400</v>
      </c>
      <c r="M375">
        <v>2400</v>
      </c>
      <c r="N375">
        <v>0</v>
      </c>
    </row>
    <row r="376" spans="1:14" x14ac:dyDescent="0.25">
      <c r="A376">
        <v>184.06642600000001</v>
      </c>
      <c r="B376" s="1">
        <f>DATE(2010,11,1) + TIME(1,35,39)</f>
        <v>40483.066423611112</v>
      </c>
      <c r="C376">
        <v>70</v>
      </c>
      <c r="D376">
        <v>69.900466918999996</v>
      </c>
      <c r="E376">
        <v>40</v>
      </c>
      <c r="F376">
        <v>17.370956420999999</v>
      </c>
      <c r="G376">
        <v>1298.3822021000001</v>
      </c>
      <c r="H376">
        <v>1284.4440918</v>
      </c>
      <c r="I376">
        <v>1439.2017822</v>
      </c>
      <c r="J376">
        <v>1401.9147949000001</v>
      </c>
      <c r="K376">
        <v>0</v>
      </c>
      <c r="L376">
        <v>2400</v>
      </c>
      <c r="M376">
        <v>2400</v>
      </c>
      <c r="N376">
        <v>0</v>
      </c>
    </row>
    <row r="377" spans="1:14" x14ac:dyDescent="0.25">
      <c r="A377">
        <v>184.10493399999999</v>
      </c>
      <c r="B377" s="1">
        <f>DATE(2010,11,1) + TIME(2,31,6)</f>
        <v>40483.104930555557</v>
      </c>
      <c r="C377">
        <v>70</v>
      </c>
      <c r="D377">
        <v>69.888511657999999</v>
      </c>
      <c r="E377">
        <v>40</v>
      </c>
      <c r="F377">
        <v>18.323839188000001</v>
      </c>
      <c r="G377">
        <v>1296.958374</v>
      </c>
      <c r="H377">
        <v>1283.0167236</v>
      </c>
      <c r="I377">
        <v>1439.2719727000001</v>
      </c>
      <c r="J377">
        <v>1402.8480225000001</v>
      </c>
      <c r="K377">
        <v>0</v>
      </c>
      <c r="L377">
        <v>2400</v>
      </c>
      <c r="M377">
        <v>2400</v>
      </c>
      <c r="N377">
        <v>0</v>
      </c>
    </row>
    <row r="378" spans="1:14" x14ac:dyDescent="0.25">
      <c r="A378">
        <v>184.14507399999999</v>
      </c>
      <c r="B378" s="1">
        <f>DATE(2010,11,1) + TIME(3,28,54)</f>
        <v>40483.145069444443</v>
      </c>
      <c r="C378">
        <v>70</v>
      </c>
      <c r="D378">
        <v>69.876358031999999</v>
      </c>
      <c r="E378">
        <v>40</v>
      </c>
      <c r="F378">
        <v>19.275466918999999</v>
      </c>
      <c r="G378">
        <v>1296.4661865</v>
      </c>
      <c r="H378">
        <v>1282.5229492000001</v>
      </c>
      <c r="I378">
        <v>1438.3197021000001</v>
      </c>
      <c r="J378">
        <v>1402.7305908000001</v>
      </c>
      <c r="K378">
        <v>0</v>
      </c>
      <c r="L378">
        <v>2400</v>
      </c>
      <c r="M378">
        <v>2400</v>
      </c>
      <c r="N378">
        <v>0</v>
      </c>
    </row>
    <row r="379" spans="1:14" x14ac:dyDescent="0.25">
      <c r="A379">
        <v>184.186969</v>
      </c>
      <c r="B379" s="1">
        <f>DATE(2010,11,1) + TIME(4,29,14)</f>
        <v>40483.186967592592</v>
      </c>
      <c r="C379">
        <v>70</v>
      </c>
      <c r="D379">
        <v>69.863899231000005</v>
      </c>
      <c r="E379">
        <v>40</v>
      </c>
      <c r="F379">
        <v>20.225393295</v>
      </c>
      <c r="G379">
        <v>1296.2856445</v>
      </c>
      <c r="H379">
        <v>1282.3413086</v>
      </c>
      <c r="I379">
        <v>1437.1451416</v>
      </c>
      <c r="J379">
        <v>1402.3582764</v>
      </c>
      <c r="K379">
        <v>0</v>
      </c>
      <c r="L379">
        <v>2400</v>
      </c>
      <c r="M379">
        <v>2400</v>
      </c>
      <c r="N379">
        <v>0</v>
      </c>
    </row>
    <row r="380" spans="1:14" x14ac:dyDescent="0.25">
      <c r="A380">
        <v>184.230782</v>
      </c>
      <c r="B380" s="1">
        <f>DATE(2010,11,1) + TIME(5,32,19)</f>
        <v>40483.230775462966</v>
      </c>
      <c r="C380">
        <v>70</v>
      </c>
      <c r="D380">
        <v>69.851089478000006</v>
      </c>
      <c r="E380">
        <v>40</v>
      </c>
      <c r="F380">
        <v>21.173793793000002</v>
      </c>
      <c r="G380">
        <v>1296.2154541</v>
      </c>
      <c r="H380">
        <v>1282.2701416</v>
      </c>
      <c r="I380">
        <v>1435.9561768000001</v>
      </c>
      <c r="J380">
        <v>1401.9399414</v>
      </c>
      <c r="K380">
        <v>0</v>
      </c>
      <c r="L380">
        <v>2400</v>
      </c>
      <c r="M380">
        <v>2400</v>
      </c>
      <c r="N380">
        <v>0</v>
      </c>
    </row>
    <row r="381" spans="1:14" x14ac:dyDescent="0.25">
      <c r="A381">
        <v>184.276669</v>
      </c>
      <c r="B381" s="1">
        <f>DATE(2010,11,1) + TIME(6,38,24)</f>
        <v>40483.276666666665</v>
      </c>
      <c r="C381">
        <v>70</v>
      </c>
      <c r="D381">
        <v>69.837882996000005</v>
      </c>
      <c r="E381">
        <v>40</v>
      </c>
      <c r="F381">
        <v>22.119211196999998</v>
      </c>
      <c r="G381">
        <v>1296.1865233999999</v>
      </c>
      <c r="H381">
        <v>1282.2403564000001</v>
      </c>
      <c r="I381">
        <v>1434.8040771000001</v>
      </c>
      <c r="J381">
        <v>1401.5268555</v>
      </c>
      <c r="K381">
        <v>0</v>
      </c>
      <c r="L381">
        <v>2400</v>
      </c>
      <c r="M381">
        <v>2400</v>
      </c>
      <c r="N381">
        <v>0</v>
      </c>
    </row>
    <row r="382" spans="1:14" x14ac:dyDescent="0.25">
      <c r="A382">
        <v>184.324859</v>
      </c>
      <c r="B382" s="1">
        <f>DATE(2010,11,1) + TIME(7,47,47)</f>
        <v>40483.324849537035</v>
      </c>
      <c r="C382">
        <v>70</v>
      </c>
      <c r="D382">
        <v>69.824226378999995</v>
      </c>
      <c r="E382">
        <v>40</v>
      </c>
      <c r="F382">
        <v>23.061685562000001</v>
      </c>
      <c r="G382">
        <v>1296.1738281</v>
      </c>
      <c r="H382">
        <v>1282.2268065999999</v>
      </c>
      <c r="I382">
        <v>1433.6965332</v>
      </c>
      <c r="J382">
        <v>1401.1281738</v>
      </c>
      <c r="K382">
        <v>0</v>
      </c>
      <c r="L382">
        <v>2400</v>
      </c>
      <c r="M382">
        <v>2400</v>
      </c>
      <c r="N382">
        <v>0</v>
      </c>
    </row>
    <row r="383" spans="1:14" x14ac:dyDescent="0.25">
      <c r="A383">
        <v>184.37561199999999</v>
      </c>
      <c r="B383" s="1">
        <f>DATE(2010,11,1) + TIME(9,0,52)</f>
        <v>40483.375601851854</v>
      </c>
      <c r="C383">
        <v>70</v>
      </c>
      <c r="D383">
        <v>69.810081482000001</v>
      </c>
      <c r="E383">
        <v>40</v>
      </c>
      <c r="F383">
        <v>24.001134872000002</v>
      </c>
      <c r="G383">
        <v>1296.1676024999999</v>
      </c>
      <c r="H383">
        <v>1282.2196045000001</v>
      </c>
      <c r="I383">
        <v>1432.6312256000001</v>
      </c>
      <c r="J383">
        <v>1400.7432861</v>
      </c>
      <c r="K383">
        <v>0</v>
      </c>
      <c r="L383">
        <v>2400</v>
      </c>
      <c r="M383">
        <v>2400</v>
      </c>
      <c r="N383">
        <v>0</v>
      </c>
    </row>
    <row r="384" spans="1:14" x14ac:dyDescent="0.25">
      <c r="A384">
        <v>184.42921999999999</v>
      </c>
      <c r="B384" s="1">
        <f>DATE(2010,11,1) + TIME(10,18,4)</f>
        <v>40483.429212962961</v>
      </c>
      <c r="C384">
        <v>70</v>
      </c>
      <c r="D384">
        <v>69.795387267999999</v>
      </c>
      <c r="E384">
        <v>40</v>
      </c>
      <c r="F384">
        <v>24.937223434</v>
      </c>
      <c r="G384">
        <v>1296.1640625</v>
      </c>
      <c r="H384">
        <v>1282.2152100000001</v>
      </c>
      <c r="I384">
        <v>1431.6049805</v>
      </c>
      <c r="J384">
        <v>1400.3699951000001</v>
      </c>
      <c r="K384">
        <v>0</v>
      </c>
      <c r="L384">
        <v>2400</v>
      </c>
      <c r="M384">
        <v>2400</v>
      </c>
      <c r="N384">
        <v>0</v>
      </c>
    </row>
    <row r="385" spans="1:14" x14ac:dyDescent="0.25">
      <c r="A385">
        <v>184.486028</v>
      </c>
      <c r="B385" s="1">
        <f>DATE(2010,11,1) + TIME(11,39,52)</f>
        <v>40483.486018518517</v>
      </c>
      <c r="C385">
        <v>70</v>
      </c>
      <c r="D385">
        <v>69.780075073000006</v>
      </c>
      <c r="E385">
        <v>40</v>
      </c>
      <c r="F385">
        <v>25.870178223</v>
      </c>
      <c r="G385">
        <v>1296.161499</v>
      </c>
      <c r="H385">
        <v>1282.2116699000001</v>
      </c>
      <c r="I385">
        <v>1430.6140137</v>
      </c>
      <c r="J385">
        <v>1400.0064697</v>
      </c>
      <c r="K385">
        <v>0</v>
      </c>
      <c r="L385">
        <v>2400</v>
      </c>
      <c r="M385">
        <v>2400</v>
      </c>
      <c r="N385">
        <v>0</v>
      </c>
    </row>
    <row r="386" spans="1:14" x14ac:dyDescent="0.25">
      <c r="A386">
        <v>184.546423</v>
      </c>
      <c r="B386" s="1">
        <f>DATE(2010,11,1) + TIME(13,6,50)</f>
        <v>40483.546412037038</v>
      </c>
      <c r="C386">
        <v>70</v>
      </c>
      <c r="D386">
        <v>69.764076232999997</v>
      </c>
      <c r="E386">
        <v>40</v>
      </c>
      <c r="F386">
        <v>26.798704146999999</v>
      </c>
      <c r="G386">
        <v>1296.1593018000001</v>
      </c>
      <c r="H386">
        <v>1282.2084961</v>
      </c>
      <c r="I386">
        <v>1429.6564940999999</v>
      </c>
      <c r="J386">
        <v>1399.6511230000001</v>
      </c>
      <c r="K386">
        <v>0</v>
      </c>
      <c r="L386">
        <v>2400</v>
      </c>
      <c r="M386">
        <v>2400</v>
      </c>
      <c r="N386">
        <v>0</v>
      </c>
    </row>
    <row r="387" spans="1:14" x14ac:dyDescent="0.25">
      <c r="A387">
        <v>184.610883</v>
      </c>
      <c r="B387" s="1">
        <f>DATE(2010,11,1) + TIME(14,39,40)</f>
        <v>40483.610879629632</v>
      </c>
      <c r="C387">
        <v>70</v>
      </c>
      <c r="D387">
        <v>69.747306824000006</v>
      </c>
      <c r="E387">
        <v>40</v>
      </c>
      <c r="F387">
        <v>27.72215271</v>
      </c>
      <c r="G387">
        <v>1296.1569824000001</v>
      </c>
      <c r="H387">
        <v>1282.2052002</v>
      </c>
      <c r="I387">
        <v>1428.7299805</v>
      </c>
      <c r="J387">
        <v>1399.3026123</v>
      </c>
      <c r="K387">
        <v>0</v>
      </c>
      <c r="L387">
        <v>2400</v>
      </c>
      <c r="M387">
        <v>2400</v>
      </c>
      <c r="N387">
        <v>0</v>
      </c>
    </row>
    <row r="388" spans="1:14" x14ac:dyDescent="0.25">
      <c r="A388">
        <v>184.68001599999999</v>
      </c>
      <c r="B388" s="1">
        <f>DATE(2010,11,1) + TIME(16,19,13)</f>
        <v>40483.680011574077</v>
      </c>
      <c r="C388">
        <v>70</v>
      </c>
      <c r="D388">
        <v>69.729652404999996</v>
      </c>
      <c r="E388">
        <v>40</v>
      </c>
      <c r="F388">
        <v>28.640148162999999</v>
      </c>
      <c r="G388">
        <v>1296.1545410000001</v>
      </c>
      <c r="H388">
        <v>1282.2016602000001</v>
      </c>
      <c r="I388">
        <v>1427.8322754000001</v>
      </c>
      <c r="J388">
        <v>1398.9595947</v>
      </c>
      <c r="K388">
        <v>0</v>
      </c>
      <c r="L388">
        <v>2400</v>
      </c>
      <c r="M388">
        <v>2400</v>
      </c>
      <c r="N388">
        <v>0</v>
      </c>
    </row>
    <row r="389" spans="1:14" x14ac:dyDescent="0.25">
      <c r="A389">
        <v>184.75454099999999</v>
      </c>
      <c r="B389" s="1">
        <f>DATE(2010,11,1) + TIME(18,6,32)</f>
        <v>40483.754537037035</v>
      </c>
      <c r="C389">
        <v>70</v>
      </c>
      <c r="D389">
        <v>69.710975646999998</v>
      </c>
      <c r="E389">
        <v>40</v>
      </c>
      <c r="F389">
        <v>29.551872252999999</v>
      </c>
      <c r="G389">
        <v>1296.1518555</v>
      </c>
      <c r="H389">
        <v>1282.197876</v>
      </c>
      <c r="I389">
        <v>1426.9611815999999</v>
      </c>
      <c r="J389">
        <v>1398.6207274999999</v>
      </c>
      <c r="K389">
        <v>0</v>
      </c>
      <c r="L389">
        <v>2400</v>
      </c>
      <c r="M389">
        <v>2400</v>
      </c>
      <c r="N389">
        <v>0</v>
      </c>
    </row>
    <row r="390" spans="1:14" x14ac:dyDescent="0.25">
      <c r="A390">
        <v>184.835351</v>
      </c>
      <c r="B390" s="1">
        <f>DATE(2010,11,1) + TIME(20,2,54)</f>
        <v>40483.835347222222</v>
      </c>
      <c r="C390">
        <v>70</v>
      </c>
      <c r="D390">
        <v>69.691131592000005</v>
      </c>
      <c r="E390">
        <v>40</v>
      </c>
      <c r="F390">
        <v>30.456441879</v>
      </c>
      <c r="G390">
        <v>1296.1488036999999</v>
      </c>
      <c r="H390">
        <v>1282.1937256000001</v>
      </c>
      <c r="I390">
        <v>1426.114624</v>
      </c>
      <c r="J390">
        <v>1398.2847899999999</v>
      </c>
      <c r="K390">
        <v>0</v>
      </c>
      <c r="L390">
        <v>2400</v>
      </c>
      <c r="M390">
        <v>2400</v>
      </c>
      <c r="N390">
        <v>0</v>
      </c>
    </row>
    <row r="391" spans="1:14" x14ac:dyDescent="0.25">
      <c r="A391">
        <v>184.92356699999999</v>
      </c>
      <c r="B391" s="1">
        <f>DATE(2010,11,1) + TIME(22,9,56)</f>
        <v>40483.923564814817</v>
      </c>
      <c r="C391">
        <v>70</v>
      </c>
      <c r="D391">
        <v>69.669914246000005</v>
      </c>
      <c r="E391">
        <v>40</v>
      </c>
      <c r="F391">
        <v>31.352621077999999</v>
      </c>
      <c r="G391">
        <v>1296.1455077999999</v>
      </c>
      <c r="H391">
        <v>1282.1890868999999</v>
      </c>
      <c r="I391">
        <v>1425.2906493999999</v>
      </c>
      <c r="J391">
        <v>1397.9501952999999</v>
      </c>
      <c r="K391">
        <v>0</v>
      </c>
      <c r="L391">
        <v>2400</v>
      </c>
      <c r="M391">
        <v>2400</v>
      </c>
      <c r="N391">
        <v>0</v>
      </c>
    </row>
    <row r="392" spans="1:14" x14ac:dyDescent="0.25">
      <c r="A392">
        <v>185.020613</v>
      </c>
      <c r="B392" s="1">
        <f>DATE(2010,11,2) + TIME(0,29,40)</f>
        <v>40484.020601851851</v>
      </c>
      <c r="C392">
        <v>70</v>
      </c>
      <c r="D392">
        <v>69.647087096999996</v>
      </c>
      <c r="E392">
        <v>40</v>
      </c>
      <c r="F392">
        <v>32.238628386999999</v>
      </c>
      <c r="G392">
        <v>1296.1418457</v>
      </c>
      <c r="H392">
        <v>1282.1842041</v>
      </c>
      <c r="I392">
        <v>1424.4874268000001</v>
      </c>
      <c r="J392">
        <v>1397.6153564000001</v>
      </c>
      <c r="K392">
        <v>0</v>
      </c>
      <c r="L392">
        <v>2400</v>
      </c>
      <c r="M392">
        <v>2400</v>
      </c>
      <c r="N392">
        <v>0</v>
      </c>
    </row>
    <row r="393" spans="1:14" x14ac:dyDescent="0.25">
      <c r="A393">
        <v>185.12839099999999</v>
      </c>
      <c r="B393" s="1">
        <f>DATE(2010,11,2) + TIME(3,4,52)</f>
        <v>40484.128379629627</v>
      </c>
      <c r="C393">
        <v>70</v>
      </c>
      <c r="D393">
        <v>69.622322083</v>
      </c>
      <c r="E393">
        <v>40</v>
      </c>
      <c r="F393">
        <v>33.112724303999997</v>
      </c>
      <c r="G393">
        <v>1296.1376952999999</v>
      </c>
      <c r="H393">
        <v>1282.1785889</v>
      </c>
      <c r="I393">
        <v>1423.7027588000001</v>
      </c>
      <c r="J393">
        <v>1397.2783202999999</v>
      </c>
      <c r="K393">
        <v>0</v>
      </c>
      <c r="L393">
        <v>2400</v>
      </c>
      <c r="M393">
        <v>2400</v>
      </c>
      <c r="N393">
        <v>0</v>
      </c>
    </row>
    <row r="394" spans="1:14" x14ac:dyDescent="0.25">
      <c r="A394">
        <v>185.24943400000001</v>
      </c>
      <c r="B394" s="1">
        <f>DATE(2010,11,2) + TIME(5,59,11)</f>
        <v>40484.249432870369</v>
      </c>
      <c r="C394">
        <v>70</v>
      </c>
      <c r="D394">
        <v>69.595199585000003</v>
      </c>
      <c r="E394">
        <v>40</v>
      </c>
      <c r="F394">
        <v>33.972469330000003</v>
      </c>
      <c r="G394">
        <v>1296.1331786999999</v>
      </c>
      <c r="H394">
        <v>1282.1724853999999</v>
      </c>
      <c r="I394">
        <v>1422.9343262</v>
      </c>
      <c r="J394">
        <v>1396.9368896000001</v>
      </c>
      <c r="K394">
        <v>0</v>
      </c>
      <c r="L394">
        <v>2400</v>
      </c>
      <c r="M394">
        <v>2400</v>
      </c>
      <c r="N394">
        <v>0</v>
      </c>
    </row>
    <row r="395" spans="1:14" x14ac:dyDescent="0.25">
      <c r="A395">
        <v>185.387237</v>
      </c>
      <c r="B395" s="1">
        <f>DATE(2010,11,2) + TIME(9,17,37)</f>
        <v>40484.387233796297</v>
      </c>
      <c r="C395">
        <v>70</v>
      </c>
      <c r="D395">
        <v>69.565155028999996</v>
      </c>
      <c r="E395">
        <v>40</v>
      </c>
      <c r="F395">
        <v>34.814708709999998</v>
      </c>
      <c r="G395">
        <v>1296.1279297000001</v>
      </c>
      <c r="H395">
        <v>1282.1656493999999</v>
      </c>
      <c r="I395">
        <v>1422.1798096</v>
      </c>
      <c r="J395">
        <v>1396.5883789</v>
      </c>
      <c r="K395">
        <v>0</v>
      </c>
      <c r="L395">
        <v>2400</v>
      </c>
      <c r="M395">
        <v>2400</v>
      </c>
      <c r="N395">
        <v>0</v>
      </c>
    </row>
    <row r="396" spans="1:14" x14ac:dyDescent="0.25">
      <c r="A396">
        <v>185.546795</v>
      </c>
      <c r="B396" s="1">
        <f>DATE(2010,11,2) + TIME(13,7,23)</f>
        <v>40484.546793981484</v>
      </c>
      <c r="C396">
        <v>70</v>
      </c>
      <c r="D396">
        <v>69.531410217000001</v>
      </c>
      <c r="E396">
        <v>40</v>
      </c>
      <c r="F396">
        <v>35.635265349999997</v>
      </c>
      <c r="G396">
        <v>1296.1219481999999</v>
      </c>
      <c r="H396">
        <v>1282.1578368999999</v>
      </c>
      <c r="I396">
        <v>1421.4362793</v>
      </c>
      <c r="J396">
        <v>1396.229126</v>
      </c>
      <c r="K396">
        <v>0</v>
      </c>
      <c r="L396">
        <v>2400</v>
      </c>
      <c r="M396">
        <v>2400</v>
      </c>
      <c r="N396">
        <v>0</v>
      </c>
    </row>
    <row r="397" spans="1:14" x14ac:dyDescent="0.25">
      <c r="A397">
        <v>185.71025800000001</v>
      </c>
      <c r="B397" s="1">
        <f>DATE(2010,11,2) + TIME(17,2,46)</f>
        <v>40484.71025462963</v>
      </c>
      <c r="C397">
        <v>70</v>
      </c>
      <c r="D397">
        <v>69.497169494999994</v>
      </c>
      <c r="E397">
        <v>40</v>
      </c>
      <c r="F397">
        <v>36.339550017999997</v>
      </c>
      <c r="G397">
        <v>1296.1147461</v>
      </c>
      <c r="H397">
        <v>1282.1490478999999</v>
      </c>
      <c r="I397">
        <v>1420.7667236</v>
      </c>
      <c r="J397">
        <v>1395.878418</v>
      </c>
      <c r="K397">
        <v>0</v>
      </c>
      <c r="L397">
        <v>2400</v>
      </c>
      <c r="M397">
        <v>2400</v>
      </c>
      <c r="N397">
        <v>0</v>
      </c>
    </row>
    <row r="398" spans="1:14" x14ac:dyDescent="0.25">
      <c r="A398">
        <v>185.876521</v>
      </c>
      <c r="B398" s="1">
        <f>DATE(2010,11,2) + TIME(21,2,11)</f>
        <v>40484.876516203702</v>
      </c>
      <c r="C398">
        <v>70</v>
      </c>
      <c r="D398">
        <v>69.462638854999994</v>
      </c>
      <c r="E398">
        <v>40</v>
      </c>
      <c r="F398">
        <v>36.937721252000003</v>
      </c>
      <c r="G398">
        <v>1296.1072998</v>
      </c>
      <c r="H398">
        <v>1282.1398925999999</v>
      </c>
      <c r="I398">
        <v>1420.1754149999999</v>
      </c>
      <c r="J398">
        <v>1395.5518798999999</v>
      </c>
      <c r="K398">
        <v>0</v>
      </c>
      <c r="L398">
        <v>2400</v>
      </c>
      <c r="M398">
        <v>2400</v>
      </c>
      <c r="N398">
        <v>0</v>
      </c>
    </row>
    <row r="399" spans="1:14" x14ac:dyDescent="0.25">
      <c r="A399">
        <v>186.047167</v>
      </c>
      <c r="B399" s="1">
        <f>DATE(2010,11,3) + TIME(1,7,55)</f>
        <v>40485.047164351854</v>
      </c>
      <c r="C399">
        <v>70</v>
      </c>
      <c r="D399">
        <v>69.427528381000002</v>
      </c>
      <c r="E399">
        <v>40</v>
      </c>
      <c r="F399">
        <v>37.447921753000003</v>
      </c>
      <c r="G399">
        <v>1296.0996094</v>
      </c>
      <c r="H399">
        <v>1282.1307373</v>
      </c>
      <c r="I399">
        <v>1419.6479492000001</v>
      </c>
      <c r="J399">
        <v>1395.2462158000001</v>
      </c>
      <c r="K399">
        <v>0</v>
      </c>
      <c r="L399">
        <v>2400</v>
      </c>
      <c r="M399">
        <v>2400</v>
      </c>
      <c r="N399">
        <v>0</v>
      </c>
    </row>
    <row r="400" spans="1:14" x14ac:dyDescent="0.25">
      <c r="A400">
        <v>186.22354100000001</v>
      </c>
      <c r="B400" s="1">
        <f>DATE(2010,11,3) + TIME(5,21,53)</f>
        <v>40485.223530092589</v>
      </c>
      <c r="C400">
        <v>70</v>
      </c>
      <c r="D400">
        <v>69.391624450999998</v>
      </c>
      <c r="E400">
        <v>40</v>
      </c>
      <c r="F400">
        <v>37.88351059</v>
      </c>
      <c r="G400">
        <v>1296.0917969</v>
      </c>
      <c r="H400">
        <v>1282.1212158000001</v>
      </c>
      <c r="I400">
        <v>1419.171875</v>
      </c>
      <c r="J400">
        <v>1394.9569091999999</v>
      </c>
      <c r="K400">
        <v>0</v>
      </c>
      <c r="L400">
        <v>2400</v>
      </c>
      <c r="M400">
        <v>2400</v>
      </c>
      <c r="N400">
        <v>0</v>
      </c>
    </row>
    <row r="401" spans="1:14" x14ac:dyDescent="0.25">
      <c r="A401">
        <v>186.40705299999999</v>
      </c>
      <c r="B401" s="1">
        <f>DATE(2010,11,3) + TIME(9,46,9)</f>
        <v>40485.407048611109</v>
      </c>
      <c r="C401">
        <v>70</v>
      </c>
      <c r="D401">
        <v>69.354690551999994</v>
      </c>
      <c r="E401">
        <v>40</v>
      </c>
      <c r="F401">
        <v>38.255149840999998</v>
      </c>
      <c r="G401">
        <v>1296.0837402</v>
      </c>
      <c r="H401">
        <v>1282.1113281</v>
      </c>
      <c r="I401">
        <v>1418.737793</v>
      </c>
      <c r="J401">
        <v>1394.6804199000001</v>
      </c>
      <c r="K401">
        <v>0</v>
      </c>
      <c r="L401">
        <v>2400</v>
      </c>
      <c r="M401">
        <v>2400</v>
      </c>
      <c r="N401">
        <v>0</v>
      </c>
    </row>
    <row r="402" spans="1:14" x14ac:dyDescent="0.25">
      <c r="A402">
        <v>186.599391</v>
      </c>
      <c r="B402" s="1">
        <f>DATE(2010,11,3) + TIME(14,23,7)</f>
        <v>40485.599386574075</v>
      </c>
      <c r="C402">
        <v>70</v>
      </c>
      <c r="D402">
        <v>69.316444396999998</v>
      </c>
      <c r="E402">
        <v>40</v>
      </c>
      <c r="F402">
        <v>38.571750641000001</v>
      </c>
      <c r="G402">
        <v>1296.0751952999999</v>
      </c>
      <c r="H402">
        <v>1282.1010742000001</v>
      </c>
      <c r="I402">
        <v>1418.3380127</v>
      </c>
      <c r="J402">
        <v>1394.4136963000001</v>
      </c>
      <c r="K402">
        <v>0</v>
      </c>
      <c r="L402">
        <v>2400</v>
      </c>
      <c r="M402">
        <v>2400</v>
      </c>
      <c r="N402">
        <v>0</v>
      </c>
    </row>
    <row r="403" spans="1:14" x14ac:dyDescent="0.25">
      <c r="A403">
        <v>186.802269</v>
      </c>
      <c r="B403" s="1">
        <f>DATE(2010,11,3) + TIME(19,15,16)</f>
        <v>40485.802268518521</v>
      </c>
      <c r="C403">
        <v>70</v>
      </c>
      <c r="D403">
        <v>69.276626586999996</v>
      </c>
      <c r="E403">
        <v>40</v>
      </c>
      <c r="F403">
        <v>38.840393065999997</v>
      </c>
      <c r="G403">
        <v>1296.0662841999999</v>
      </c>
      <c r="H403">
        <v>1282.0902100000001</v>
      </c>
      <c r="I403">
        <v>1417.9663086</v>
      </c>
      <c r="J403">
        <v>1394.1540527</v>
      </c>
      <c r="K403">
        <v>0</v>
      </c>
      <c r="L403">
        <v>2400</v>
      </c>
      <c r="M403">
        <v>2400</v>
      </c>
      <c r="N403">
        <v>0</v>
      </c>
    </row>
    <row r="404" spans="1:14" x14ac:dyDescent="0.25">
      <c r="A404">
        <v>187.01759699999999</v>
      </c>
      <c r="B404" s="1">
        <f>DATE(2010,11,4) + TIME(0,25,20)</f>
        <v>40486.017592592594</v>
      </c>
      <c r="C404">
        <v>70</v>
      </c>
      <c r="D404">
        <v>69.234931946000003</v>
      </c>
      <c r="E404">
        <v>40</v>
      </c>
      <c r="F404">
        <v>39.067043304000002</v>
      </c>
      <c r="G404">
        <v>1296.0568848</v>
      </c>
      <c r="H404">
        <v>1282.0788574000001</v>
      </c>
      <c r="I404">
        <v>1417.6176757999999</v>
      </c>
      <c r="J404">
        <v>1393.8996582</v>
      </c>
      <c r="K404">
        <v>0</v>
      </c>
      <c r="L404">
        <v>2400</v>
      </c>
      <c r="M404">
        <v>2400</v>
      </c>
      <c r="N404">
        <v>0</v>
      </c>
    </row>
    <row r="405" spans="1:14" x14ac:dyDescent="0.25">
      <c r="A405">
        <v>187.24777399999999</v>
      </c>
      <c r="B405" s="1">
        <f>DATE(2010,11,4) + TIME(5,56,47)</f>
        <v>40486.247766203705</v>
      </c>
      <c r="C405">
        <v>70</v>
      </c>
      <c r="D405">
        <v>69.190994262999993</v>
      </c>
      <c r="E405">
        <v>40</v>
      </c>
      <c r="F405">
        <v>39.256954192999999</v>
      </c>
      <c r="G405">
        <v>1296.046875</v>
      </c>
      <c r="H405">
        <v>1282.0667725000001</v>
      </c>
      <c r="I405">
        <v>1417.2874756000001</v>
      </c>
      <c r="J405">
        <v>1393.6484375</v>
      </c>
      <c r="K405">
        <v>0</v>
      </c>
      <c r="L405">
        <v>2400</v>
      </c>
      <c r="M405">
        <v>2400</v>
      </c>
      <c r="N405">
        <v>0</v>
      </c>
    </row>
    <row r="406" spans="1:14" x14ac:dyDescent="0.25">
      <c r="A406">
        <v>187.49569700000001</v>
      </c>
      <c r="B406" s="1">
        <f>DATE(2010,11,4) + TIME(11,53,48)</f>
        <v>40486.495694444442</v>
      </c>
      <c r="C406">
        <v>70</v>
      </c>
      <c r="D406">
        <v>69.144393921000002</v>
      </c>
      <c r="E406">
        <v>40</v>
      </c>
      <c r="F406">
        <v>39.414703369000001</v>
      </c>
      <c r="G406">
        <v>1296.0360106999999</v>
      </c>
      <c r="H406">
        <v>1282.0538329999999</v>
      </c>
      <c r="I406">
        <v>1416.9716797000001</v>
      </c>
      <c r="J406">
        <v>1393.3983154</v>
      </c>
      <c r="K406">
        <v>0</v>
      </c>
      <c r="L406">
        <v>2400</v>
      </c>
      <c r="M406">
        <v>2400</v>
      </c>
      <c r="N406">
        <v>0</v>
      </c>
    </row>
    <row r="407" spans="1:14" x14ac:dyDescent="0.25">
      <c r="A407">
        <v>187.76480100000001</v>
      </c>
      <c r="B407" s="1">
        <f>DATE(2010,11,4) + TIME(18,21,18)</f>
        <v>40486.764791666668</v>
      </c>
      <c r="C407">
        <v>70</v>
      </c>
      <c r="D407">
        <v>69.094619750999996</v>
      </c>
      <c r="E407">
        <v>40</v>
      </c>
      <c r="F407">
        <v>39.544277190999999</v>
      </c>
      <c r="G407">
        <v>1296.0244141000001</v>
      </c>
      <c r="H407">
        <v>1282.0399170000001</v>
      </c>
      <c r="I407">
        <v>1416.666626</v>
      </c>
      <c r="J407">
        <v>1393.1475829999999</v>
      </c>
      <c r="K407">
        <v>0</v>
      </c>
      <c r="L407">
        <v>2400</v>
      </c>
      <c r="M407">
        <v>2400</v>
      </c>
      <c r="N407">
        <v>0</v>
      </c>
    </row>
    <row r="408" spans="1:14" x14ac:dyDescent="0.25">
      <c r="A408">
        <v>188.05979500000001</v>
      </c>
      <c r="B408" s="1">
        <f>DATE(2010,11,5) + TIME(1,26,6)</f>
        <v>40487.059791666667</v>
      </c>
      <c r="C408">
        <v>70</v>
      </c>
      <c r="D408">
        <v>69.041023253999995</v>
      </c>
      <c r="E408">
        <v>40</v>
      </c>
      <c r="F408">
        <v>39.649375915999997</v>
      </c>
      <c r="G408">
        <v>1296.0117187999999</v>
      </c>
      <c r="H408">
        <v>1282.0247803</v>
      </c>
      <c r="I408">
        <v>1416.3685303</v>
      </c>
      <c r="J408">
        <v>1392.894043</v>
      </c>
      <c r="K408">
        <v>0</v>
      </c>
      <c r="L408">
        <v>2400</v>
      </c>
      <c r="M408">
        <v>2400</v>
      </c>
      <c r="N408">
        <v>0</v>
      </c>
    </row>
    <row r="409" spans="1:14" x14ac:dyDescent="0.25">
      <c r="A409">
        <v>188.38017300000001</v>
      </c>
      <c r="B409" s="1">
        <f>DATE(2010,11,5) + TIME(9,7,26)</f>
        <v>40487.380162037036</v>
      </c>
      <c r="C409">
        <v>70</v>
      </c>
      <c r="D409">
        <v>68.983612061000002</v>
      </c>
      <c r="E409">
        <v>40</v>
      </c>
      <c r="F409">
        <v>39.732063293000003</v>
      </c>
      <c r="G409">
        <v>1295.9978027</v>
      </c>
      <c r="H409">
        <v>1282.0081786999999</v>
      </c>
      <c r="I409">
        <v>1416.074707</v>
      </c>
      <c r="J409">
        <v>1392.6357422000001</v>
      </c>
      <c r="K409">
        <v>0</v>
      </c>
      <c r="L409">
        <v>2400</v>
      </c>
      <c r="M409">
        <v>2400</v>
      </c>
      <c r="N409">
        <v>0</v>
      </c>
    </row>
    <row r="410" spans="1:14" x14ac:dyDescent="0.25">
      <c r="A410">
        <v>188.72468000000001</v>
      </c>
      <c r="B410" s="1">
        <f>DATE(2010,11,5) + TIME(17,23,32)</f>
        <v>40487.724675925929</v>
      </c>
      <c r="C410">
        <v>70</v>
      </c>
      <c r="D410">
        <v>68.922523498999993</v>
      </c>
      <c r="E410">
        <v>40</v>
      </c>
      <c r="F410">
        <v>39.795261383000003</v>
      </c>
      <c r="G410">
        <v>1295.9824219</v>
      </c>
      <c r="H410">
        <v>1281.9901123</v>
      </c>
      <c r="I410">
        <v>1415.7858887</v>
      </c>
      <c r="J410">
        <v>1392.3751221</v>
      </c>
      <c r="K410">
        <v>0</v>
      </c>
      <c r="L410">
        <v>2400</v>
      </c>
      <c r="M410">
        <v>2400</v>
      </c>
      <c r="N410">
        <v>0</v>
      </c>
    </row>
    <row r="411" spans="1:14" x14ac:dyDescent="0.25">
      <c r="A411">
        <v>189.07114799999999</v>
      </c>
      <c r="B411" s="1">
        <f>DATE(2010,11,6) + TIME(1,42,27)</f>
        <v>40488.071145833332</v>
      </c>
      <c r="C411">
        <v>70</v>
      </c>
      <c r="D411">
        <v>68.860511779999996</v>
      </c>
      <c r="E411">
        <v>40</v>
      </c>
      <c r="F411">
        <v>39.840435028000002</v>
      </c>
      <c r="G411">
        <v>1295.9656981999999</v>
      </c>
      <c r="H411">
        <v>1281.9708252</v>
      </c>
      <c r="I411">
        <v>1415.5047606999999</v>
      </c>
      <c r="J411">
        <v>1392.1149902</v>
      </c>
      <c r="K411">
        <v>0</v>
      </c>
      <c r="L411">
        <v>2400</v>
      </c>
      <c r="M411">
        <v>2400</v>
      </c>
      <c r="N411">
        <v>0</v>
      </c>
    </row>
    <row r="412" spans="1:14" x14ac:dyDescent="0.25">
      <c r="A412">
        <v>189.422954</v>
      </c>
      <c r="B412" s="1">
        <f>DATE(2010,11,6) + TIME(10,9,3)</f>
        <v>40488.422951388886</v>
      </c>
      <c r="C412">
        <v>70</v>
      </c>
      <c r="D412">
        <v>68.797477721999996</v>
      </c>
      <c r="E412">
        <v>40</v>
      </c>
      <c r="F412">
        <v>39.872966765999998</v>
      </c>
      <c r="G412">
        <v>1295.9488524999999</v>
      </c>
      <c r="H412">
        <v>1281.9512939000001</v>
      </c>
      <c r="I412">
        <v>1415.244751</v>
      </c>
      <c r="J412">
        <v>1391.8709716999999</v>
      </c>
      <c r="K412">
        <v>0</v>
      </c>
      <c r="L412">
        <v>2400</v>
      </c>
      <c r="M412">
        <v>2400</v>
      </c>
      <c r="N412">
        <v>0</v>
      </c>
    </row>
    <row r="413" spans="1:14" x14ac:dyDescent="0.25">
      <c r="A413">
        <v>189.78329500000001</v>
      </c>
      <c r="B413" s="1">
        <f>DATE(2010,11,6) + TIME(18,47,56)</f>
        <v>40488.78328703704</v>
      </c>
      <c r="C413">
        <v>70</v>
      </c>
      <c r="D413">
        <v>68.733200073000006</v>
      </c>
      <c r="E413">
        <v>40</v>
      </c>
      <c r="F413">
        <v>39.896495819000002</v>
      </c>
      <c r="G413">
        <v>1295.9318848</v>
      </c>
      <c r="H413">
        <v>1281.9313964999999</v>
      </c>
      <c r="I413">
        <v>1415.0004882999999</v>
      </c>
      <c r="J413">
        <v>1391.6392822</v>
      </c>
      <c r="K413">
        <v>0</v>
      </c>
      <c r="L413">
        <v>2400</v>
      </c>
      <c r="M413">
        <v>2400</v>
      </c>
      <c r="N413">
        <v>0</v>
      </c>
    </row>
    <row r="414" spans="1:14" x14ac:dyDescent="0.25">
      <c r="A414">
        <v>190.155417</v>
      </c>
      <c r="B414" s="1">
        <f>DATE(2010,11,7) + TIME(3,43,47)</f>
        <v>40489.155405092592</v>
      </c>
      <c r="C414">
        <v>70</v>
      </c>
      <c r="D414">
        <v>68.667373656999999</v>
      </c>
      <c r="E414">
        <v>40</v>
      </c>
      <c r="F414">
        <v>39.913555144999997</v>
      </c>
      <c r="G414">
        <v>1295.9143065999999</v>
      </c>
      <c r="H414">
        <v>1281.9110106999999</v>
      </c>
      <c r="I414">
        <v>1414.7678223</v>
      </c>
      <c r="J414">
        <v>1391.416626</v>
      </c>
      <c r="K414">
        <v>0</v>
      </c>
      <c r="L414">
        <v>2400</v>
      </c>
      <c r="M414">
        <v>2400</v>
      </c>
      <c r="N414">
        <v>0</v>
      </c>
    </row>
    <row r="415" spans="1:14" x14ac:dyDescent="0.25">
      <c r="A415">
        <v>190.54243600000001</v>
      </c>
      <c r="B415" s="1">
        <f>DATE(2010,11,7) + TIME(13,1,6)</f>
        <v>40489.542430555557</v>
      </c>
      <c r="C415">
        <v>70</v>
      </c>
      <c r="D415">
        <v>68.599647521999998</v>
      </c>
      <c r="E415">
        <v>40</v>
      </c>
      <c r="F415">
        <v>39.925918578999998</v>
      </c>
      <c r="G415">
        <v>1295.8963623</v>
      </c>
      <c r="H415">
        <v>1281.8898925999999</v>
      </c>
      <c r="I415">
        <v>1414.543457</v>
      </c>
      <c r="J415">
        <v>1391.2005615</v>
      </c>
      <c r="K415">
        <v>0</v>
      </c>
      <c r="L415">
        <v>2400</v>
      </c>
      <c r="M415">
        <v>2400</v>
      </c>
      <c r="N415">
        <v>0</v>
      </c>
    </row>
    <row r="416" spans="1:14" x14ac:dyDescent="0.25">
      <c r="A416">
        <v>190.94744</v>
      </c>
      <c r="B416" s="1">
        <f>DATE(2010,11,7) + TIME(22,44,18)</f>
        <v>40489.947430555556</v>
      </c>
      <c r="C416">
        <v>70</v>
      </c>
      <c r="D416">
        <v>68.529655457000004</v>
      </c>
      <c r="E416">
        <v>40</v>
      </c>
      <c r="F416">
        <v>39.934860229000002</v>
      </c>
      <c r="G416">
        <v>1295.8775635</v>
      </c>
      <c r="H416">
        <v>1281.8679199000001</v>
      </c>
      <c r="I416">
        <v>1414.3250731999999</v>
      </c>
      <c r="J416">
        <v>1390.9892577999999</v>
      </c>
      <c r="K416">
        <v>0</v>
      </c>
      <c r="L416">
        <v>2400</v>
      </c>
      <c r="M416">
        <v>2400</v>
      </c>
      <c r="N416">
        <v>0</v>
      </c>
    </row>
    <row r="417" spans="1:14" x14ac:dyDescent="0.25">
      <c r="A417">
        <v>191.37437399999999</v>
      </c>
      <c r="B417" s="1">
        <f>DATE(2010,11,8) + TIME(8,59,5)</f>
        <v>40490.374363425923</v>
      </c>
      <c r="C417">
        <v>70</v>
      </c>
      <c r="D417">
        <v>68.456909179999997</v>
      </c>
      <c r="E417">
        <v>40</v>
      </c>
      <c r="F417">
        <v>39.941322327000002</v>
      </c>
      <c r="G417">
        <v>1295.8577881000001</v>
      </c>
      <c r="H417">
        <v>1281.8448486</v>
      </c>
      <c r="I417">
        <v>1414.1107178</v>
      </c>
      <c r="J417">
        <v>1390.7810059000001</v>
      </c>
      <c r="K417">
        <v>0</v>
      </c>
      <c r="L417">
        <v>2400</v>
      </c>
      <c r="M417">
        <v>2400</v>
      </c>
      <c r="N417">
        <v>0</v>
      </c>
    </row>
    <row r="418" spans="1:14" x14ac:dyDescent="0.25">
      <c r="A418">
        <v>191.82824099999999</v>
      </c>
      <c r="B418" s="1">
        <f>DATE(2010,11,8) + TIME(19,52,40)</f>
        <v>40490.828240740739</v>
      </c>
      <c r="C418">
        <v>70</v>
      </c>
      <c r="D418">
        <v>68.380775451999995</v>
      </c>
      <c r="E418">
        <v>40</v>
      </c>
      <c r="F418">
        <v>39.945980071999998</v>
      </c>
      <c r="G418">
        <v>1295.8370361</v>
      </c>
      <c r="H418">
        <v>1281.8205565999999</v>
      </c>
      <c r="I418">
        <v>1413.8983154</v>
      </c>
      <c r="J418">
        <v>1390.5743408000001</v>
      </c>
      <c r="K418">
        <v>0</v>
      </c>
      <c r="L418">
        <v>2400</v>
      </c>
      <c r="M418">
        <v>2400</v>
      </c>
      <c r="N418">
        <v>0</v>
      </c>
    </row>
    <row r="419" spans="1:14" x14ac:dyDescent="0.25">
      <c r="A419">
        <v>192.31527600000001</v>
      </c>
      <c r="B419" s="1">
        <f>DATE(2010,11,9) + TIME(7,33,59)</f>
        <v>40491.315266203703</v>
      </c>
      <c r="C419">
        <v>70</v>
      </c>
      <c r="D419">
        <v>68.300498962000006</v>
      </c>
      <c r="E419">
        <v>40</v>
      </c>
      <c r="F419">
        <v>39.949340820000003</v>
      </c>
      <c r="G419">
        <v>1295.8148193</v>
      </c>
      <c r="H419">
        <v>1281.7946777</v>
      </c>
      <c r="I419">
        <v>1413.6861572</v>
      </c>
      <c r="J419">
        <v>1390.3674315999999</v>
      </c>
      <c r="K419">
        <v>0</v>
      </c>
      <c r="L419">
        <v>2400</v>
      </c>
      <c r="M419">
        <v>2400</v>
      </c>
      <c r="N419">
        <v>0</v>
      </c>
    </row>
    <row r="420" spans="1:14" x14ac:dyDescent="0.25">
      <c r="A420">
        <v>192.837774</v>
      </c>
      <c r="B420" s="1">
        <f>DATE(2010,11,9) + TIME(20,6,23)</f>
        <v>40491.837766203702</v>
      </c>
      <c r="C420">
        <v>70</v>
      </c>
      <c r="D420">
        <v>68.215675353999998</v>
      </c>
      <c r="E420">
        <v>40</v>
      </c>
      <c r="F420">
        <v>39.951744079999997</v>
      </c>
      <c r="G420">
        <v>1295.7908935999999</v>
      </c>
      <c r="H420">
        <v>1281.7668457</v>
      </c>
      <c r="I420">
        <v>1413.472168</v>
      </c>
      <c r="J420">
        <v>1390.1585693</v>
      </c>
      <c r="K420">
        <v>0</v>
      </c>
      <c r="L420">
        <v>2400</v>
      </c>
      <c r="M420">
        <v>2400</v>
      </c>
      <c r="N420">
        <v>0</v>
      </c>
    </row>
    <row r="421" spans="1:14" x14ac:dyDescent="0.25">
      <c r="A421">
        <v>193.39035100000001</v>
      </c>
      <c r="B421" s="1">
        <f>DATE(2010,11,10) + TIME(9,22,6)</f>
        <v>40492.390347222223</v>
      </c>
      <c r="C421">
        <v>70</v>
      </c>
      <c r="D421">
        <v>68.126708984000004</v>
      </c>
      <c r="E421">
        <v>40</v>
      </c>
      <c r="F421">
        <v>39.95344162</v>
      </c>
      <c r="G421">
        <v>1295.7651367000001</v>
      </c>
      <c r="H421">
        <v>1281.7370605000001</v>
      </c>
      <c r="I421">
        <v>1413.2565918</v>
      </c>
      <c r="J421">
        <v>1389.9481201000001</v>
      </c>
      <c r="K421">
        <v>0</v>
      </c>
      <c r="L421">
        <v>2400</v>
      </c>
      <c r="M421">
        <v>2400</v>
      </c>
      <c r="N421">
        <v>0</v>
      </c>
    </row>
    <row r="422" spans="1:14" x14ac:dyDescent="0.25">
      <c r="A422">
        <v>193.94590700000001</v>
      </c>
      <c r="B422" s="1">
        <f>DATE(2010,11,10) + TIME(22,42,6)</f>
        <v>40492.945902777778</v>
      </c>
      <c r="C422">
        <v>70</v>
      </c>
      <c r="D422">
        <v>68.036285399999997</v>
      </c>
      <c r="E422">
        <v>40</v>
      </c>
      <c r="F422">
        <v>39.954605102999999</v>
      </c>
      <c r="G422">
        <v>1295.7375488</v>
      </c>
      <c r="H422">
        <v>1281.7054443</v>
      </c>
      <c r="I422">
        <v>1413.0423584</v>
      </c>
      <c r="J422">
        <v>1389.7390137</v>
      </c>
      <c r="K422">
        <v>0</v>
      </c>
      <c r="L422">
        <v>2400</v>
      </c>
      <c r="M422">
        <v>2400</v>
      </c>
      <c r="N422">
        <v>0</v>
      </c>
    </row>
    <row r="423" spans="1:14" x14ac:dyDescent="0.25">
      <c r="A423">
        <v>194.50976399999999</v>
      </c>
      <c r="B423" s="1">
        <f>DATE(2010,11,11) + TIME(12,14,3)</f>
        <v>40493.509756944448</v>
      </c>
      <c r="C423">
        <v>70</v>
      </c>
      <c r="D423">
        <v>67.944648743000002</v>
      </c>
      <c r="E423">
        <v>40</v>
      </c>
      <c r="F423">
        <v>39.955421448000003</v>
      </c>
      <c r="G423">
        <v>1295.7098389</v>
      </c>
      <c r="H423">
        <v>1281.6735839999999</v>
      </c>
      <c r="I423">
        <v>1412.8399658000001</v>
      </c>
      <c r="J423">
        <v>1389.5415039</v>
      </c>
      <c r="K423">
        <v>0</v>
      </c>
      <c r="L423">
        <v>2400</v>
      </c>
      <c r="M423">
        <v>2400</v>
      </c>
      <c r="N423">
        <v>0</v>
      </c>
    </row>
    <row r="424" spans="1:14" x14ac:dyDescent="0.25">
      <c r="A424">
        <v>195.08672799999999</v>
      </c>
      <c r="B424" s="1">
        <f>DATE(2010,11,12) + TIME(2,4,53)</f>
        <v>40494.086724537039</v>
      </c>
      <c r="C424">
        <v>70</v>
      </c>
      <c r="D424">
        <v>67.851638793999996</v>
      </c>
      <c r="E424">
        <v>40</v>
      </c>
      <c r="F424">
        <v>39.956012725999997</v>
      </c>
      <c r="G424">
        <v>1295.6816406</v>
      </c>
      <c r="H424">
        <v>1281.6409911999999</v>
      </c>
      <c r="I424">
        <v>1412.6464844</v>
      </c>
      <c r="J424">
        <v>1389.3527832</v>
      </c>
      <c r="K424">
        <v>0</v>
      </c>
      <c r="L424">
        <v>2400</v>
      </c>
      <c r="M424">
        <v>2400</v>
      </c>
      <c r="N424">
        <v>0</v>
      </c>
    </row>
    <row r="425" spans="1:14" x14ac:dyDescent="0.25">
      <c r="A425">
        <v>195.68141600000001</v>
      </c>
      <c r="B425" s="1">
        <f>DATE(2010,11,12) + TIME(16,21,14)</f>
        <v>40494.68141203704</v>
      </c>
      <c r="C425">
        <v>70</v>
      </c>
      <c r="D425">
        <v>67.756935119999994</v>
      </c>
      <c r="E425">
        <v>40</v>
      </c>
      <c r="F425">
        <v>39.956455231</v>
      </c>
      <c r="G425">
        <v>1295.6527100000001</v>
      </c>
      <c r="H425">
        <v>1281.6076660000001</v>
      </c>
      <c r="I425">
        <v>1412.4594727000001</v>
      </c>
      <c r="J425">
        <v>1389.1704102000001</v>
      </c>
      <c r="K425">
        <v>0</v>
      </c>
      <c r="L425">
        <v>2400</v>
      </c>
      <c r="M425">
        <v>2400</v>
      </c>
      <c r="N425">
        <v>0</v>
      </c>
    </row>
    <row r="426" spans="1:14" x14ac:dyDescent="0.25">
      <c r="A426">
        <v>196.299701</v>
      </c>
      <c r="B426" s="1">
        <f>DATE(2010,11,13) + TIME(7,11,34)</f>
        <v>40495.299699074072</v>
      </c>
      <c r="C426">
        <v>70</v>
      </c>
      <c r="D426">
        <v>67.659942627000007</v>
      </c>
      <c r="E426">
        <v>40</v>
      </c>
      <c r="F426">
        <v>39.956790924000003</v>
      </c>
      <c r="G426">
        <v>1295.6229248</v>
      </c>
      <c r="H426">
        <v>1281.5731201000001</v>
      </c>
      <c r="I426">
        <v>1412.2772216999999</v>
      </c>
      <c r="J426">
        <v>1388.9927978999999</v>
      </c>
      <c r="K426">
        <v>0</v>
      </c>
      <c r="L426">
        <v>2400</v>
      </c>
      <c r="M426">
        <v>2400</v>
      </c>
      <c r="N426">
        <v>0</v>
      </c>
    </row>
    <row r="427" spans="1:14" x14ac:dyDescent="0.25">
      <c r="A427">
        <v>196.94814099999999</v>
      </c>
      <c r="B427" s="1">
        <f>DATE(2010,11,13) + TIME(22,45,19)</f>
        <v>40495.948136574072</v>
      </c>
      <c r="C427">
        <v>70</v>
      </c>
      <c r="D427">
        <v>67.559967040999993</v>
      </c>
      <c r="E427">
        <v>40</v>
      </c>
      <c r="F427">
        <v>39.957054137999997</v>
      </c>
      <c r="G427">
        <v>1295.5917969</v>
      </c>
      <c r="H427">
        <v>1281.5371094</v>
      </c>
      <c r="I427">
        <v>1412.0977783000001</v>
      </c>
      <c r="J427">
        <v>1388.8181152</v>
      </c>
      <c r="K427">
        <v>0</v>
      </c>
      <c r="L427">
        <v>2400</v>
      </c>
      <c r="M427">
        <v>2400</v>
      </c>
      <c r="N427">
        <v>0</v>
      </c>
    </row>
    <row r="428" spans="1:14" x14ac:dyDescent="0.25">
      <c r="A428">
        <v>197.63433000000001</v>
      </c>
      <c r="B428" s="1">
        <f>DATE(2010,11,14) + TIME(15,13,26)</f>
        <v>40496.634328703702</v>
      </c>
      <c r="C428">
        <v>70</v>
      </c>
      <c r="D428">
        <v>67.456130981000001</v>
      </c>
      <c r="E428">
        <v>40</v>
      </c>
      <c r="F428">
        <v>39.957263947000001</v>
      </c>
      <c r="G428">
        <v>1295.5589600000001</v>
      </c>
      <c r="H428">
        <v>1281.4992675999999</v>
      </c>
      <c r="I428">
        <v>1411.9195557</v>
      </c>
      <c r="J428">
        <v>1388.6447754000001</v>
      </c>
      <c r="K428">
        <v>0</v>
      </c>
      <c r="L428">
        <v>2400</v>
      </c>
      <c r="M428">
        <v>2400</v>
      </c>
      <c r="N428">
        <v>0</v>
      </c>
    </row>
    <row r="429" spans="1:14" x14ac:dyDescent="0.25">
      <c r="A429">
        <v>198.36464599999999</v>
      </c>
      <c r="B429" s="1">
        <f>DATE(2010,11,15) + TIME(8,45,5)</f>
        <v>40497.364641203705</v>
      </c>
      <c r="C429">
        <v>70</v>
      </c>
      <c r="D429">
        <v>67.347640991000006</v>
      </c>
      <c r="E429">
        <v>40</v>
      </c>
      <c r="F429">
        <v>39.957439422999997</v>
      </c>
      <c r="G429">
        <v>1295.5241699000001</v>
      </c>
      <c r="H429">
        <v>1281.4589844</v>
      </c>
      <c r="I429">
        <v>1411.7410889</v>
      </c>
      <c r="J429">
        <v>1388.4711914</v>
      </c>
      <c r="K429">
        <v>0</v>
      </c>
      <c r="L429">
        <v>2400</v>
      </c>
      <c r="M429">
        <v>2400</v>
      </c>
      <c r="N429">
        <v>0</v>
      </c>
    </row>
    <row r="430" spans="1:14" x14ac:dyDescent="0.25">
      <c r="A430">
        <v>199.12354199999999</v>
      </c>
      <c r="B430" s="1">
        <f>DATE(2010,11,16) + TIME(2,57,54)</f>
        <v>40498.123541666668</v>
      </c>
      <c r="C430">
        <v>70</v>
      </c>
      <c r="D430">
        <v>67.235412597999996</v>
      </c>
      <c r="E430">
        <v>40</v>
      </c>
      <c r="F430">
        <v>39.957580565999997</v>
      </c>
      <c r="G430">
        <v>1295.4868164</v>
      </c>
      <c r="H430">
        <v>1281.4161377</v>
      </c>
      <c r="I430">
        <v>1411.5611572</v>
      </c>
      <c r="J430">
        <v>1388.2965088000001</v>
      </c>
      <c r="K430">
        <v>0</v>
      </c>
      <c r="L430">
        <v>2400</v>
      </c>
      <c r="M430">
        <v>2400</v>
      </c>
      <c r="N430">
        <v>0</v>
      </c>
    </row>
    <row r="431" spans="1:14" x14ac:dyDescent="0.25">
      <c r="A431">
        <v>199.887191</v>
      </c>
      <c r="B431" s="1">
        <f>DATE(2010,11,16) + TIME(21,17,33)</f>
        <v>40498.887187499997</v>
      </c>
      <c r="C431">
        <v>70</v>
      </c>
      <c r="D431">
        <v>67.121681213000002</v>
      </c>
      <c r="E431">
        <v>40</v>
      </c>
      <c r="F431">
        <v>39.957698821999998</v>
      </c>
      <c r="G431">
        <v>1295.4476318</v>
      </c>
      <c r="H431">
        <v>1281.3713379000001</v>
      </c>
      <c r="I431">
        <v>1411.3842772999999</v>
      </c>
      <c r="J431">
        <v>1388.1247559000001</v>
      </c>
      <c r="K431">
        <v>0</v>
      </c>
      <c r="L431">
        <v>2400</v>
      </c>
      <c r="M431">
        <v>2400</v>
      </c>
      <c r="N431">
        <v>0</v>
      </c>
    </row>
    <row r="432" spans="1:14" x14ac:dyDescent="0.25">
      <c r="A432">
        <v>200.66304500000001</v>
      </c>
      <c r="B432" s="1">
        <f>DATE(2010,11,17) + TIME(15,54,47)</f>
        <v>40499.663043981483</v>
      </c>
      <c r="C432">
        <v>70</v>
      </c>
      <c r="D432">
        <v>67.006858825999998</v>
      </c>
      <c r="E432">
        <v>40</v>
      </c>
      <c r="F432">
        <v>39.957798003999997</v>
      </c>
      <c r="G432">
        <v>1295.4080810999999</v>
      </c>
      <c r="H432">
        <v>1281.3259277</v>
      </c>
      <c r="I432">
        <v>1411.2158202999999</v>
      </c>
      <c r="J432">
        <v>1387.9613036999999</v>
      </c>
      <c r="K432">
        <v>0</v>
      </c>
      <c r="L432">
        <v>2400</v>
      </c>
      <c r="M432">
        <v>2400</v>
      </c>
      <c r="N432">
        <v>0</v>
      </c>
    </row>
    <row r="433" spans="1:14" x14ac:dyDescent="0.25">
      <c r="A433">
        <v>201.45779400000001</v>
      </c>
      <c r="B433" s="1">
        <f>DATE(2010,11,18) + TIME(10,59,13)</f>
        <v>40500.457789351851</v>
      </c>
      <c r="C433">
        <v>70</v>
      </c>
      <c r="D433">
        <v>66.890747070000003</v>
      </c>
      <c r="E433">
        <v>40</v>
      </c>
      <c r="F433">
        <v>39.957889557000001</v>
      </c>
      <c r="G433">
        <v>1295.3676757999999</v>
      </c>
      <c r="H433">
        <v>1281.2795410000001</v>
      </c>
      <c r="I433">
        <v>1411.0533447</v>
      </c>
      <c r="J433">
        <v>1387.8038329999999</v>
      </c>
      <c r="K433">
        <v>0</v>
      </c>
      <c r="L433">
        <v>2400</v>
      </c>
      <c r="M433">
        <v>2400</v>
      </c>
      <c r="N433">
        <v>0</v>
      </c>
    </row>
    <row r="434" spans="1:14" x14ac:dyDescent="0.25">
      <c r="A434">
        <v>202.27739399999999</v>
      </c>
      <c r="B434" s="1">
        <f>DATE(2010,11,19) + TIME(6,39,26)</f>
        <v>40501.277384259258</v>
      </c>
      <c r="C434">
        <v>70</v>
      </c>
      <c r="D434">
        <v>66.772880553999997</v>
      </c>
      <c r="E434">
        <v>40</v>
      </c>
      <c r="F434">
        <v>39.957969665999997</v>
      </c>
      <c r="G434">
        <v>1295.3261719</v>
      </c>
      <c r="H434">
        <v>1281.2316894999999</v>
      </c>
      <c r="I434">
        <v>1410.8952637</v>
      </c>
      <c r="J434">
        <v>1387.6507568</v>
      </c>
      <c r="K434">
        <v>0</v>
      </c>
      <c r="L434">
        <v>2400</v>
      </c>
      <c r="M434">
        <v>2400</v>
      </c>
      <c r="N434">
        <v>0</v>
      </c>
    </row>
    <row r="435" spans="1:14" x14ac:dyDescent="0.25">
      <c r="A435">
        <v>203.12889200000001</v>
      </c>
      <c r="B435" s="1">
        <f>DATE(2010,11,20) + TIME(3,5,36)</f>
        <v>40502.128888888888</v>
      </c>
      <c r="C435">
        <v>70</v>
      </c>
      <c r="D435">
        <v>66.652572632000002</v>
      </c>
      <c r="E435">
        <v>40</v>
      </c>
      <c r="F435">
        <v>39.958049774000003</v>
      </c>
      <c r="G435">
        <v>1295.2830810999999</v>
      </c>
      <c r="H435">
        <v>1281.1820068</v>
      </c>
      <c r="I435">
        <v>1410.7402344</v>
      </c>
      <c r="J435">
        <v>1387.5007324000001</v>
      </c>
      <c r="K435">
        <v>0</v>
      </c>
      <c r="L435">
        <v>2400</v>
      </c>
      <c r="M435">
        <v>2400</v>
      </c>
      <c r="N435">
        <v>0</v>
      </c>
    </row>
    <row r="436" spans="1:14" x14ac:dyDescent="0.25">
      <c r="A436">
        <v>204.021086</v>
      </c>
      <c r="B436" s="1">
        <f>DATE(2010,11,21) + TIME(0,30,21)</f>
        <v>40503.02107638889</v>
      </c>
      <c r="C436">
        <v>70</v>
      </c>
      <c r="D436">
        <v>66.528961182000003</v>
      </c>
      <c r="E436">
        <v>40</v>
      </c>
      <c r="F436">
        <v>39.958122252999999</v>
      </c>
      <c r="G436">
        <v>1295.2380370999999</v>
      </c>
      <c r="H436">
        <v>1281.1301269999999</v>
      </c>
      <c r="I436">
        <v>1410.5869141000001</v>
      </c>
      <c r="J436">
        <v>1387.3525391000001</v>
      </c>
      <c r="K436">
        <v>0</v>
      </c>
      <c r="L436">
        <v>2400</v>
      </c>
      <c r="M436">
        <v>2400</v>
      </c>
      <c r="N436">
        <v>0</v>
      </c>
    </row>
    <row r="437" spans="1:14" x14ac:dyDescent="0.25">
      <c r="A437">
        <v>204.964707</v>
      </c>
      <c r="B437" s="1">
        <f>DATE(2010,11,21) + TIME(23,9,10)</f>
        <v>40503.964699074073</v>
      </c>
      <c r="C437">
        <v>70</v>
      </c>
      <c r="D437">
        <v>66.400962829999997</v>
      </c>
      <c r="E437">
        <v>40</v>
      </c>
      <c r="F437">
        <v>39.958198547000002</v>
      </c>
      <c r="G437">
        <v>1295.1905518000001</v>
      </c>
      <c r="H437">
        <v>1281.0754394999999</v>
      </c>
      <c r="I437">
        <v>1410.4342041</v>
      </c>
      <c r="J437">
        <v>1387.2048339999999</v>
      </c>
      <c r="K437">
        <v>0</v>
      </c>
      <c r="L437">
        <v>2400</v>
      </c>
      <c r="M437">
        <v>2400</v>
      </c>
      <c r="N437">
        <v>0</v>
      </c>
    </row>
    <row r="438" spans="1:14" x14ac:dyDescent="0.25">
      <c r="A438">
        <v>205.955682</v>
      </c>
      <c r="B438" s="1">
        <f>DATE(2010,11,22) + TIME(22,56,10)</f>
        <v>40504.955671296295</v>
      </c>
      <c r="C438">
        <v>70</v>
      </c>
      <c r="D438">
        <v>66.268356323000006</v>
      </c>
      <c r="E438">
        <v>40</v>
      </c>
      <c r="F438">
        <v>39.958274840999998</v>
      </c>
      <c r="G438">
        <v>1295.1397704999999</v>
      </c>
      <c r="H438">
        <v>1281.0170897999999</v>
      </c>
      <c r="I438">
        <v>1410.2803954999999</v>
      </c>
      <c r="J438">
        <v>1387.0562743999999</v>
      </c>
      <c r="K438">
        <v>0</v>
      </c>
      <c r="L438">
        <v>2400</v>
      </c>
      <c r="M438">
        <v>2400</v>
      </c>
      <c r="N438">
        <v>0</v>
      </c>
    </row>
    <row r="439" spans="1:14" x14ac:dyDescent="0.25">
      <c r="A439">
        <v>206.950739</v>
      </c>
      <c r="B439" s="1">
        <f>DATE(2010,11,23) + TIME(22,49,3)</f>
        <v>40505.950729166667</v>
      </c>
      <c r="C439">
        <v>70</v>
      </c>
      <c r="D439">
        <v>66.133819579999994</v>
      </c>
      <c r="E439">
        <v>40</v>
      </c>
      <c r="F439">
        <v>39.958351135000001</v>
      </c>
      <c r="G439">
        <v>1295.0858154</v>
      </c>
      <c r="H439">
        <v>1280.9553223</v>
      </c>
      <c r="I439">
        <v>1410.1268310999999</v>
      </c>
      <c r="J439">
        <v>1386.9080810999999</v>
      </c>
      <c r="K439">
        <v>0</v>
      </c>
      <c r="L439">
        <v>2400</v>
      </c>
      <c r="M439">
        <v>2400</v>
      </c>
      <c r="N439">
        <v>0</v>
      </c>
    </row>
    <row r="440" spans="1:14" x14ac:dyDescent="0.25">
      <c r="A440">
        <v>207.95902599999999</v>
      </c>
      <c r="B440" s="1">
        <f>DATE(2010,11,24) + TIME(23,0,59)</f>
        <v>40506.959016203706</v>
      </c>
      <c r="C440">
        <v>70</v>
      </c>
      <c r="D440">
        <v>65.998481749999996</v>
      </c>
      <c r="E440">
        <v>40</v>
      </c>
      <c r="F440">
        <v>39.958423615000001</v>
      </c>
      <c r="G440">
        <v>1295.0311279</v>
      </c>
      <c r="H440">
        <v>1280.8925781</v>
      </c>
      <c r="I440">
        <v>1409.9802245999999</v>
      </c>
      <c r="J440">
        <v>1386.7667236</v>
      </c>
      <c r="K440">
        <v>0</v>
      </c>
      <c r="L440">
        <v>2400</v>
      </c>
      <c r="M440">
        <v>2400</v>
      </c>
      <c r="N440">
        <v>0</v>
      </c>
    </row>
    <row r="441" spans="1:14" x14ac:dyDescent="0.25">
      <c r="A441">
        <v>208.98864900000001</v>
      </c>
      <c r="B441" s="1">
        <f>DATE(2010,11,25) + TIME(23,43,39)</f>
        <v>40507.988645833335</v>
      </c>
      <c r="C441">
        <v>70</v>
      </c>
      <c r="D441">
        <v>65.862289429</v>
      </c>
      <c r="E441">
        <v>40</v>
      </c>
      <c r="F441">
        <v>39.958496093999997</v>
      </c>
      <c r="G441">
        <v>1294.9753418</v>
      </c>
      <c r="H441">
        <v>1280.828125</v>
      </c>
      <c r="I441">
        <v>1409.8387451000001</v>
      </c>
      <c r="J441">
        <v>1386.630249</v>
      </c>
      <c r="K441">
        <v>0</v>
      </c>
      <c r="L441">
        <v>2400</v>
      </c>
      <c r="M441">
        <v>2400</v>
      </c>
      <c r="N441">
        <v>0</v>
      </c>
    </row>
    <row r="442" spans="1:14" x14ac:dyDescent="0.25">
      <c r="A442">
        <v>210.048866</v>
      </c>
      <c r="B442" s="1">
        <f>DATE(2010,11,27) + TIME(1,10,22)</f>
        <v>40509.04886574074</v>
      </c>
      <c r="C442">
        <v>70</v>
      </c>
      <c r="D442">
        <v>65.724632263000004</v>
      </c>
      <c r="E442">
        <v>40</v>
      </c>
      <c r="F442">
        <v>39.958572388</v>
      </c>
      <c r="G442">
        <v>1294.9178466999999</v>
      </c>
      <c r="H442">
        <v>1280.7617187999999</v>
      </c>
      <c r="I442">
        <v>1409.7009277</v>
      </c>
      <c r="J442">
        <v>1386.4975586</v>
      </c>
      <c r="K442">
        <v>0</v>
      </c>
      <c r="L442">
        <v>2400</v>
      </c>
      <c r="M442">
        <v>2400</v>
      </c>
      <c r="N442">
        <v>0</v>
      </c>
    </row>
    <row r="443" spans="1:14" x14ac:dyDescent="0.25">
      <c r="A443">
        <v>211.14945599999999</v>
      </c>
      <c r="B443" s="1">
        <f>DATE(2010,11,28) + TIME(3,35,13)</f>
        <v>40510.149456018517</v>
      </c>
      <c r="C443">
        <v>70</v>
      </c>
      <c r="D443">
        <v>65.584625243999994</v>
      </c>
      <c r="E443">
        <v>40</v>
      </c>
      <c r="F443">
        <v>39.958648682000003</v>
      </c>
      <c r="G443">
        <v>1294.8580322</v>
      </c>
      <c r="H443">
        <v>1280.6925048999999</v>
      </c>
      <c r="I443">
        <v>1409.5655518000001</v>
      </c>
      <c r="J443">
        <v>1386.3671875</v>
      </c>
      <c r="K443">
        <v>0</v>
      </c>
      <c r="L443">
        <v>2400</v>
      </c>
      <c r="M443">
        <v>2400</v>
      </c>
      <c r="N443">
        <v>0</v>
      </c>
    </row>
    <row r="444" spans="1:14" x14ac:dyDescent="0.25">
      <c r="A444">
        <v>212.30269200000001</v>
      </c>
      <c r="B444" s="1">
        <f>DATE(2010,11,29) + TIME(7,15,52)</f>
        <v>40511.302685185183</v>
      </c>
      <c r="C444">
        <v>70</v>
      </c>
      <c r="D444">
        <v>65.441139221</v>
      </c>
      <c r="E444">
        <v>40</v>
      </c>
      <c r="F444">
        <v>39.958732605000002</v>
      </c>
      <c r="G444">
        <v>1294.7951660000001</v>
      </c>
      <c r="H444">
        <v>1280.619751</v>
      </c>
      <c r="I444">
        <v>1409.4312743999999</v>
      </c>
      <c r="J444">
        <v>1386.2381591999999</v>
      </c>
      <c r="K444">
        <v>0</v>
      </c>
      <c r="L444">
        <v>2400</v>
      </c>
      <c r="M444">
        <v>2400</v>
      </c>
      <c r="N444">
        <v>0</v>
      </c>
    </row>
    <row r="445" spans="1:14" x14ac:dyDescent="0.25">
      <c r="A445">
        <v>213.520858</v>
      </c>
      <c r="B445" s="1">
        <f>DATE(2010,11,30) + TIME(12,30,2)</f>
        <v>40512.520856481482</v>
      </c>
      <c r="C445">
        <v>70</v>
      </c>
      <c r="D445">
        <v>65.292938231999997</v>
      </c>
      <c r="E445">
        <v>40</v>
      </c>
      <c r="F445">
        <v>39.958816528</v>
      </c>
      <c r="G445">
        <v>1294.7286377</v>
      </c>
      <c r="H445">
        <v>1280.5426024999999</v>
      </c>
      <c r="I445">
        <v>1409.2971190999999</v>
      </c>
      <c r="J445">
        <v>1386.1091309000001</v>
      </c>
      <c r="K445">
        <v>0</v>
      </c>
      <c r="L445">
        <v>2400</v>
      </c>
      <c r="M445">
        <v>2400</v>
      </c>
      <c r="N445">
        <v>0</v>
      </c>
    </row>
    <row r="446" spans="1:14" x14ac:dyDescent="0.25">
      <c r="A446">
        <v>214</v>
      </c>
      <c r="B446" s="1">
        <f>DATE(2010,12,1) + TIME(0,0,0)</f>
        <v>40513</v>
      </c>
      <c r="C446">
        <v>70</v>
      </c>
      <c r="D446">
        <v>65.201866150000001</v>
      </c>
      <c r="E446">
        <v>40</v>
      </c>
      <c r="F446">
        <v>39.958843231000003</v>
      </c>
      <c r="G446">
        <v>1294.6534423999999</v>
      </c>
      <c r="H446">
        <v>1280.4637451000001</v>
      </c>
      <c r="I446">
        <v>1409.1611327999999</v>
      </c>
      <c r="J446">
        <v>1385.9783935999999</v>
      </c>
      <c r="K446">
        <v>0</v>
      </c>
      <c r="L446">
        <v>2400</v>
      </c>
      <c r="M446">
        <v>2400</v>
      </c>
      <c r="N446">
        <v>0</v>
      </c>
    </row>
    <row r="447" spans="1:14" x14ac:dyDescent="0.25">
      <c r="A447">
        <v>215.241534</v>
      </c>
      <c r="B447" s="1">
        <f>DATE(2010,12,2) + TIME(5,47,48)</f>
        <v>40514.241527777776</v>
      </c>
      <c r="C447">
        <v>70</v>
      </c>
      <c r="D447">
        <v>65.069091796999999</v>
      </c>
      <c r="E447">
        <v>40</v>
      </c>
      <c r="F447">
        <v>39.958938599</v>
      </c>
      <c r="G447">
        <v>1294.6287841999999</v>
      </c>
      <c r="H447">
        <v>1280.4249268000001</v>
      </c>
      <c r="I447">
        <v>1409.1104736</v>
      </c>
      <c r="J447">
        <v>1385.9296875</v>
      </c>
      <c r="K447">
        <v>0</v>
      </c>
      <c r="L447">
        <v>2400</v>
      </c>
      <c r="M447">
        <v>2400</v>
      </c>
      <c r="N447">
        <v>0</v>
      </c>
    </row>
    <row r="448" spans="1:14" x14ac:dyDescent="0.25">
      <c r="A448">
        <v>216.502377</v>
      </c>
      <c r="B448" s="1">
        <f>DATE(2010,12,3) + TIME(12,3,25)</f>
        <v>40515.502372685187</v>
      </c>
      <c r="C448">
        <v>70</v>
      </c>
      <c r="D448">
        <v>64.924354553000001</v>
      </c>
      <c r="E448">
        <v>40</v>
      </c>
      <c r="F448">
        <v>39.959026336999997</v>
      </c>
      <c r="G448">
        <v>1294.5545654</v>
      </c>
      <c r="H448">
        <v>1280.3398437999999</v>
      </c>
      <c r="I448">
        <v>1408.9813231999999</v>
      </c>
      <c r="J448">
        <v>1385.8057861</v>
      </c>
      <c r="K448">
        <v>0</v>
      </c>
      <c r="L448">
        <v>2400</v>
      </c>
      <c r="M448">
        <v>2400</v>
      </c>
      <c r="N448">
        <v>0</v>
      </c>
    </row>
    <row r="449" spans="1:14" x14ac:dyDescent="0.25">
      <c r="A449">
        <v>217.78852699999999</v>
      </c>
      <c r="B449" s="1">
        <f>DATE(2010,12,4) + TIME(18,55,28)</f>
        <v>40516.788518518515</v>
      </c>
      <c r="C449">
        <v>70</v>
      </c>
      <c r="D449">
        <v>64.774230957</v>
      </c>
      <c r="E449">
        <v>40</v>
      </c>
      <c r="F449">
        <v>39.959114075000002</v>
      </c>
      <c r="G449">
        <v>1294.4779053</v>
      </c>
      <c r="H449">
        <v>1280.2509766000001</v>
      </c>
      <c r="I449">
        <v>1408.855957</v>
      </c>
      <c r="J449">
        <v>1385.6854248</v>
      </c>
      <c r="K449">
        <v>0</v>
      </c>
      <c r="L449">
        <v>2400</v>
      </c>
      <c r="M449">
        <v>2400</v>
      </c>
      <c r="N449">
        <v>0</v>
      </c>
    </row>
    <row r="450" spans="1:14" x14ac:dyDescent="0.25">
      <c r="A450">
        <v>219.10961800000001</v>
      </c>
      <c r="B450" s="1">
        <f>DATE(2010,12,6) + TIME(2,37,51)</f>
        <v>40518.109618055554</v>
      </c>
      <c r="C450">
        <v>70</v>
      </c>
      <c r="D450">
        <v>64.620918274000005</v>
      </c>
      <c r="E450">
        <v>40</v>
      </c>
      <c r="F450">
        <v>39.959205627000003</v>
      </c>
      <c r="G450">
        <v>1294.3985596</v>
      </c>
      <c r="H450">
        <v>1280.1583252</v>
      </c>
      <c r="I450">
        <v>1408.7336425999999</v>
      </c>
      <c r="J450">
        <v>1385.5681152</v>
      </c>
      <c r="K450">
        <v>0</v>
      </c>
      <c r="L450">
        <v>2400</v>
      </c>
      <c r="M450">
        <v>2400</v>
      </c>
      <c r="N450">
        <v>0</v>
      </c>
    </row>
    <row r="451" spans="1:14" x14ac:dyDescent="0.25">
      <c r="A451">
        <v>220.47787299999999</v>
      </c>
      <c r="B451" s="1">
        <f>DATE(2010,12,7) + TIME(11,28,8)</f>
        <v>40519.477870370371</v>
      </c>
      <c r="C451">
        <v>70</v>
      </c>
      <c r="D451">
        <v>64.464607239000003</v>
      </c>
      <c r="E451">
        <v>40</v>
      </c>
      <c r="F451">
        <v>39.959300995</v>
      </c>
      <c r="G451">
        <v>1294.3157959</v>
      </c>
      <c r="H451">
        <v>1280.0611572</v>
      </c>
      <c r="I451">
        <v>1408.6135254000001</v>
      </c>
      <c r="J451">
        <v>1385.4528809000001</v>
      </c>
      <c r="K451">
        <v>0</v>
      </c>
      <c r="L451">
        <v>2400</v>
      </c>
      <c r="M451">
        <v>2400</v>
      </c>
      <c r="N451">
        <v>0</v>
      </c>
    </row>
    <row r="452" spans="1:14" x14ac:dyDescent="0.25">
      <c r="A452">
        <v>221.908355</v>
      </c>
      <c r="B452" s="1">
        <f>DATE(2010,12,8) + TIME(21,48,1)</f>
        <v>40520.90834490741</v>
      </c>
      <c r="C452">
        <v>70</v>
      </c>
      <c r="D452">
        <v>64.304519653</v>
      </c>
      <c r="E452">
        <v>40</v>
      </c>
      <c r="F452">
        <v>39.959396362</v>
      </c>
      <c r="G452">
        <v>1294.2286377</v>
      </c>
      <c r="H452">
        <v>1279.9584961</v>
      </c>
      <c r="I452">
        <v>1408.4943848</v>
      </c>
      <c r="J452">
        <v>1385.3387451000001</v>
      </c>
      <c r="K452">
        <v>0</v>
      </c>
      <c r="L452">
        <v>2400</v>
      </c>
      <c r="M452">
        <v>2400</v>
      </c>
      <c r="N452">
        <v>0</v>
      </c>
    </row>
    <row r="453" spans="1:14" x14ac:dyDescent="0.25">
      <c r="A453">
        <v>223.398709</v>
      </c>
      <c r="B453" s="1">
        <f>DATE(2010,12,10) + TIME(9,34,8)</f>
        <v>40522.3987037037</v>
      </c>
      <c r="C453">
        <v>70</v>
      </c>
      <c r="D453">
        <v>64.140151978000006</v>
      </c>
      <c r="E453">
        <v>40</v>
      </c>
      <c r="F453">
        <v>39.959499358999999</v>
      </c>
      <c r="G453">
        <v>1294.1356201000001</v>
      </c>
      <c r="H453">
        <v>1279.8488769999999</v>
      </c>
      <c r="I453">
        <v>1408.3751221</v>
      </c>
      <c r="J453">
        <v>1385.2246094</v>
      </c>
      <c r="K453">
        <v>0</v>
      </c>
      <c r="L453">
        <v>2400</v>
      </c>
      <c r="M453">
        <v>2400</v>
      </c>
      <c r="N453">
        <v>0</v>
      </c>
    </row>
    <row r="454" spans="1:14" x14ac:dyDescent="0.25">
      <c r="A454">
        <v>224.895478</v>
      </c>
      <c r="B454" s="1">
        <f>DATE(2010,12,11) + TIME(21,29,29)</f>
        <v>40523.895474537036</v>
      </c>
      <c r="C454">
        <v>70</v>
      </c>
      <c r="D454">
        <v>63.973651885999999</v>
      </c>
      <c r="E454">
        <v>40</v>
      </c>
      <c r="F454">
        <v>39.959602355999998</v>
      </c>
      <c r="G454">
        <v>1294.0367432</v>
      </c>
      <c r="H454">
        <v>1279.7320557</v>
      </c>
      <c r="I454">
        <v>1408.2562256000001</v>
      </c>
      <c r="J454">
        <v>1385.1108397999999</v>
      </c>
      <c r="K454">
        <v>0</v>
      </c>
      <c r="L454">
        <v>2400</v>
      </c>
      <c r="M454">
        <v>2400</v>
      </c>
      <c r="N454">
        <v>0</v>
      </c>
    </row>
    <row r="455" spans="1:14" x14ac:dyDescent="0.25">
      <c r="A455">
        <v>226.41194999999999</v>
      </c>
      <c r="B455" s="1">
        <f>DATE(2010,12,13) + TIME(9,53,12)</f>
        <v>40525.411944444444</v>
      </c>
      <c r="C455">
        <v>70</v>
      </c>
      <c r="D455">
        <v>63.806781768999997</v>
      </c>
      <c r="E455">
        <v>40</v>
      </c>
      <c r="F455">
        <v>39.959705352999997</v>
      </c>
      <c r="G455">
        <v>1293.9354248</v>
      </c>
      <c r="H455">
        <v>1279.6114502</v>
      </c>
      <c r="I455">
        <v>1408.1419678</v>
      </c>
      <c r="J455">
        <v>1385.0014647999999</v>
      </c>
      <c r="K455">
        <v>0</v>
      </c>
      <c r="L455">
        <v>2400</v>
      </c>
      <c r="M455">
        <v>2400</v>
      </c>
      <c r="N455">
        <v>0</v>
      </c>
    </row>
    <row r="456" spans="1:14" x14ac:dyDescent="0.25">
      <c r="A456">
        <v>227.95968999999999</v>
      </c>
      <c r="B456" s="1">
        <f>DATE(2010,12,14) + TIME(23,1,57)</f>
        <v>40526.959687499999</v>
      </c>
      <c r="C456">
        <v>70</v>
      </c>
      <c r="D456">
        <v>63.639335631999998</v>
      </c>
      <c r="E456">
        <v>40</v>
      </c>
      <c r="F456">
        <v>39.959812163999999</v>
      </c>
      <c r="G456">
        <v>1293.8304443</v>
      </c>
      <c r="H456">
        <v>1279.4859618999999</v>
      </c>
      <c r="I456">
        <v>1408.0311279</v>
      </c>
      <c r="J456">
        <v>1384.8953856999999</v>
      </c>
      <c r="K456">
        <v>0</v>
      </c>
      <c r="L456">
        <v>2400</v>
      </c>
      <c r="M456">
        <v>2400</v>
      </c>
      <c r="N456">
        <v>0</v>
      </c>
    </row>
    <row r="457" spans="1:14" x14ac:dyDescent="0.25">
      <c r="A457">
        <v>229.55273099999999</v>
      </c>
      <c r="B457" s="1">
        <f>DATE(2010,12,16) + TIME(13,15,55)</f>
        <v>40528.552719907406</v>
      </c>
      <c r="C457">
        <v>70</v>
      </c>
      <c r="D457">
        <v>63.470355988000001</v>
      </c>
      <c r="E457">
        <v>40</v>
      </c>
      <c r="F457">
        <v>39.959918975999997</v>
      </c>
      <c r="G457">
        <v>1293.7209473</v>
      </c>
      <c r="H457">
        <v>1279.3546143000001</v>
      </c>
      <c r="I457">
        <v>1407.9226074000001</v>
      </c>
      <c r="J457">
        <v>1384.7917480000001</v>
      </c>
      <c r="K457">
        <v>0</v>
      </c>
      <c r="L457">
        <v>2400</v>
      </c>
      <c r="M457">
        <v>2400</v>
      </c>
      <c r="N457">
        <v>0</v>
      </c>
    </row>
    <row r="458" spans="1:14" x14ac:dyDescent="0.25">
      <c r="A458">
        <v>231.20811699999999</v>
      </c>
      <c r="B458" s="1">
        <f>DATE(2010,12,18) + TIME(4,59,41)</f>
        <v>40530.208113425928</v>
      </c>
      <c r="C458">
        <v>70</v>
      </c>
      <c r="D458">
        <v>63.298450469999999</v>
      </c>
      <c r="E458">
        <v>40</v>
      </c>
      <c r="F458">
        <v>39.960029601999999</v>
      </c>
      <c r="G458">
        <v>1293.6057129000001</v>
      </c>
      <c r="H458">
        <v>1279.2155762</v>
      </c>
      <c r="I458">
        <v>1407.8155518000001</v>
      </c>
      <c r="J458">
        <v>1384.6893310999999</v>
      </c>
      <c r="K458">
        <v>0</v>
      </c>
      <c r="L458">
        <v>2400</v>
      </c>
      <c r="M458">
        <v>2400</v>
      </c>
      <c r="N458">
        <v>0</v>
      </c>
    </row>
    <row r="459" spans="1:14" x14ac:dyDescent="0.25">
      <c r="A459">
        <v>232.944537</v>
      </c>
      <c r="B459" s="1">
        <f>DATE(2010,12,19) + TIME(22,40,7)</f>
        <v>40531.944525462961</v>
      </c>
      <c r="C459">
        <v>70</v>
      </c>
      <c r="D459">
        <v>63.121963501000003</v>
      </c>
      <c r="E459">
        <v>40</v>
      </c>
      <c r="F459">
        <v>39.960147857999999</v>
      </c>
      <c r="G459">
        <v>1293.4831543</v>
      </c>
      <c r="H459">
        <v>1279.0670166</v>
      </c>
      <c r="I459">
        <v>1407.7087402</v>
      </c>
      <c r="J459">
        <v>1384.5872803</v>
      </c>
      <c r="K459">
        <v>0</v>
      </c>
      <c r="L459">
        <v>2400</v>
      </c>
      <c r="M459">
        <v>2400</v>
      </c>
      <c r="N459">
        <v>0</v>
      </c>
    </row>
    <row r="460" spans="1:14" x14ac:dyDescent="0.25">
      <c r="A460">
        <v>234.71375900000001</v>
      </c>
      <c r="B460" s="1">
        <f>DATE(2010,12,21) + TIME(17,7,48)</f>
        <v>40533.713750000003</v>
      </c>
      <c r="C460">
        <v>70</v>
      </c>
      <c r="D460">
        <v>62.941379546999997</v>
      </c>
      <c r="E460">
        <v>40</v>
      </c>
      <c r="F460">
        <v>39.960266113000003</v>
      </c>
      <c r="G460">
        <v>1293.3511963000001</v>
      </c>
      <c r="H460">
        <v>1278.9067382999999</v>
      </c>
      <c r="I460">
        <v>1407.6013184000001</v>
      </c>
      <c r="J460">
        <v>1384.4847411999999</v>
      </c>
      <c r="K460">
        <v>0</v>
      </c>
      <c r="L460">
        <v>2400</v>
      </c>
      <c r="M460">
        <v>2400</v>
      </c>
      <c r="N460">
        <v>0</v>
      </c>
    </row>
    <row r="461" spans="1:14" x14ac:dyDescent="0.25">
      <c r="A461">
        <v>236.49669800000001</v>
      </c>
      <c r="B461" s="1">
        <f>DATE(2010,12,23) + TIME(11,55,14)</f>
        <v>40535.496689814812</v>
      </c>
      <c r="C461">
        <v>70</v>
      </c>
      <c r="D461">
        <v>62.759086609000001</v>
      </c>
      <c r="E461">
        <v>40</v>
      </c>
      <c r="F461">
        <v>39.960384369000003</v>
      </c>
      <c r="G461">
        <v>1293.2130127</v>
      </c>
      <c r="H461">
        <v>1278.7379149999999</v>
      </c>
      <c r="I461">
        <v>1407.4963379000001</v>
      </c>
      <c r="J461">
        <v>1384.3845214999999</v>
      </c>
      <c r="K461">
        <v>0</v>
      </c>
      <c r="L461">
        <v>2400</v>
      </c>
      <c r="M461">
        <v>2400</v>
      </c>
      <c r="N461">
        <v>0</v>
      </c>
    </row>
    <row r="462" spans="1:14" x14ac:dyDescent="0.25">
      <c r="A462">
        <v>238.30818500000001</v>
      </c>
      <c r="B462" s="1">
        <f>DATE(2010,12,25) + TIME(7,23,47)</f>
        <v>40537.308182870373</v>
      </c>
      <c r="C462">
        <v>70</v>
      </c>
      <c r="D462">
        <v>62.575923920000001</v>
      </c>
      <c r="E462">
        <v>40</v>
      </c>
      <c r="F462">
        <v>39.960506439</v>
      </c>
      <c r="G462">
        <v>1293.0699463000001</v>
      </c>
      <c r="H462">
        <v>1278.5618896000001</v>
      </c>
      <c r="I462">
        <v>1407.3947754000001</v>
      </c>
      <c r="J462">
        <v>1384.2875977000001</v>
      </c>
      <c r="K462">
        <v>0</v>
      </c>
      <c r="L462">
        <v>2400</v>
      </c>
      <c r="M462">
        <v>2400</v>
      </c>
      <c r="N462">
        <v>0</v>
      </c>
    </row>
    <row r="463" spans="1:14" x14ac:dyDescent="0.25">
      <c r="A463">
        <v>240.16540599999999</v>
      </c>
      <c r="B463" s="1">
        <f>DATE(2010,12,27) + TIME(3,58,11)</f>
        <v>40539.165405092594</v>
      </c>
      <c r="C463">
        <v>70</v>
      </c>
      <c r="D463">
        <v>62.391006470000001</v>
      </c>
      <c r="E463">
        <v>40</v>
      </c>
      <c r="F463">
        <v>39.960628509999999</v>
      </c>
      <c r="G463">
        <v>1292.9205322</v>
      </c>
      <c r="H463">
        <v>1278.3769531</v>
      </c>
      <c r="I463">
        <v>1407.2957764</v>
      </c>
      <c r="J463">
        <v>1384.1931152</v>
      </c>
      <c r="K463">
        <v>0</v>
      </c>
      <c r="L463">
        <v>2400</v>
      </c>
      <c r="M463">
        <v>2400</v>
      </c>
      <c r="N463">
        <v>0</v>
      </c>
    </row>
    <row r="464" spans="1:14" x14ac:dyDescent="0.25">
      <c r="A464">
        <v>242.083572</v>
      </c>
      <c r="B464" s="1">
        <f>DATE(2010,12,29) + TIME(2,0,20)</f>
        <v>40541.083564814813</v>
      </c>
      <c r="C464">
        <v>70</v>
      </c>
      <c r="D464">
        <v>62.202850341999998</v>
      </c>
      <c r="E464">
        <v>40</v>
      </c>
      <c r="F464">
        <v>39.960754395000002</v>
      </c>
      <c r="G464">
        <v>1292.7630615</v>
      </c>
      <c r="H464">
        <v>1278.1809082</v>
      </c>
      <c r="I464">
        <v>1407.1982422000001</v>
      </c>
      <c r="J464">
        <v>1384.1000977000001</v>
      </c>
      <c r="K464">
        <v>0</v>
      </c>
      <c r="L464">
        <v>2400</v>
      </c>
      <c r="M464">
        <v>2400</v>
      </c>
      <c r="N464">
        <v>0</v>
      </c>
    </row>
    <row r="465" spans="1:14" x14ac:dyDescent="0.25">
      <c r="A465">
        <v>244.074974</v>
      </c>
      <c r="B465" s="1">
        <f>DATE(2010,12,31) + TIME(1,47,57)</f>
        <v>40543.074965277781</v>
      </c>
      <c r="C465">
        <v>70</v>
      </c>
      <c r="D465">
        <v>62.009941101000003</v>
      </c>
      <c r="E465">
        <v>40</v>
      </c>
      <c r="F465">
        <v>39.960884094000001</v>
      </c>
      <c r="G465">
        <v>1292.5957031</v>
      </c>
      <c r="H465">
        <v>1277.9716797000001</v>
      </c>
      <c r="I465">
        <v>1407.1013184000001</v>
      </c>
      <c r="J465">
        <v>1384.0076904</v>
      </c>
      <c r="K465">
        <v>0</v>
      </c>
      <c r="L465">
        <v>2400</v>
      </c>
      <c r="M465">
        <v>2400</v>
      </c>
      <c r="N465">
        <v>0</v>
      </c>
    </row>
    <row r="466" spans="1:14" x14ac:dyDescent="0.25">
      <c r="A466">
        <v>245</v>
      </c>
      <c r="B466" s="1">
        <f>DATE(2011,1,1) + TIME(0,0,0)</f>
        <v>40544</v>
      </c>
      <c r="C466">
        <v>70</v>
      </c>
      <c r="D466">
        <v>61.865425109999997</v>
      </c>
      <c r="E466">
        <v>40</v>
      </c>
      <c r="F466">
        <v>39.960941314999999</v>
      </c>
      <c r="G466">
        <v>1292.4172363</v>
      </c>
      <c r="H466">
        <v>1277.7576904</v>
      </c>
      <c r="I466">
        <v>1407.0039062000001</v>
      </c>
      <c r="J466">
        <v>1383.9147949000001</v>
      </c>
      <c r="K466">
        <v>0</v>
      </c>
      <c r="L466">
        <v>2400</v>
      </c>
      <c r="M466">
        <v>2400</v>
      </c>
      <c r="N466">
        <v>0</v>
      </c>
    </row>
    <row r="467" spans="1:14" x14ac:dyDescent="0.25">
      <c r="A467">
        <v>247.03978799999999</v>
      </c>
      <c r="B467" s="1">
        <f>DATE(2011,1,3) + TIME(0,57,17)</f>
        <v>40546.039780092593</v>
      </c>
      <c r="C467">
        <v>70</v>
      </c>
      <c r="D467">
        <v>61.703735352000002</v>
      </c>
      <c r="E467">
        <v>40</v>
      </c>
      <c r="F467">
        <v>39.961078643999997</v>
      </c>
      <c r="G467">
        <v>1292.3277588000001</v>
      </c>
      <c r="H467">
        <v>1277.6295166</v>
      </c>
      <c r="I467">
        <v>1406.9611815999999</v>
      </c>
      <c r="J467">
        <v>1383.8740233999999</v>
      </c>
      <c r="K467">
        <v>0</v>
      </c>
      <c r="L467">
        <v>2400</v>
      </c>
      <c r="M467">
        <v>2400</v>
      </c>
      <c r="N467">
        <v>0</v>
      </c>
    </row>
    <row r="468" spans="1:14" x14ac:dyDescent="0.25">
      <c r="A468">
        <v>249.11149700000001</v>
      </c>
      <c r="B468" s="1">
        <f>DATE(2011,1,5) + TIME(2,40,33)</f>
        <v>40548.111493055556</v>
      </c>
      <c r="C468">
        <v>70</v>
      </c>
      <c r="D468">
        <v>61.512916564999998</v>
      </c>
      <c r="E468">
        <v>40</v>
      </c>
      <c r="F468">
        <v>39.961212158000002</v>
      </c>
      <c r="G468">
        <v>1292.1389160000001</v>
      </c>
      <c r="H468">
        <v>1277.3930664</v>
      </c>
      <c r="I468">
        <v>1406.8677978999999</v>
      </c>
      <c r="J468">
        <v>1383.7850341999999</v>
      </c>
      <c r="K468">
        <v>0</v>
      </c>
      <c r="L468">
        <v>2400</v>
      </c>
      <c r="M468">
        <v>2400</v>
      </c>
      <c r="N468">
        <v>0</v>
      </c>
    </row>
    <row r="469" spans="1:14" x14ac:dyDescent="0.25">
      <c r="A469">
        <v>251.222691</v>
      </c>
      <c r="B469" s="1">
        <f>DATE(2011,1,7) + TIME(5,20,40)</f>
        <v>40550.222685185188</v>
      </c>
      <c r="C469">
        <v>70</v>
      </c>
      <c r="D469">
        <v>61.310749053999999</v>
      </c>
      <c r="E469">
        <v>40</v>
      </c>
      <c r="F469">
        <v>39.961345672999997</v>
      </c>
      <c r="G469">
        <v>1291.9389647999999</v>
      </c>
      <c r="H469">
        <v>1277.1386719</v>
      </c>
      <c r="I469">
        <v>1406.7764893000001</v>
      </c>
      <c r="J469">
        <v>1383.6981201000001</v>
      </c>
      <c r="K469">
        <v>0</v>
      </c>
      <c r="L469">
        <v>2400</v>
      </c>
      <c r="M469">
        <v>2400</v>
      </c>
      <c r="N469">
        <v>0</v>
      </c>
    </row>
    <row r="470" spans="1:14" x14ac:dyDescent="0.25">
      <c r="A470">
        <v>253.388802</v>
      </c>
      <c r="B470" s="1">
        <f>DATE(2011,1,9) + TIME(9,19,52)</f>
        <v>40552.388796296298</v>
      </c>
      <c r="C470">
        <v>70</v>
      </c>
      <c r="D470">
        <v>61.101688385000003</v>
      </c>
      <c r="E470">
        <v>40</v>
      </c>
      <c r="F470">
        <v>39.961483002000001</v>
      </c>
      <c r="G470">
        <v>1291.7283935999999</v>
      </c>
      <c r="H470">
        <v>1276.8682861</v>
      </c>
      <c r="I470">
        <v>1406.6870117000001</v>
      </c>
      <c r="J470">
        <v>1383.612793</v>
      </c>
      <c r="K470">
        <v>0</v>
      </c>
      <c r="L470">
        <v>2400</v>
      </c>
      <c r="M470">
        <v>2400</v>
      </c>
      <c r="N470">
        <v>0</v>
      </c>
    </row>
    <row r="471" spans="1:14" x14ac:dyDescent="0.25">
      <c r="A471">
        <v>255.629683</v>
      </c>
      <c r="B471" s="1">
        <f>DATE(2011,1,11) + TIME(15,6,44)</f>
        <v>40554.629675925928</v>
      </c>
      <c r="C471">
        <v>70</v>
      </c>
      <c r="D471">
        <v>60.885601043999998</v>
      </c>
      <c r="E471">
        <v>40</v>
      </c>
      <c r="F471">
        <v>39.961627960000001</v>
      </c>
      <c r="G471">
        <v>1291.5054932</v>
      </c>
      <c r="H471">
        <v>1276.5802002</v>
      </c>
      <c r="I471">
        <v>1406.5986327999999</v>
      </c>
      <c r="J471">
        <v>1383.5286865</v>
      </c>
      <c r="K471">
        <v>0</v>
      </c>
      <c r="L471">
        <v>2400</v>
      </c>
      <c r="M471">
        <v>2400</v>
      </c>
      <c r="N471">
        <v>0</v>
      </c>
    </row>
    <row r="472" spans="1:14" x14ac:dyDescent="0.25">
      <c r="A472">
        <v>257.95750800000002</v>
      </c>
      <c r="B472" s="1">
        <f>DATE(2011,1,13) + TIME(22,58,48)</f>
        <v>40556.957499999997</v>
      </c>
      <c r="C472">
        <v>70</v>
      </c>
      <c r="D472">
        <v>60.660896301000001</v>
      </c>
      <c r="E472">
        <v>40</v>
      </c>
      <c r="F472">
        <v>39.961772918999998</v>
      </c>
      <c r="G472">
        <v>1291.2677002</v>
      </c>
      <c r="H472">
        <v>1276.2711182</v>
      </c>
      <c r="I472">
        <v>1406.5106201000001</v>
      </c>
      <c r="J472">
        <v>1383.4448242000001</v>
      </c>
      <c r="K472">
        <v>0</v>
      </c>
      <c r="L472">
        <v>2400</v>
      </c>
      <c r="M472">
        <v>2400</v>
      </c>
      <c r="N472">
        <v>0</v>
      </c>
    </row>
    <row r="473" spans="1:14" x14ac:dyDescent="0.25">
      <c r="A473">
        <v>260.29649699999999</v>
      </c>
      <c r="B473" s="1">
        <f>DATE(2011,1,16) + TIME(7,6,57)</f>
        <v>40559.296493055554</v>
      </c>
      <c r="C473">
        <v>70</v>
      </c>
      <c r="D473">
        <v>60.428123474000003</v>
      </c>
      <c r="E473">
        <v>40</v>
      </c>
      <c r="F473">
        <v>39.961917876999998</v>
      </c>
      <c r="G473">
        <v>1291.0130615</v>
      </c>
      <c r="H473">
        <v>1275.9385986</v>
      </c>
      <c r="I473">
        <v>1406.4224853999999</v>
      </c>
      <c r="J473">
        <v>1383.3609618999999</v>
      </c>
      <c r="K473">
        <v>0</v>
      </c>
      <c r="L473">
        <v>2400</v>
      </c>
      <c r="M473">
        <v>2400</v>
      </c>
      <c r="N473">
        <v>0</v>
      </c>
    </row>
    <row r="474" spans="1:14" x14ac:dyDescent="0.25">
      <c r="A474">
        <v>262.665907</v>
      </c>
      <c r="B474" s="1">
        <f>DATE(2011,1,18) + TIME(15,58,54)</f>
        <v>40561.665902777779</v>
      </c>
      <c r="C474">
        <v>70</v>
      </c>
      <c r="D474">
        <v>60.189834595000001</v>
      </c>
      <c r="E474">
        <v>40</v>
      </c>
      <c r="F474">
        <v>39.962066649999997</v>
      </c>
      <c r="G474">
        <v>1290.7485352000001</v>
      </c>
      <c r="H474">
        <v>1275.590332</v>
      </c>
      <c r="I474">
        <v>1406.3372803</v>
      </c>
      <c r="J474">
        <v>1383.2797852000001</v>
      </c>
      <c r="K474">
        <v>0</v>
      </c>
      <c r="L474">
        <v>2400</v>
      </c>
      <c r="M474">
        <v>2400</v>
      </c>
      <c r="N474">
        <v>0</v>
      </c>
    </row>
    <row r="475" spans="1:14" x14ac:dyDescent="0.25">
      <c r="A475">
        <v>265.08363400000002</v>
      </c>
      <c r="B475" s="1">
        <f>DATE(2011,1,21) + TIME(2,0,25)</f>
        <v>40564.083622685182</v>
      </c>
      <c r="C475">
        <v>70</v>
      </c>
      <c r="D475">
        <v>59.944942474000001</v>
      </c>
      <c r="E475">
        <v>40</v>
      </c>
      <c r="F475">
        <v>39.962215424</v>
      </c>
      <c r="G475">
        <v>1290.4720459</v>
      </c>
      <c r="H475">
        <v>1275.2241211</v>
      </c>
      <c r="I475">
        <v>1406.2540283000001</v>
      </c>
      <c r="J475">
        <v>1383.2005615</v>
      </c>
      <c r="K475">
        <v>0</v>
      </c>
      <c r="L475">
        <v>2400</v>
      </c>
      <c r="M475">
        <v>2400</v>
      </c>
      <c r="N475">
        <v>0</v>
      </c>
    </row>
    <row r="476" spans="1:14" x14ac:dyDescent="0.25">
      <c r="A476">
        <v>267.54045200000002</v>
      </c>
      <c r="B476" s="1">
        <f>DATE(2011,1,23) + TIME(12,58,15)</f>
        <v>40566.540451388886</v>
      </c>
      <c r="C476">
        <v>70</v>
      </c>
      <c r="D476">
        <v>59.691848755000002</v>
      </c>
      <c r="E476">
        <v>40</v>
      </c>
      <c r="F476">
        <v>39.962364196999999</v>
      </c>
      <c r="G476">
        <v>1290.1813964999999</v>
      </c>
      <c r="H476">
        <v>1274.8369141000001</v>
      </c>
      <c r="I476">
        <v>1406.1721190999999</v>
      </c>
      <c r="J476">
        <v>1383.1226807</v>
      </c>
      <c r="K476">
        <v>0</v>
      </c>
      <c r="L476">
        <v>2400</v>
      </c>
      <c r="M476">
        <v>2400</v>
      </c>
      <c r="N476">
        <v>0</v>
      </c>
    </row>
    <row r="477" spans="1:14" x14ac:dyDescent="0.25">
      <c r="A477">
        <v>270.02490799999998</v>
      </c>
      <c r="B477" s="1">
        <f>DATE(2011,1,26) + TIME(0,35,52)</f>
        <v>40569.024907407409</v>
      </c>
      <c r="C477">
        <v>70</v>
      </c>
      <c r="D477">
        <v>59.430225372000002</v>
      </c>
      <c r="E477">
        <v>40</v>
      </c>
      <c r="F477">
        <v>39.962516784999998</v>
      </c>
      <c r="G477">
        <v>1289.8769531</v>
      </c>
      <c r="H477">
        <v>1274.4290771000001</v>
      </c>
      <c r="I477">
        <v>1406.0917969</v>
      </c>
      <c r="J477">
        <v>1383.0462646000001</v>
      </c>
      <c r="K477">
        <v>0</v>
      </c>
      <c r="L477">
        <v>2400</v>
      </c>
      <c r="M477">
        <v>2400</v>
      </c>
      <c r="N477">
        <v>0</v>
      </c>
    </row>
    <row r="478" spans="1:14" x14ac:dyDescent="0.25">
      <c r="A478">
        <v>272.52750300000002</v>
      </c>
      <c r="B478" s="1">
        <f>DATE(2011,1,28) + TIME(12,39,36)</f>
        <v>40571.527499999997</v>
      </c>
      <c r="C478">
        <v>70</v>
      </c>
      <c r="D478">
        <v>59.160194396999998</v>
      </c>
      <c r="E478">
        <v>40</v>
      </c>
      <c r="F478">
        <v>39.962665557999998</v>
      </c>
      <c r="G478">
        <v>1289.5598144999999</v>
      </c>
      <c r="H478">
        <v>1274.0017089999999</v>
      </c>
      <c r="I478">
        <v>1406.0133057</v>
      </c>
      <c r="J478">
        <v>1382.9716797000001</v>
      </c>
      <c r="K478">
        <v>0</v>
      </c>
      <c r="L478">
        <v>2400</v>
      </c>
      <c r="M478">
        <v>2400</v>
      </c>
      <c r="N478">
        <v>0</v>
      </c>
    </row>
    <row r="479" spans="1:14" x14ac:dyDescent="0.25">
      <c r="A479">
        <v>275.05041399999999</v>
      </c>
      <c r="B479" s="1">
        <f>DATE(2011,1,31) + TIME(1,12,35)</f>
        <v>40574.050405092596</v>
      </c>
      <c r="C479">
        <v>70</v>
      </c>
      <c r="D479">
        <v>58.881610870000003</v>
      </c>
      <c r="E479">
        <v>40</v>
      </c>
      <c r="F479">
        <v>39.962818145999996</v>
      </c>
      <c r="G479">
        <v>1289.230957</v>
      </c>
      <c r="H479">
        <v>1273.5557861</v>
      </c>
      <c r="I479">
        <v>1405.9370117000001</v>
      </c>
      <c r="J479">
        <v>1382.8990478999999</v>
      </c>
      <c r="K479">
        <v>0</v>
      </c>
      <c r="L479">
        <v>2400</v>
      </c>
      <c r="M479">
        <v>2400</v>
      </c>
      <c r="N479">
        <v>0</v>
      </c>
    </row>
    <row r="480" spans="1:14" x14ac:dyDescent="0.25">
      <c r="A480">
        <v>276</v>
      </c>
      <c r="B480" s="1">
        <f>DATE(2011,2,1) + TIME(0,0,0)</f>
        <v>40575</v>
      </c>
      <c r="C480">
        <v>70</v>
      </c>
      <c r="D480">
        <v>58.680606842000003</v>
      </c>
      <c r="E480">
        <v>40</v>
      </c>
      <c r="F480">
        <v>39.962867737000003</v>
      </c>
      <c r="G480">
        <v>1288.8983154</v>
      </c>
      <c r="H480">
        <v>1273.1252440999999</v>
      </c>
      <c r="I480">
        <v>1405.8614502</v>
      </c>
      <c r="J480">
        <v>1382.8271483999999</v>
      </c>
      <c r="K480">
        <v>0</v>
      </c>
      <c r="L480">
        <v>2400</v>
      </c>
      <c r="M480">
        <v>2400</v>
      </c>
      <c r="N480">
        <v>0</v>
      </c>
    </row>
    <row r="481" spans="1:14" x14ac:dyDescent="0.25">
      <c r="A481">
        <v>278.54902499999997</v>
      </c>
      <c r="B481" s="1">
        <f>DATE(2011,2,3) + TIME(13,10,35)</f>
        <v>40577.549016203702</v>
      </c>
      <c r="C481">
        <v>70</v>
      </c>
      <c r="D481">
        <v>58.458217621000003</v>
      </c>
      <c r="E481">
        <v>40</v>
      </c>
      <c r="F481">
        <v>39.963024138999998</v>
      </c>
      <c r="G481">
        <v>1288.7456055</v>
      </c>
      <c r="H481">
        <v>1272.8831786999999</v>
      </c>
      <c r="I481">
        <v>1405.8350829999999</v>
      </c>
      <c r="J481">
        <v>1382.802124</v>
      </c>
      <c r="K481">
        <v>0</v>
      </c>
      <c r="L481">
        <v>2400</v>
      </c>
      <c r="M481">
        <v>2400</v>
      </c>
      <c r="N481">
        <v>0</v>
      </c>
    </row>
    <row r="482" spans="1:14" x14ac:dyDescent="0.25">
      <c r="A482">
        <v>281.12240800000001</v>
      </c>
      <c r="B482" s="1">
        <f>DATE(2011,2,6) + TIME(2,56,16)</f>
        <v>40580.122407407405</v>
      </c>
      <c r="C482">
        <v>70</v>
      </c>
      <c r="D482">
        <v>58.173938751000001</v>
      </c>
      <c r="E482">
        <v>40</v>
      </c>
      <c r="F482">
        <v>39.963176726999997</v>
      </c>
      <c r="G482">
        <v>1288.3984375</v>
      </c>
      <c r="H482">
        <v>1272.4130858999999</v>
      </c>
      <c r="I482">
        <v>1405.7631836</v>
      </c>
      <c r="J482">
        <v>1382.7336425999999</v>
      </c>
      <c r="K482">
        <v>0</v>
      </c>
      <c r="L482">
        <v>2400</v>
      </c>
      <c r="M482">
        <v>2400</v>
      </c>
      <c r="N482">
        <v>0</v>
      </c>
    </row>
    <row r="483" spans="1:14" x14ac:dyDescent="0.25">
      <c r="A483">
        <v>283.71642900000001</v>
      </c>
      <c r="B483" s="1">
        <f>DATE(2011,2,8) + TIME(17,11,39)</f>
        <v>40582.716423611113</v>
      </c>
      <c r="C483">
        <v>70</v>
      </c>
      <c r="D483">
        <v>57.864780426000003</v>
      </c>
      <c r="E483">
        <v>40</v>
      </c>
      <c r="F483">
        <v>39.963325500000003</v>
      </c>
      <c r="G483">
        <v>1288.0310059000001</v>
      </c>
      <c r="H483">
        <v>1271.9071045000001</v>
      </c>
      <c r="I483">
        <v>1405.6926269999999</v>
      </c>
      <c r="J483">
        <v>1382.666626</v>
      </c>
      <c r="K483">
        <v>0</v>
      </c>
      <c r="L483">
        <v>2400</v>
      </c>
      <c r="M483">
        <v>2400</v>
      </c>
      <c r="N483">
        <v>0</v>
      </c>
    </row>
    <row r="484" spans="1:14" x14ac:dyDescent="0.25">
      <c r="A484">
        <v>286.33707700000002</v>
      </c>
      <c r="B484" s="1">
        <f>DATE(2011,2,11) + TIME(8,5,23)</f>
        <v>40585.337071759262</v>
      </c>
      <c r="C484">
        <v>70</v>
      </c>
      <c r="D484">
        <v>57.539745330999999</v>
      </c>
      <c r="E484">
        <v>40</v>
      </c>
      <c r="F484">
        <v>39.963478088000002</v>
      </c>
      <c r="G484">
        <v>1287.6495361</v>
      </c>
      <c r="H484">
        <v>1271.3773193</v>
      </c>
      <c r="I484">
        <v>1405.6236572</v>
      </c>
      <c r="J484">
        <v>1382.6010742000001</v>
      </c>
      <c r="K484">
        <v>0</v>
      </c>
      <c r="L484">
        <v>2400</v>
      </c>
      <c r="M484">
        <v>2400</v>
      </c>
      <c r="N484">
        <v>0</v>
      </c>
    </row>
    <row r="485" spans="1:14" x14ac:dyDescent="0.25">
      <c r="A485">
        <v>288.98099999999999</v>
      </c>
      <c r="B485" s="1">
        <f>DATE(2011,2,13) + TIME(23,32,38)</f>
        <v>40587.980995370373</v>
      </c>
      <c r="C485">
        <v>70</v>
      </c>
      <c r="D485">
        <v>57.200225830000001</v>
      </c>
      <c r="E485">
        <v>40</v>
      </c>
      <c r="F485">
        <v>39.963630676000001</v>
      </c>
      <c r="G485">
        <v>1287.2546387</v>
      </c>
      <c r="H485">
        <v>1270.8258057</v>
      </c>
      <c r="I485">
        <v>1405.5559082</v>
      </c>
      <c r="J485">
        <v>1382.5367432</v>
      </c>
      <c r="K485">
        <v>0</v>
      </c>
      <c r="L485">
        <v>2400</v>
      </c>
      <c r="M485">
        <v>2400</v>
      </c>
      <c r="N485">
        <v>0</v>
      </c>
    </row>
    <row r="486" spans="1:14" x14ac:dyDescent="0.25">
      <c r="A486">
        <v>291.64289400000001</v>
      </c>
      <c r="B486" s="1">
        <f>DATE(2011,2,16) + TIME(15,25,46)</f>
        <v>40590.642893518518</v>
      </c>
      <c r="C486">
        <v>70</v>
      </c>
      <c r="D486">
        <v>56.846309662000003</v>
      </c>
      <c r="E486">
        <v>40</v>
      </c>
      <c r="F486">
        <v>39.963779449</v>
      </c>
      <c r="G486">
        <v>1286.847168</v>
      </c>
      <c r="H486">
        <v>1270.2536620999999</v>
      </c>
      <c r="I486">
        <v>1405.489624</v>
      </c>
      <c r="J486">
        <v>1382.4736327999999</v>
      </c>
      <c r="K486">
        <v>0</v>
      </c>
      <c r="L486">
        <v>2400</v>
      </c>
      <c r="M486">
        <v>2400</v>
      </c>
      <c r="N486">
        <v>0</v>
      </c>
    </row>
    <row r="487" spans="1:14" x14ac:dyDescent="0.25">
      <c r="A487">
        <v>294.32653900000003</v>
      </c>
      <c r="B487" s="1">
        <f>DATE(2011,2,19) + TIME(7,50,12)</f>
        <v>40593.326527777775</v>
      </c>
      <c r="C487">
        <v>70</v>
      </c>
      <c r="D487">
        <v>56.477680206000002</v>
      </c>
      <c r="E487">
        <v>40</v>
      </c>
      <c r="F487">
        <v>39.963932036999999</v>
      </c>
      <c r="G487">
        <v>1286.4281006000001</v>
      </c>
      <c r="H487">
        <v>1269.6618652</v>
      </c>
      <c r="I487">
        <v>1405.4245605000001</v>
      </c>
      <c r="J487">
        <v>1382.4118652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297.02898299999998</v>
      </c>
      <c r="B488" s="1">
        <f>DATE(2011,2,22) + TIME(0,41,44)</f>
        <v>40596.028981481482</v>
      </c>
      <c r="C488">
        <v>70</v>
      </c>
      <c r="D488">
        <v>56.093540191999999</v>
      </c>
      <c r="E488">
        <v>40</v>
      </c>
      <c r="F488">
        <v>39.964080811000002</v>
      </c>
      <c r="G488">
        <v>1285.9970702999999</v>
      </c>
      <c r="H488">
        <v>1269.0500488</v>
      </c>
      <c r="I488">
        <v>1405.3605957</v>
      </c>
      <c r="J488">
        <v>1382.3510742000001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299.75020000000001</v>
      </c>
      <c r="B489" s="1">
        <f>DATE(2011,2,24) + TIME(18,0,17)</f>
        <v>40598.750196759262</v>
      </c>
      <c r="C489">
        <v>70</v>
      </c>
      <c r="D489">
        <v>55.693397521999998</v>
      </c>
      <c r="E489">
        <v>40</v>
      </c>
      <c r="F489">
        <v>39.964233397999998</v>
      </c>
      <c r="G489">
        <v>1285.5546875</v>
      </c>
      <c r="H489">
        <v>1268.4188231999999</v>
      </c>
      <c r="I489">
        <v>1405.2978516000001</v>
      </c>
      <c r="J489">
        <v>1382.2915039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302.49646799999999</v>
      </c>
      <c r="B490" s="1">
        <f>DATE(2011,2,27) + TIME(11,54,54)</f>
        <v>40601.496458333335</v>
      </c>
      <c r="C490">
        <v>70</v>
      </c>
      <c r="D490">
        <v>55.276473998999997</v>
      </c>
      <c r="E490">
        <v>40</v>
      </c>
      <c r="F490">
        <v>39.964382172000001</v>
      </c>
      <c r="G490">
        <v>1285.1011963000001</v>
      </c>
      <c r="H490">
        <v>1267.7683105000001</v>
      </c>
      <c r="I490">
        <v>1405.2362060999999</v>
      </c>
      <c r="J490">
        <v>1382.2329102000001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304</v>
      </c>
      <c r="B491" s="1">
        <f>DATE(2011,3,1) + TIME(0,0,0)</f>
        <v>40603</v>
      </c>
      <c r="C491">
        <v>70</v>
      </c>
      <c r="D491">
        <v>54.913200377999999</v>
      </c>
      <c r="E491">
        <v>40</v>
      </c>
      <c r="F491">
        <v>39.964462279999999</v>
      </c>
      <c r="G491">
        <v>1284.6429443</v>
      </c>
      <c r="H491">
        <v>1267.1297606999999</v>
      </c>
      <c r="I491">
        <v>1405.1746826000001</v>
      </c>
      <c r="J491">
        <v>1382.1744385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306.76309300000003</v>
      </c>
      <c r="B492" s="1">
        <f>DATE(2011,3,3) + TIME(18,18,51)</f>
        <v>40605.763090277775</v>
      </c>
      <c r="C492">
        <v>70</v>
      </c>
      <c r="D492">
        <v>54.566410064999999</v>
      </c>
      <c r="E492">
        <v>40</v>
      </c>
      <c r="F492">
        <v>39.964614867999998</v>
      </c>
      <c r="G492">
        <v>1284.3619385</v>
      </c>
      <c r="H492">
        <v>1266.6883545000001</v>
      </c>
      <c r="I492">
        <v>1405.1427002</v>
      </c>
      <c r="J492">
        <v>1382.1439209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309.56287200000003</v>
      </c>
      <c r="B493" s="1">
        <f>DATE(2011,3,6) + TIME(13,30,32)</f>
        <v>40608.56287037037</v>
      </c>
      <c r="C493">
        <v>70</v>
      </c>
      <c r="D493">
        <v>54.128177643000001</v>
      </c>
      <c r="E493">
        <v>40</v>
      </c>
      <c r="F493">
        <v>39.964763640999998</v>
      </c>
      <c r="G493">
        <v>1283.8953856999999</v>
      </c>
      <c r="H493">
        <v>1266.0192870999999</v>
      </c>
      <c r="I493">
        <v>1405.0834961</v>
      </c>
      <c r="J493">
        <v>1382.0876464999999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312.38294100000002</v>
      </c>
      <c r="B494" s="1">
        <f>DATE(2011,3,9) + TIME(9,11,26)</f>
        <v>40611.382939814815</v>
      </c>
      <c r="C494">
        <v>70</v>
      </c>
      <c r="D494">
        <v>53.652778625000003</v>
      </c>
      <c r="E494">
        <v>40</v>
      </c>
      <c r="F494">
        <v>39.964916229000004</v>
      </c>
      <c r="G494">
        <v>1283.4064940999999</v>
      </c>
      <c r="H494">
        <v>1265.3073730000001</v>
      </c>
      <c r="I494">
        <v>1405.0246582</v>
      </c>
      <c r="J494">
        <v>1382.0318603999999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315.22069399999998</v>
      </c>
      <c r="B495" s="1">
        <f>DATE(2011,3,12) + TIME(5,17,47)</f>
        <v>40614.220682870371</v>
      </c>
      <c r="C495">
        <v>70</v>
      </c>
      <c r="D495">
        <v>53.154621124000002</v>
      </c>
      <c r="E495">
        <v>40</v>
      </c>
      <c r="F495">
        <v>39.965065002000003</v>
      </c>
      <c r="G495">
        <v>1282.9055175999999</v>
      </c>
      <c r="H495">
        <v>1264.5722656</v>
      </c>
      <c r="I495">
        <v>1404.9665527</v>
      </c>
      <c r="J495">
        <v>1381.9766846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318.07284499999997</v>
      </c>
      <c r="B496" s="1">
        <f>DATE(2011,3,15) + TIME(1,44,53)</f>
        <v>40617.072835648149</v>
      </c>
      <c r="C496">
        <v>70</v>
      </c>
      <c r="D496">
        <v>52.637435912999997</v>
      </c>
      <c r="E496">
        <v>40</v>
      </c>
      <c r="F496">
        <v>39.965213775999999</v>
      </c>
      <c r="G496">
        <v>1282.3952637</v>
      </c>
      <c r="H496">
        <v>1263.8189697</v>
      </c>
      <c r="I496">
        <v>1404.9091797000001</v>
      </c>
      <c r="J496">
        <v>1381.9221190999999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320.946529</v>
      </c>
      <c r="B497" s="1">
        <f>DATE(2011,3,17) + TIME(22,43,0)</f>
        <v>40619.946527777778</v>
      </c>
      <c r="C497">
        <v>70</v>
      </c>
      <c r="D497">
        <v>52.102245330999999</v>
      </c>
      <c r="E497">
        <v>40</v>
      </c>
      <c r="F497">
        <v>39.965362548999998</v>
      </c>
      <c r="G497">
        <v>1281.8770752</v>
      </c>
      <c r="H497">
        <v>1263.0498047000001</v>
      </c>
      <c r="I497">
        <v>1404.8525391000001</v>
      </c>
      <c r="J497">
        <v>1381.8682861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323.83839599999999</v>
      </c>
      <c r="B498" s="1">
        <f>DATE(2011,3,20) + TIME(20,7,17)</f>
        <v>40622.838391203702</v>
      </c>
      <c r="C498">
        <v>70</v>
      </c>
      <c r="D498">
        <v>51.548927307</v>
      </c>
      <c r="E498">
        <v>40</v>
      </c>
      <c r="F498">
        <v>39.965507506999998</v>
      </c>
      <c r="G498">
        <v>1281.3505858999999</v>
      </c>
      <c r="H498">
        <v>1262.2642822</v>
      </c>
      <c r="I498">
        <v>1404.7962646000001</v>
      </c>
      <c r="J498">
        <v>1381.8148193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326.75153599999999</v>
      </c>
      <c r="B499" s="1">
        <f>DATE(2011,3,23) + TIME(18,2,12)</f>
        <v>40625.751527777778</v>
      </c>
      <c r="C499">
        <v>70</v>
      </c>
      <c r="D499">
        <v>50.978012085000003</v>
      </c>
      <c r="E499">
        <v>40</v>
      </c>
      <c r="F499">
        <v>39.965656281000001</v>
      </c>
      <c r="G499">
        <v>1280.8167725000001</v>
      </c>
      <c r="H499">
        <v>1261.4636230000001</v>
      </c>
      <c r="I499">
        <v>1404.7406006000001</v>
      </c>
      <c r="J499">
        <v>1381.7618408000001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329.68785700000001</v>
      </c>
      <c r="B500" s="1">
        <f>DATE(2011,3,26) + TIME(16,30,30)</f>
        <v>40628.687847222223</v>
      </c>
      <c r="C500">
        <v>70</v>
      </c>
      <c r="D500">
        <v>50.389793396000002</v>
      </c>
      <c r="E500">
        <v>40</v>
      </c>
      <c r="F500">
        <v>39.965805054</v>
      </c>
      <c r="G500">
        <v>1280.276001</v>
      </c>
      <c r="H500">
        <v>1260.6479492000001</v>
      </c>
      <c r="I500">
        <v>1404.6853027</v>
      </c>
      <c r="J500">
        <v>1381.7092285000001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332.63887399999999</v>
      </c>
      <c r="B501" s="1">
        <f>DATE(2011,3,29) + TIME(15,19,58)</f>
        <v>40631.638865740744</v>
      </c>
      <c r="C501">
        <v>70</v>
      </c>
      <c r="D501">
        <v>49.784809113000001</v>
      </c>
      <c r="E501">
        <v>40</v>
      </c>
      <c r="F501">
        <v>39.965950012</v>
      </c>
      <c r="G501">
        <v>1279.7282714999999</v>
      </c>
      <c r="H501">
        <v>1259.8178711</v>
      </c>
      <c r="I501">
        <v>1404.630249</v>
      </c>
      <c r="J501">
        <v>1381.6568603999999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335</v>
      </c>
      <c r="B502" s="1">
        <f>DATE(2011,4,1) + TIME(0,0,0)</f>
        <v>40634</v>
      </c>
      <c r="C502">
        <v>70</v>
      </c>
      <c r="D502">
        <v>49.196708678999997</v>
      </c>
      <c r="E502">
        <v>40</v>
      </c>
      <c r="F502">
        <v>39.966068268000001</v>
      </c>
      <c r="G502">
        <v>1279.1779785000001</v>
      </c>
      <c r="H502">
        <v>1258.9908447</v>
      </c>
      <c r="I502">
        <v>1404.5753173999999</v>
      </c>
      <c r="J502">
        <v>1381.6046143000001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337.97325699999999</v>
      </c>
      <c r="B503" s="1">
        <f>DATE(2011,4,3) + TIME(23,21,29)</f>
        <v>40636.973252314812</v>
      </c>
      <c r="C503">
        <v>70</v>
      </c>
      <c r="D503">
        <v>48.639110565000003</v>
      </c>
      <c r="E503">
        <v>40</v>
      </c>
      <c r="F503">
        <v>39.966213226000001</v>
      </c>
      <c r="G503">
        <v>1278.7252197</v>
      </c>
      <c r="H503">
        <v>1258.2769774999999</v>
      </c>
      <c r="I503">
        <v>1404.5322266000001</v>
      </c>
      <c r="J503">
        <v>1381.5635986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340.98585100000003</v>
      </c>
      <c r="B504" s="1">
        <f>DATE(2011,4,6) + TIME(23,39,37)</f>
        <v>40639.985844907409</v>
      </c>
      <c r="C504">
        <v>70</v>
      </c>
      <c r="D504">
        <v>48.009933472</v>
      </c>
      <c r="E504">
        <v>40</v>
      </c>
      <c r="F504">
        <v>39.966361999999997</v>
      </c>
      <c r="G504">
        <v>1278.1739502</v>
      </c>
      <c r="H504">
        <v>1257.4345702999999</v>
      </c>
      <c r="I504">
        <v>1404.4781493999999</v>
      </c>
      <c r="J504">
        <v>1381.512207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344.02579600000001</v>
      </c>
      <c r="B505" s="1">
        <f>DATE(2011,4,10) + TIME(0,37,8)</f>
        <v>40643.025787037041</v>
      </c>
      <c r="C505">
        <v>70</v>
      </c>
      <c r="D505">
        <v>47.352455139</v>
      </c>
      <c r="E505">
        <v>40</v>
      </c>
      <c r="F505">
        <v>39.966506957999997</v>
      </c>
      <c r="G505">
        <v>1277.6108397999999</v>
      </c>
      <c r="H505">
        <v>1256.5645752</v>
      </c>
      <c r="I505">
        <v>1404.4239502</v>
      </c>
      <c r="J505">
        <v>1381.4605713000001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347.09521599999999</v>
      </c>
      <c r="B506" s="1">
        <f>DATE(2011,4,13) + TIME(2,17,6)</f>
        <v>40646.095208333332</v>
      </c>
      <c r="C506">
        <v>70</v>
      </c>
      <c r="D506">
        <v>46.678642273000001</v>
      </c>
      <c r="E506">
        <v>40</v>
      </c>
      <c r="F506">
        <v>39.966651917</v>
      </c>
      <c r="G506">
        <v>1277.0424805</v>
      </c>
      <c r="H506">
        <v>1255.6804199000001</v>
      </c>
      <c r="I506">
        <v>1404.369751</v>
      </c>
      <c r="J506">
        <v>1381.4089355000001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350.19851</v>
      </c>
      <c r="B507" s="1">
        <f>DATE(2011,4,16) + TIME(4,45,51)</f>
        <v>40649.198506944442</v>
      </c>
      <c r="C507">
        <v>70</v>
      </c>
      <c r="D507">
        <v>45.991451263000002</v>
      </c>
      <c r="E507">
        <v>40</v>
      </c>
      <c r="F507">
        <v>39.966796875</v>
      </c>
      <c r="G507">
        <v>1276.4703368999999</v>
      </c>
      <c r="H507">
        <v>1254.7851562000001</v>
      </c>
      <c r="I507">
        <v>1404.3154297000001</v>
      </c>
      <c r="J507">
        <v>1381.3571777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353.340709</v>
      </c>
      <c r="B508" s="1">
        <f>DATE(2011,4,19) + TIME(8,10,37)</f>
        <v>40652.34070601852</v>
      </c>
      <c r="C508">
        <v>70</v>
      </c>
      <c r="D508">
        <v>45.291931151999997</v>
      </c>
      <c r="E508">
        <v>40</v>
      </c>
      <c r="F508">
        <v>39.966945647999999</v>
      </c>
      <c r="G508">
        <v>1275.8948975000001</v>
      </c>
      <c r="H508">
        <v>1253.8793945</v>
      </c>
      <c r="I508">
        <v>1404.2609863</v>
      </c>
      <c r="J508">
        <v>1381.3051757999999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356.53204399999998</v>
      </c>
      <c r="B509" s="1">
        <f>DATE(2011,4,22) + TIME(12,46,8)</f>
        <v>40655.532037037039</v>
      </c>
      <c r="C509">
        <v>70</v>
      </c>
      <c r="D509">
        <v>44.580398559999999</v>
      </c>
      <c r="E509">
        <v>40</v>
      </c>
      <c r="F509">
        <v>39.967090607000003</v>
      </c>
      <c r="G509">
        <v>1275.3162841999999</v>
      </c>
      <c r="H509">
        <v>1252.9632568</v>
      </c>
      <c r="I509">
        <v>1404.2060547000001</v>
      </c>
      <c r="J509">
        <v>1381.2528076000001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359.78368799999998</v>
      </c>
      <c r="B510" s="1">
        <f>DATE(2011,4,25) + TIME(18,48,30)</f>
        <v>40658.783680555556</v>
      </c>
      <c r="C510">
        <v>70</v>
      </c>
      <c r="D510">
        <v>43.85641098</v>
      </c>
      <c r="E510">
        <v>40</v>
      </c>
      <c r="F510">
        <v>39.967239380000002</v>
      </c>
      <c r="G510">
        <v>1274.7336425999999</v>
      </c>
      <c r="H510">
        <v>1252.0354004000001</v>
      </c>
      <c r="I510">
        <v>1404.1507568</v>
      </c>
      <c r="J510">
        <v>1381.1999512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363.10782499999999</v>
      </c>
      <c r="B511" s="1">
        <f>DATE(2011,4,29) + TIME(2,35,16)</f>
        <v>40662.107824074075</v>
      </c>
      <c r="C511">
        <v>70</v>
      </c>
      <c r="D511">
        <v>43.119300842000001</v>
      </c>
      <c r="E511">
        <v>40</v>
      </c>
      <c r="F511">
        <v>39.967391968000001</v>
      </c>
      <c r="G511">
        <v>1274.1463623</v>
      </c>
      <c r="H511">
        <v>1251.0946045000001</v>
      </c>
      <c r="I511">
        <v>1404.0946045000001</v>
      </c>
      <c r="J511">
        <v>1381.1463623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365</v>
      </c>
      <c r="B512" s="1">
        <f>DATE(2011,5,1) + TIME(0,0,0)</f>
        <v>40664</v>
      </c>
      <c r="C512">
        <v>70</v>
      </c>
      <c r="D512">
        <v>42.466705322000003</v>
      </c>
      <c r="E512">
        <v>40</v>
      </c>
      <c r="F512">
        <v>39.967472076</v>
      </c>
      <c r="G512">
        <v>1273.5566406</v>
      </c>
      <c r="H512">
        <v>1250.1875</v>
      </c>
      <c r="I512">
        <v>1404.0372314000001</v>
      </c>
      <c r="J512">
        <v>1381.0914307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365.000001</v>
      </c>
      <c r="B513" s="1">
        <f>DATE(2011,5,1) + TIME(0,0,0)</f>
        <v>40664</v>
      </c>
      <c r="C513">
        <v>70</v>
      </c>
      <c r="D513">
        <v>42.466857910000002</v>
      </c>
      <c r="E513">
        <v>40</v>
      </c>
      <c r="F513">
        <v>39.967369079999997</v>
      </c>
      <c r="G513">
        <v>1298.5820312000001</v>
      </c>
      <c r="H513">
        <v>1274.5090332</v>
      </c>
      <c r="I513">
        <v>1380.2166748</v>
      </c>
      <c r="J513">
        <v>1357.6052245999999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365.00000399999999</v>
      </c>
      <c r="B514" s="1">
        <f>DATE(2011,5,1) + TIME(0,0,0)</f>
        <v>40664</v>
      </c>
      <c r="C514">
        <v>70</v>
      </c>
      <c r="D514">
        <v>42.467273712000001</v>
      </c>
      <c r="E514">
        <v>40</v>
      </c>
      <c r="F514">
        <v>39.967082976999997</v>
      </c>
      <c r="G514">
        <v>1300.9863281</v>
      </c>
      <c r="H514">
        <v>1277.0776367000001</v>
      </c>
      <c r="I514">
        <v>1377.8419189000001</v>
      </c>
      <c r="J514">
        <v>1355.2293701000001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365.00001300000002</v>
      </c>
      <c r="B515" s="1">
        <f>DATE(2011,5,1) + TIME(0,0,1)</f>
        <v>40664.000011574077</v>
      </c>
      <c r="C515">
        <v>70</v>
      </c>
      <c r="D515">
        <v>42.468307494999998</v>
      </c>
      <c r="E515">
        <v>40</v>
      </c>
      <c r="F515">
        <v>39.966419219999999</v>
      </c>
      <c r="G515">
        <v>1306.6274414</v>
      </c>
      <c r="H515">
        <v>1282.9824219</v>
      </c>
      <c r="I515">
        <v>1372.3129882999999</v>
      </c>
      <c r="J515">
        <v>1349.6987305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365.00004000000001</v>
      </c>
      <c r="B516" s="1">
        <f>DATE(2011,5,1) + TIME(0,0,3)</f>
        <v>40664.000034722223</v>
      </c>
      <c r="C516">
        <v>70</v>
      </c>
      <c r="D516">
        <v>42.470508574999997</v>
      </c>
      <c r="E516">
        <v>40</v>
      </c>
      <c r="F516">
        <v>39.965248107999997</v>
      </c>
      <c r="G516">
        <v>1316.7238769999999</v>
      </c>
      <c r="H516">
        <v>1293.2515868999999</v>
      </c>
      <c r="I516">
        <v>1362.5581055</v>
      </c>
      <c r="J516">
        <v>1339.9431152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365.00012099999998</v>
      </c>
      <c r="B517" s="1">
        <f>DATE(2011,5,1) + TIME(0,0,10)</f>
        <v>40664.000115740739</v>
      </c>
      <c r="C517">
        <v>70</v>
      </c>
      <c r="D517">
        <v>42.474945067999997</v>
      </c>
      <c r="E517">
        <v>40</v>
      </c>
      <c r="F517">
        <v>39.963745117000002</v>
      </c>
      <c r="G517">
        <v>1329.7687988</v>
      </c>
      <c r="H517">
        <v>1306.2578125</v>
      </c>
      <c r="I517">
        <v>1350.0900879000001</v>
      </c>
      <c r="J517">
        <v>1327.4831543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365.00036399999999</v>
      </c>
      <c r="B518" s="1">
        <f>DATE(2011,5,1) + TIME(0,0,31)</f>
        <v>40664.000358796293</v>
      </c>
      <c r="C518">
        <v>70</v>
      </c>
      <c r="D518">
        <v>42.485210418999998</v>
      </c>
      <c r="E518">
        <v>40</v>
      </c>
      <c r="F518">
        <v>39.962146758999999</v>
      </c>
      <c r="G518">
        <v>1343.6505127</v>
      </c>
      <c r="H518">
        <v>1320.0478516000001</v>
      </c>
      <c r="I518">
        <v>1337.0406493999999</v>
      </c>
      <c r="J518">
        <v>1314.4489745999999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365.00109300000003</v>
      </c>
      <c r="B519" s="1">
        <f>DATE(2011,5,1) + TIME(0,1,34)</f>
        <v>40664.001087962963</v>
      </c>
      <c r="C519">
        <v>70</v>
      </c>
      <c r="D519">
        <v>42.512786865000002</v>
      </c>
      <c r="E519">
        <v>40</v>
      </c>
      <c r="F519">
        <v>39.960475922000001</v>
      </c>
      <c r="G519">
        <v>1357.9768065999999</v>
      </c>
      <c r="H519">
        <v>1334.3015137</v>
      </c>
      <c r="I519">
        <v>1323.9777832</v>
      </c>
      <c r="J519">
        <v>1301.4084473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365.00328000000002</v>
      </c>
      <c r="B520" s="1">
        <f>DATE(2011,5,1) + TIME(0,4,43)</f>
        <v>40664.003275462965</v>
      </c>
      <c r="C520">
        <v>70</v>
      </c>
      <c r="D520">
        <v>42.592205047999997</v>
      </c>
      <c r="E520">
        <v>40</v>
      </c>
      <c r="F520">
        <v>39.958572388</v>
      </c>
      <c r="G520">
        <v>1373.1817627</v>
      </c>
      <c r="H520">
        <v>1349.4594727000001</v>
      </c>
      <c r="I520">
        <v>1310.7393798999999</v>
      </c>
      <c r="J520">
        <v>1288.1844481999999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365.00984099999999</v>
      </c>
      <c r="B521" s="1">
        <f>DATE(2011,5,1) + TIME(0,14,10)</f>
        <v>40664.009837962964</v>
      </c>
      <c r="C521">
        <v>70</v>
      </c>
      <c r="D521">
        <v>42.825614928999997</v>
      </c>
      <c r="E521">
        <v>40</v>
      </c>
      <c r="F521">
        <v>39.956020355</v>
      </c>
      <c r="G521">
        <v>1388.7005615</v>
      </c>
      <c r="H521">
        <v>1365.0001221</v>
      </c>
      <c r="I521">
        <v>1297.3819579999999</v>
      </c>
      <c r="J521">
        <v>1274.8145752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365.02952399999998</v>
      </c>
      <c r="B522" s="1">
        <f>DATE(2011,5,1) + TIME(0,42,30)</f>
        <v>40664.029513888891</v>
      </c>
      <c r="C522">
        <v>70</v>
      </c>
      <c r="D522">
        <v>43.506202698000003</v>
      </c>
      <c r="E522">
        <v>40</v>
      </c>
      <c r="F522">
        <v>39.951869965</v>
      </c>
      <c r="G522">
        <v>1401.2723389</v>
      </c>
      <c r="H522">
        <v>1377.8000488</v>
      </c>
      <c r="I522">
        <v>1286.2407227000001</v>
      </c>
      <c r="J522">
        <v>1263.6540527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365.05503900000002</v>
      </c>
      <c r="B523" s="1">
        <f>DATE(2011,5,1) + TIME(1,19,15)</f>
        <v>40664.055034722223</v>
      </c>
      <c r="C523">
        <v>70</v>
      </c>
      <c r="D523">
        <v>44.360404967999997</v>
      </c>
      <c r="E523">
        <v>40</v>
      </c>
      <c r="F523">
        <v>39.947719573999997</v>
      </c>
      <c r="G523">
        <v>1406.2082519999999</v>
      </c>
      <c r="H523">
        <v>1383.0560303</v>
      </c>
      <c r="I523">
        <v>1281.8499756000001</v>
      </c>
      <c r="J523">
        <v>1259.2561035000001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365.08118000000002</v>
      </c>
      <c r="B524" s="1">
        <f>DATE(2011,5,1) + TIME(1,56,53)</f>
        <v>40664.08116898148</v>
      </c>
      <c r="C524">
        <v>70</v>
      </c>
      <c r="D524">
        <v>45.207759856999999</v>
      </c>
      <c r="E524">
        <v>40</v>
      </c>
      <c r="F524">
        <v>39.943855286000002</v>
      </c>
      <c r="G524">
        <v>1407.8557129000001</v>
      </c>
      <c r="H524">
        <v>1385.0202637</v>
      </c>
      <c r="I524">
        <v>1280.3908690999999</v>
      </c>
      <c r="J524">
        <v>1257.7945557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365.10792400000003</v>
      </c>
      <c r="B525" s="1">
        <f>DATE(2011,5,1) + TIME(2,35,24)</f>
        <v>40664.107916666668</v>
      </c>
      <c r="C525">
        <v>70</v>
      </c>
      <c r="D525">
        <v>46.046566009999999</v>
      </c>
      <c r="E525">
        <v>40</v>
      </c>
      <c r="F525">
        <v>39.940059662000003</v>
      </c>
      <c r="G525">
        <v>1408.2982178</v>
      </c>
      <c r="H525">
        <v>1385.7718506000001</v>
      </c>
      <c r="I525">
        <v>1279.9301757999999</v>
      </c>
      <c r="J525">
        <v>1257.3325195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365.13529499999999</v>
      </c>
      <c r="B526" s="1">
        <f>DATE(2011,5,1) + TIME(3,14,49)</f>
        <v>40664.135289351849</v>
      </c>
      <c r="C526">
        <v>70</v>
      </c>
      <c r="D526">
        <v>46.876541138</v>
      </c>
      <c r="E526">
        <v>40</v>
      </c>
      <c r="F526">
        <v>39.936248779000003</v>
      </c>
      <c r="G526">
        <v>1408.2559814000001</v>
      </c>
      <c r="H526">
        <v>1386.0288086</v>
      </c>
      <c r="I526">
        <v>1279.8117675999999</v>
      </c>
      <c r="J526">
        <v>1257.213501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365.16332399999999</v>
      </c>
      <c r="B527" s="1">
        <f>DATE(2011,5,1) + TIME(3,55,11)</f>
        <v>40664.163321759261</v>
      </c>
      <c r="C527">
        <v>70</v>
      </c>
      <c r="D527">
        <v>47.697509766000003</v>
      </c>
      <c r="E527">
        <v>40</v>
      </c>
      <c r="F527">
        <v>39.932399750000002</v>
      </c>
      <c r="G527">
        <v>1408.0098877</v>
      </c>
      <c r="H527">
        <v>1386.0711670000001</v>
      </c>
      <c r="I527">
        <v>1279.8022461</v>
      </c>
      <c r="J527">
        <v>1257.2032471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365.19204500000001</v>
      </c>
      <c r="B528" s="1">
        <f>DATE(2011,5,1) + TIME(4,36,32)</f>
        <v>40664.192037037035</v>
      </c>
      <c r="C528">
        <v>70</v>
      </c>
      <c r="D528">
        <v>48.509387969999999</v>
      </c>
      <c r="E528">
        <v>40</v>
      </c>
      <c r="F528">
        <v>39.928493500000002</v>
      </c>
      <c r="G528">
        <v>1407.6777344</v>
      </c>
      <c r="H528">
        <v>1386.0170897999999</v>
      </c>
      <c r="I528">
        <v>1279.8200684000001</v>
      </c>
      <c r="J528">
        <v>1257.2205810999999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365.22149899999999</v>
      </c>
      <c r="B529" s="1">
        <f>DATE(2011,5,1) + TIME(5,18,57)</f>
        <v>40664.221493055556</v>
      </c>
      <c r="C529">
        <v>70</v>
      </c>
      <c r="D529">
        <v>49.312110900999997</v>
      </c>
      <c r="E529">
        <v>40</v>
      </c>
      <c r="F529">
        <v>39.924530029000003</v>
      </c>
      <c r="G529">
        <v>1407.3116454999999</v>
      </c>
      <c r="H529">
        <v>1385.9189452999999</v>
      </c>
      <c r="I529">
        <v>1279.8395995999999</v>
      </c>
      <c r="J529">
        <v>1257.2395019999999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365.25172900000001</v>
      </c>
      <c r="B530" s="1">
        <f>DATE(2011,5,1) + TIME(6,2,29)</f>
        <v>40664.25172453704</v>
      </c>
      <c r="C530">
        <v>70</v>
      </c>
      <c r="D530">
        <v>50.105564117</v>
      </c>
      <c r="E530">
        <v>40</v>
      </c>
      <c r="F530">
        <v>39.920497894</v>
      </c>
      <c r="G530">
        <v>1406.9354248</v>
      </c>
      <c r="H530">
        <v>1385.8007812000001</v>
      </c>
      <c r="I530">
        <v>1279.8542480000001</v>
      </c>
      <c r="J530">
        <v>1257.2536620999999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365.28278399999999</v>
      </c>
      <c r="B531" s="1">
        <f>DATE(2011,5,1) + TIME(6,47,12)</f>
        <v>40664.282777777778</v>
      </c>
      <c r="C531">
        <v>70</v>
      </c>
      <c r="D531">
        <v>50.889392852999997</v>
      </c>
      <c r="E531">
        <v>40</v>
      </c>
      <c r="F531">
        <v>39.916397095000001</v>
      </c>
      <c r="G531">
        <v>1406.5603027</v>
      </c>
      <c r="H531">
        <v>1385.6743164</v>
      </c>
      <c r="I531">
        <v>1279.8638916</v>
      </c>
      <c r="J531">
        <v>1257.2628173999999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365.31471499999998</v>
      </c>
      <c r="B532" s="1">
        <f>DATE(2011,5,1) + TIME(7,33,11)</f>
        <v>40664.314710648148</v>
      </c>
      <c r="C532">
        <v>70</v>
      </c>
      <c r="D532">
        <v>51.663829802999999</v>
      </c>
      <c r="E532">
        <v>40</v>
      </c>
      <c r="F532">
        <v>39.912223816000001</v>
      </c>
      <c r="G532">
        <v>1406.1914062000001</v>
      </c>
      <c r="H532">
        <v>1385.5452881000001</v>
      </c>
      <c r="I532">
        <v>1279.869751</v>
      </c>
      <c r="J532">
        <v>1257.2681885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365.347578</v>
      </c>
      <c r="B533" s="1">
        <f>DATE(2011,5,1) + TIME(8,20,30)</f>
        <v>40664.347569444442</v>
      </c>
      <c r="C533">
        <v>70</v>
      </c>
      <c r="D533">
        <v>52.428768157999997</v>
      </c>
      <c r="E533">
        <v>40</v>
      </c>
      <c r="F533">
        <v>39.907970427999999</v>
      </c>
      <c r="G533">
        <v>1405.8312988</v>
      </c>
      <c r="H533">
        <v>1385.4163818</v>
      </c>
      <c r="I533">
        <v>1279.8731689000001</v>
      </c>
      <c r="J533">
        <v>1257.2709961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365.38143700000001</v>
      </c>
      <c r="B534" s="1">
        <f>DATE(2011,5,1) + TIME(9,9,16)</f>
        <v>40664.381435185183</v>
      </c>
      <c r="C534">
        <v>70</v>
      </c>
      <c r="D534">
        <v>53.184089661000002</v>
      </c>
      <c r="E534">
        <v>40</v>
      </c>
      <c r="F534">
        <v>39.903629303000002</v>
      </c>
      <c r="G534">
        <v>1405.4810791</v>
      </c>
      <c r="H534">
        <v>1385.2891846</v>
      </c>
      <c r="I534">
        <v>1279.875</v>
      </c>
      <c r="J534">
        <v>1257.2723389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365.41635100000002</v>
      </c>
      <c r="B535" s="1">
        <f>DATE(2011,5,1) + TIME(9,59,32)</f>
        <v>40664.416342592594</v>
      </c>
      <c r="C535">
        <v>70</v>
      </c>
      <c r="D535">
        <v>53.929531097000002</v>
      </c>
      <c r="E535">
        <v>40</v>
      </c>
      <c r="F535">
        <v>39.899200438999998</v>
      </c>
      <c r="G535">
        <v>1405.1409911999999</v>
      </c>
      <c r="H535">
        <v>1385.1640625</v>
      </c>
      <c r="I535">
        <v>1279.8759766000001</v>
      </c>
      <c r="J535">
        <v>1257.2727050999999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365.45240100000001</v>
      </c>
      <c r="B536" s="1">
        <f>DATE(2011,5,1) + TIME(10,51,27)</f>
        <v>40664.45239583333</v>
      </c>
      <c r="C536">
        <v>70</v>
      </c>
      <c r="D536">
        <v>54.665019989000001</v>
      </c>
      <c r="E536">
        <v>40</v>
      </c>
      <c r="F536">
        <v>39.894672393999997</v>
      </c>
      <c r="G536">
        <v>1404.8111572</v>
      </c>
      <c r="H536">
        <v>1385.0415039</v>
      </c>
      <c r="I536">
        <v>1279.8762207</v>
      </c>
      <c r="J536">
        <v>1257.2724608999999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365.48966799999999</v>
      </c>
      <c r="B537" s="1">
        <f>DATE(2011,5,1) + TIME(11,45,7)</f>
        <v>40664.489664351851</v>
      </c>
      <c r="C537">
        <v>70</v>
      </c>
      <c r="D537">
        <v>55.390419006000002</v>
      </c>
      <c r="E537">
        <v>40</v>
      </c>
      <c r="F537">
        <v>39.890041351000001</v>
      </c>
      <c r="G537">
        <v>1404.4909668</v>
      </c>
      <c r="H537">
        <v>1384.9213867000001</v>
      </c>
      <c r="I537">
        <v>1279.8762207</v>
      </c>
      <c r="J537">
        <v>1257.2718506000001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365.52824500000003</v>
      </c>
      <c r="B538" s="1">
        <f>DATE(2011,5,1) + TIME(12,40,40)</f>
        <v>40664.528240740743</v>
      </c>
      <c r="C538">
        <v>70</v>
      </c>
      <c r="D538">
        <v>56.105537415000001</v>
      </c>
      <c r="E538">
        <v>40</v>
      </c>
      <c r="F538">
        <v>39.885295868</v>
      </c>
      <c r="G538">
        <v>1404.1802978999999</v>
      </c>
      <c r="H538">
        <v>1384.8035889</v>
      </c>
      <c r="I538">
        <v>1279.8759766000001</v>
      </c>
      <c r="J538">
        <v>1257.2709961</v>
      </c>
      <c r="K538">
        <v>2400</v>
      </c>
      <c r="L538">
        <v>0</v>
      </c>
      <c r="M538">
        <v>0</v>
      </c>
      <c r="N538">
        <v>2400</v>
      </c>
    </row>
    <row r="539" spans="1:14" x14ac:dyDescent="0.25">
      <c r="A539">
        <v>365.56823100000003</v>
      </c>
      <c r="B539" s="1">
        <f>DATE(2011,5,1) + TIME(13,38,15)</f>
        <v>40664.568229166667</v>
      </c>
      <c r="C539">
        <v>70</v>
      </c>
      <c r="D539">
        <v>56.810146332000002</v>
      </c>
      <c r="E539">
        <v>40</v>
      </c>
      <c r="F539">
        <v>39.880428314</v>
      </c>
      <c r="G539">
        <v>1403.8785399999999</v>
      </c>
      <c r="H539">
        <v>1384.6881103999999</v>
      </c>
      <c r="I539">
        <v>1279.8756103999999</v>
      </c>
      <c r="J539">
        <v>1257.2698975000001</v>
      </c>
      <c r="K539">
        <v>2400</v>
      </c>
      <c r="L539">
        <v>0</v>
      </c>
      <c r="M539">
        <v>0</v>
      </c>
      <c r="N539">
        <v>2400</v>
      </c>
    </row>
    <row r="540" spans="1:14" x14ac:dyDescent="0.25">
      <c r="A540">
        <v>365.60973999999999</v>
      </c>
      <c r="B540" s="1">
        <f>DATE(2011,5,1) + TIME(14,38,1)</f>
        <v>40664.609733796293</v>
      </c>
      <c r="C540">
        <v>70</v>
      </c>
      <c r="D540">
        <v>57.504009246999999</v>
      </c>
      <c r="E540">
        <v>40</v>
      </c>
      <c r="F540">
        <v>39.875431061</v>
      </c>
      <c r="G540">
        <v>1403.5853271000001</v>
      </c>
      <c r="H540">
        <v>1384.5744629000001</v>
      </c>
      <c r="I540">
        <v>1279.8751221</v>
      </c>
      <c r="J540">
        <v>1257.2687988</v>
      </c>
      <c r="K540">
        <v>2400</v>
      </c>
      <c r="L540">
        <v>0</v>
      </c>
      <c r="M540">
        <v>0</v>
      </c>
      <c r="N540">
        <v>2400</v>
      </c>
    </row>
    <row r="541" spans="1:14" x14ac:dyDescent="0.25">
      <c r="A541">
        <v>365.652896</v>
      </c>
      <c r="B541" s="1">
        <f>DATE(2011,5,1) + TIME(15,40,10)</f>
        <v>40664.65289351852</v>
      </c>
      <c r="C541">
        <v>70</v>
      </c>
      <c r="D541">
        <v>58.186851501</v>
      </c>
      <c r="E541">
        <v>40</v>
      </c>
      <c r="F541">
        <v>39.870288848999998</v>
      </c>
      <c r="G541">
        <v>1403.300293</v>
      </c>
      <c r="H541">
        <v>1384.4627685999999</v>
      </c>
      <c r="I541">
        <v>1279.8745117000001</v>
      </c>
      <c r="J541">
        <v>1257.2675781</v>
      </c>
      <c r="K541">
        <v>2400</v>
      </c>
      <c r="L541">
        <v>0</v>
      </c>
      <c r="M541">
        <v>0</v>
      </c>
      <c r="N541">
        <v>2400</v>
      </c>
    </row>
    <row r="542" spans="1:14" x14ac:dyDescent="0.25">
      <c r="A542">
        <v>365.69784099999998</v>
      </c>
      <c r="B542" s="1">
        <f>DATE(2011,5,1) + TIME(16,44,53)</f>
        <v>40664.697835648149</v>
      </c>
      <c r="C542">
        <v>70</v>
      </c>
      <c r="D542">
        <v>58.858383179</v>
      </c>
      <c r="E542">
        <v>40</v>
      </c>
      <c r="F542">
        <v>39.864990233999997</v>
      </c>
      <c r="G542">
        <v>1403.0229492000001</v>
      </c>
      <c r="H542">
        <v>1384.3524170000001</v>
      </c>
      <c r="I542">
        <v>1279.8737793</v>
      </c>
      <c r="J542">
        <v>1257.2662353999999</v>
      </c>
      <c r="K542">
        <v>2400</v>
      </c>
      <c r="L542">
        <v>0</v>
      </c>
      <c r="M542">
        <v>0</v>
      </c>
      <c r="N542">
        <v>2400</v>
      </c>
    </row>
    <row r="543" spans="1:14" x14ac:dyDescent="0.25">
      <c r="A543">
        <v>365.744733</v>
      </c>
      <c r="B543" s="1">
        <f>DATE(2011,5,1) + TIME(17,52,24)</f>
        <v>40664.744722222225</v>
      </c>
      <c r="C543">
        <v>70</v>
      </c>
      <c r="D543">
        <v>59.518276215</v>
      </c>
      <c r="E543">
        <v>40</v>
      </c>
      <c r="F543">
        <v>39.859527587999999</v>
      </c>
      <c r="G543">
        <v>1402.7528076000001</v>
      </c>
      <c r="H543">
        <v>1384.2434082</v>
      </c>
      <c r="I543">
        <v>1279.8730469</v>
      </c>
      <c r="J543">
        <v>1257.2647704999999</v>
      </c>
      <c r="K543">
        <v>2400</v>
      </c>
      <c r="L543">
        <v>0</v>
      </c>
      <c r="M543">
        <v>0</v>
      </c>
      <c r="N543">
        <v>2400</v>
      </c>
    </row>
    <row r="544" spans="1:14" x14ac:dyDescent="0.25">
      <c r="A544">
        <v>365.79375199999998</v>
      </c>
      <c r="B544" s="1">
        <f>DATE(2011,5,1) + TIME(19,3,0)</f>
        <v>40664.793749999997</v>
      </c>
      <c r="C544">
        <v>70</v>
      </c>
      <c r="D544">
        <v>60.166046143000003</v>
      </c>
      <c r="E544">
        <v>40</v>
      </c>
      <c r="F544">
        <v>39.853878021</v>
      </c>
      <c r="G544">
        <v>1402.4893798999999</v>
      </c>
      <c r="H544">
        <v>1384.135376</v>
      </c>
      <c r="I544">
        <v>1279.8721923999999</v>
      </c>
      <c r="J544">
        <v>1257.2631836</v>
      </c>
      <c r="K544">
        <v>2400</v>
      </c>
      <c r="L544">
        <v>0</v>
      </c>
      <c r="M544">
        <v>0</v>
      </c>
      <c r="N544">
        <v>2400</v>
      </c>
    </row>
    <row r="545" spans="1:14" x14ac:dyDescent="0.25">
      <c r="A545">
        <v>365.84511300000003</v>
      </c>
      <c r="B545" s="1">
        <f>DATE(2011,5,1) + TIME(20,16,57)</f>
        <v>40664.845104166663</v>
      </c>
      <c r="C545">
        <v>70</v>
      </c>
      <c r="D545">
        <v>60.801177979000002</v>
      </c>
      <c r="E545">
        <v>40</v>
      </c>
      <c r="F545">
        <v>39.848026275999999</v>
      </c>
      <c r="G545">
        <v>1402.2322998</v>
      </c>
      <c r="H545">
        <v>1384.0279541</v>
      </c>
      <c r="I545">
        <v>1279.8712158000001</v>
      </c>
      <c r="J545">
        <v>1257.2615966999999</v>
      </c>
      <c r="K545">
        <v>2400</v>
      </c>
      <c r="L545">
        <v>0</v>
      </c>
      <c r="M545">
        <v>0</v>
      </c>
      <c r="N545">
        <v>2400</v>
      </c>
    </row>
    <row r="546" spans="1:14" x14ac:dyDescent="0.25">
      <c r="A546">
        <v>365.89906100000002</v>
      </c>
      <c r="B546" s="1">
        <f>DATE(2011,5,1) + TIME(21,34,38)</f>
        <v>40664.899050925924</v>
      </c>
      <c r="C546">
        <v>70</v>
      </c>
      <c r="D546">
        <v>61.423645020000002</v>
      </c>
      <c r="E546">
        <v>40</v>
      </c>
      <c r="F546">
        <v>39.841949462999999</v>
      </c>
      <c r="G546">
        <v>1401.9812012</v>
      </c>
      <c r="H546">
        <v>1383.9211425999999</v>
      </c>
      <c r="I546">
        <v>1279.8702393000001</v>
      </c>
      <c r="J546">
        <v>1257.2598877</v>
      </c>
      <c r="K546">
        <v>2400</v>
      </c>
      <c r="L546">
        <v>0</v>
      </c>
      <c r="M546">
        <v>0</v>
      </c>
      <c r="N546">
        <v>2400</v>
      </c>
    </row>
    <row r="547" spans="1:14" x14ac:dyDescent="0.25">
      <c r="A547">
        <v>365.95585299999999</v>
      </c>
      <c r="B547" s="1">
        <f>DATE(2011,5,1) + TIME(22,56,25)</f>
        <v>40664.95584490741</v>
      </c>
      <c r="C547">
        <v>70</v>
      </c>
      <c r="D547">
        <v>62.032806395999998</v>
      </c>
      <c r="E547">
        <v>40</v>
      </c>
      <c r="F547">
        <v>39.835628509999999</v>
      </c>
      <c r="G547">
        <v>1401.7354736</v>
      </c>
      <c r="H547">
        <v>1383.8143310999999</v>
      </c>
      <c r="I547">
        <v>1279.8692627</v>
      </c>
      <c r="J547">
        <v>1257.2580565999999</v>
      </c>
      <c r="K547">
        <v>2400</v>
      </c>
      <c r="L547">
        <v>0</v>
      </c>
      <c r="M547">
        <v>0</v>
      </c>
      <c r="N547">
        <v>2400</v>
      </c>
    </row>
    <row r="548" spans="1:14" x14ac:dyDescent="0.25">
      <c r="A548">
        <v>366.015807</v>
      </c>
      <c r="B548" s="1">
        <f>DATE(2011,5,2) + TIME(0,22,45)</f>
        <v>40665.015798611108</v>
      </c>
      <c r="C548">
        <v>70</v>
      </c>
      <c r="D548">
        <v>62.628143311000002</v>
      </c>
      <c r="E548">
        <v>40</v>
      </c>
      <c r="F548">
        <v>39.829036713000001</v>
      </c>
      <c r="G548">
        <v>1401.494751</v>
      </c>
      <c r="H548">
        <v>1383.7075195</v>
      </c>
      <c r="I548">
        <v>1279.8680420000001</v>
      </c>
      <c r="J548">
        <v>1257.2561035000001</v>
      </c>
      <c r="K548">
        <v>2400</v>
      </c>
      <c r="L548">
        <v>0</v>
      </c>
      <c r="M548">
        <v>0</v>
      </c>
      <c r="N548">
        <v>2400</v>
      </c>
    </row>
    <row r="549" spans="1:14" x14ac:dyDescent="0.25">
      <c r="A549">
        <v>366.07929200000001</v>
      </c>
      <c r="B549" s="1">
        <f>DATE(2011,5,2) + TIME(1,54,10)</f>
        <v>40665.079282407409</v>
      </c>
      <c r="C549">
        <v>70</v>
      </c>
      <c r="D549">
        <v>63.209091186999999</v>
      </c>
      <c r="E549">
        <v>40</v>
      </c>
      <c r="F549">
        <v>39.822143554999997</v>
      </c>
      <c r="G549">
        <v>1401.2587891000001</v>
      </c>
      <c r="H549">
        <v>1383.6000977000001</v>
      </c>
      <c r="I549">
        <v>1279.8668213000001</v>
      </c>
      <c r="J549">
        <v>1257.2541504000001</v>
      </c>
      <c r="K549">
        <v>2400</v>
      </c>
      <c r="L549">
        <v>0</v>
      </c>
      <c r="M549">
        <v>0</v>
      </c>
      <c r="N549">
        <v>2400</v>
      </c>
    </row>
    <row r="550" spans="1:14" x14ac:dyDescent="0.25">
      <c r="A550">
        <v>366.146747</v>
      </c>
      <c r="B550" s="1">
        <f>DATE(2011,5,2) + TIME(3,31,18)</f>
        <v>40665.146736111114</v>
      </c>
      <c r="C550">
        <v>70</v>
      </c>
      <c r="D550">
        <v>63.775020599000001</v>
      </c>
      <c r="E550">
        <v>40</v>
      </c>
      <c r="F550">
        <v>39.814907073999997</v>
      </c>
      <c r="G550">
        <v>1401.0268555</v>
      </c>
      <c r="H550">
        <v>1383.4919434000001</v>
      </c>
      <c r="I550">
        <v>1279.8656006000001</v>
      </c>
      <c r="J550">
        <v>1257.2519531</v>
      </c>
      <c r="K550">
        <v>2400</v>
      </c>
      <c r="L550">
        <v>0</v>
      </c>
      <c r="M550">
        <v>0</v>
      </c>
      <c r="N550">
        <v>2400</v>
      </c>
    </row>
    <row r="551" spans="1:14" x14ac:dyDescent="0.25">
      <c r="A551">
        <v>366.21869299999997</v>
      </c>
      <c r="B551" s="1">
        <f>DATE(2011,5,2) + TIME(5,14,55)</f>
        <v>40665.218692129631</v>
      </c>
      <c r="C551">
        <v>70</v>
      </c>
      <c r="D551">
        <v>64.325248717999997</v>
      </c>
      <c r="E551">
        <v>40</v>
      </c>
      <c r="F551">
        <v>39.807292938000003</v>
      </c>
      <c r="G551">
        <v>1400.7985839999999</v>
      </c>
      <c r="H551">
        <v>1383.3824463000001</v>
      </c>
      <c r="I551">
        <v>1279.8641356999999</v>
      </c>
      <c r="J551">
        <v>1257.2496338000001</v>
      </c>
      <c r="K551">
        <v>2400</v>
      </c>
      <c r="L551">
        <v>0</v>
      </c>
      <c r="M551">
        <v>0</v>
      </c>
      <c r="N551">
        <v>2400</v>
      </c>
    </row>
    <row r="552" spans="1:14" x14ac:dyDescent="0.25">
      <c r="A552">
        <v>366.29575999999997</v>
      </c>
      <c r="B552" s="1">
        <f>DATE(2011,5,2) + TIME(7,5,53)</f>
        <v>40665.295752314814</v>
      </c>
      <c r="C552">
        <v>70</v>
      </c>
      <c r="D552">
        <v>64.859024047999995</v>
      </c>
      <c r="E552">
        <v>40</v>
      </c>
      <c r="F552">
        <v>39.799243926999999</v>
      </c>
      <c r="G552">
        <v>1400.5733643000001</v>
      </c>
      <c r="H552">
        <v>1383.2712402</v>
      </c>
      <c r="I552">
        <v>1279.8626709</v>
      </c>
      <c r="J552">
        <v>1257.2471923999999</v>
      </c>
      <c r="K552">
        <v>2400</v>
      </c>
      <c r="L552">
        <v>0</v>
      </c>
      <c r="M552">
        <v>0</v>
      </c>
      <c r="N552">
        <v>2400</v>
      </c>
    </row>
    <row r="553" spans="1:14" x14ac:dyDescent="0.25">
      <c r="A553">
        <v>366.37871200000001</v>
      </c>
      <c r="B553" s="1">
        <f>DATE(2011,5,2) + TIME(9,5,20)</f>
        <v>40665.378703703704</v>
      </c>
      <c r="C553">
        <v>70</v>
      </c>
      <c r="D553">
        <v>65.375587463000002</v>
      </c>
      <c r="E553">
        <v>40</v>
      </c>
      <c r="F553">
        <v>39.790699005</v>
      </c>
      <c r="G553">
        <v>1400.3508300999999</v>
      </c>
      <c r="H553">
        <v>1383.1579589999999</v>
      </c>
      <c r="I553">
        <v>1279.8610839999999</v>
      </c>
      <c r="J553">
        <v>1257.2446289</v>
      </c>
      <c r="K553">
        <v>2400</v>
      </c>
      <c r="L553">
        <v>0</v>
      </c>
      <c r="M553">
        <v>0</v>
      </c>
      <c r="N553">
        <v>2400</v>
      </c>
    </row>
    <row r="554" spans="1:14" x14ac:dyDescent="0.25">
      <c r="A554">
        <v>366.46849600000002</v>
      </c>
      <c r="B554" s="1">
        <f>DATE(2011,5,2) + TIME(11,14,38)</f>
        <v>40665.468495370369</v>
      </c>
      <c r="C554">
        <v>70</v>
      </c>
      <c r="D554">
        <v>65.873947143999999</v>
      </c>
      <c r="E554">
        <v>40</v>
      </c>
      <c r="F554">
        <v>39.781585692999997</v>
      </c>
      <c r="G554">
        <v>1400.130249</v>
      </c>
      <c r="H554">
        <v>1383.0418701000001</v>
      </c>
      <c r="I554">
        <v>1279.8592529</v>
      </c>
      <c r="J554">
        <v>1257.2418213000001</v>
      </c>
      <c r="K554">
        <v>2400</v>
      </c>
      <c r="L554">
        <v>0</v>
      </c>
      <c r="M554">
        <v>0</v>
      </c>
      <c r="N554">
        <v>2400</v>
      </c>
    </row>
    <row r="555" spans="1:14" x14ac:dyDescent="0.25">
      <c r="A555">
        <v>366.56629600000002</v>
      </c>
      <c r="B555" s="1">
        <f>DATE(2011,5,2) + TIME(13,35,27)</f>
        <v>40665.566284722219</v>
      </c>
      <c r="C555">
        <v>70</v>
      </c>
      <c r="D555">
        <v>66.353019713999998</v>
      </c>
      <c r="E555">
        <v>40</v>
      </c>
      <c r="F555">
        <v>39.771808624000002</v>
      </c>
      <c r="G555">
        <v>1399.9108887</v>
      </c>
      <c r="H555">
        <v>1382.9224853999999</v>
      </c>
      <c r="I555">
        <v>1279.8572998</v>
      </c>
      <c r="J555">
        <v>1257.2387695</v>
      </c>
      <c r="K555">
        <v>2400</v>
      </c>
      <c r="L555">
        <v>0</v>
      </c>
      <c r="M555">
        <v>0</v>
      </c>
      <c r="N555">
        <v>2400</v>
      </c>
    </row>
    <row r="556" spans="1:14" x14ac:dyDescent="0.25">
      <c r="A556">
        <v>366.67368099999999</v>
      </c>
      <c r="B556" s="1">
        <f>DATE(2011,5,2) + TIME(16,10,6)</f>
        <v>40665.673680555556</v>
      </c>
      <c r="C556">
        <v>70</v>
      </c>
      <c r="D556">
        <v>66.811836243000002</v>
      </c>
      <c r="E556">
        <v>40</v>
      </c>
      <c r="F556">
        <v>39.761245727999999</v>
      </c>
      <c r="G556">
        <v>1399.6918945</v>
      </c>
      <c r="H556">
        <v>1382.7987060999999</v>
      </c>
      <c r="I556">
        <v>1279.8552245999999</v>
      </c>
      <c r="J556">
        <v>1257.2354736</v>
      </c>
      <c r="K556">
        <v>2400</v>
      </c>
      <c r="L556">
        <v>0</v>
      </c>
      <c r="M556">
        <v>0</v>
      </c>
      <c r="N556">
        <v>2400</v>
      </c>
    </row>
    <row r="557" spans="1:14" x14ac:dyDescent="0.25">
      <c r="A557">
        <v>366.78617200000002</v>
      </c>
      <c r="B557" s="1">
        <f>DATE(2011,5,2) + TIME(18,52,5)</f>
        <v>40665.786168981482</v>
      </c>
      <c r="C557">
        <v>70</v>
      </c>
      <c r="D557">
        <v>67.228462218999994</v>
      </c>
      <c r="E557">
        <v>40</v>
      </c>
      <c r="F557">
        <v>39.750297545999999</v>
      </c>
      <c r="G557">
        <v>1399.4812012</v>
      </c>
      <c r="H557">
        <v>1382.6737060999999</v>
      </c>
      <c r="I557">
        <v>1279.8529053</v>
      </c>
      <c r="J557">
        <v>1257.2319336</v>
      </c>
      <c r="K557">
        <v>2400</v>
      </c>
      <c r="L557">
        <v>0</v>
      </c>
      <c r="M557">
        <v>0</v>
      </c>
      <c r="N557">
        <v>2400</v>
      </c>
    </row>
    <row r="558" spans="1:14" x14ac:dyDescent="0.25">
      <c r="A558">
        <v>366.89900599999999</v>
      </c>
      <c r="B558" s="1">
        <f>DATE(2011,5,2) + TIME(21,34,34)</f>
        <v>40665.899004629631</v>
      </c>
      <c r="C558">
        <v>70</v>
      </c>
      <c r="D558">
        <v>67.590476989999999</v>
      </c>
      <c r="E558">
        <v>40</v>
      </c>
      <c r="F558">
        <v>39.739376067999999</v>
      </c>
      <c r="G558">
        <v>1399.2854004000001</v>
      </c>
      <c r="H558">
        <v>1382.5516356999999</v>
      </c>
      <c r="I558">
        <v>1279.8503418</v>
      </c>
      <c r="J558">
        <v>1257.2282714999999</v>
      </c>
      <c r="K558">
        <v>2400</v>
      </c>
      <c r="L558">
        <v>0</v>
      </c>
      <c r="M558">
        <v>0</v>
      </c>
      <c r="N558">
        <v>2400</v>
      </c>
    </row>
    <row r="559" spans="1:14" x14ac:dyDescent="0.25">
      <c r="A559">
        <v>367.01279</v>
      </c>
      <c r="B559" s="1">
        <f>DATE(2011,5,3) + TIME(0,18,25)</f>
        <v>40666.012789351851</v>
      </c>
      <c r="C559">
        <v>70</v>
      </c>
      <c r="D559">
        <v>67.906326293999996</v>
      </c>
      <c r="E559">
        <v>40</v>
      </c>
      <c r="F559">
        <v>39.728420258</v>
      </c>
      <c r="G559">
        <v>1399.1031493999999</v>
      </c>
      <c r="H559">
        <v>1382.4343262</v>
      </c>
      <c r="I559">
        <v>1279.8476562000001</v>
      </c>
      <c r="J559">
        <v>1257.2246094</v>
      </c>
      <c r="K559">
        <v>2400</v>
      </c>
      <c r="L559">
        <v>0</v>
      </c>
      <c r="M559">
        <v>0</v>
      </c>
      <c r="N559">
        <v>2400</v>
      </c>
    </row>
    <row r="560" spans="1:14" x14ac:dyDescent="0.25">
      <c r="A560">
        <v>367.12785400000001</v>
      </c>
      <c r="B560" s="1">
        <f>DATE(2011,5,3) + TIME(3,4,6)</f>
        <v>40666.127847222226</v>
      </c>
      <c r="C560">
        <v>70</v>
      </c>
      <c r="D560">
        <v>68.182212829999997</v>
      </c>
      <c r="E560">
        <v>40</v>
      </c>
      <c r="F560">
        <v>39.717411040999998</v>
      </c>
      <c r="G560">
        <v>1398.9323730000001</v>
      </c>
      <c r="H560">
        <v>1382.3209228999999</v>
      </c>
      <c r="I560">
        <v>1279.8450928</v>
      </c>
      <c r="J560">
        <v>1257.2208252</v>
      </c>
      <c r="K560">
        <v>2400</v>
      </c>
      <c r="L560">
        <v>0</v>
      </c>
      <c r="M560">
        <v>0</v>
      </c>
      <c r="N560">
        <v>2400</v>
      </c>
    </row>
    <row r="561" spans="1:14" x14ac:dyDescent="0.25">
      <c r="A561">
        <v>367.24456700000002</v>
      </c>
      <c r="B561" s="1">
        <f>DATE(2011,5,3) + TIME(5,52,10)</f>
        <v>40666.244560185187</v>
      </c>
      <c r="C561">
        <v>70</v>
      </c>
      <c r="D561">
        <v>68.423416137999993</v>
      </c>
      <c r="E561">
        <v>40</v>
      </c>
      <c r="F561">
        <v>39.706306458</v>
      </c>
      <c r="G561">
        <v>1398.7714844</v>
      </c>
      <c r="H561">
        <v>1382.2106934000001</v>
      </c>
      <c r="I561">
        <v>1279.8424072</v>
      </c>
      <c r="J561">
        <v>1257.2170410000001</v>
      </c>
      <c r="K561">
        <v>2400</v>
      </c>
      <c r="L561">
        <v>0</v>
      </c>
      <c r="M561">
        <v>0</v>
      </c>
      <c r="N561">
        <v>2400</v>
      </c>
    </row>
    <row r="562" spans="1:14" x14ac:dyDescent="0.25">
      <c r="A562">
        <v>367.363269</v>
      </c>
      <c r="B562" s="1">
        <f>DATE(2011,5,3) + TIME(8,43,6)</f>
        <v>40666.363263888888</v>
      </c>
      <c r="C562">
        <v>70</v>
      </c>
      <c r="D562">
        <v>68.634368895999998</v>
      </c>
      <c r="E562">
        <v>40</v>
      </c>
      <c r="F562">
        <v>39.695083617999998</v>
      </c>
      <c r="G562">
        <v>1398.6188964999999</v>
      </c>
      <c r="H562">
        <v>1382.1032714999999</v>
      </c>
      <c r="I562">
        <v>1279.8397216999999</v>
      </c>
      <c r="J562">
        <v>1257.2132568</v>
      </c>
      <c r="K562">
        <v>2400</v>
      </c>
      <c r="L562">
        <v>0</v>
      </c>
      <c r="M562">
        <v>0</v>
      </c>
      <c r="N562">
        <v>2400</v>
      </c>
    </row>
    <row r="563" spans="1:14" x14ac:dyDescent="0.25">
      <c r="A563">
        <v>367.484306</v>
      </c>
      <c r="B563" s="1">
        <f>DATE(2011,5,3) + TIME(11,37,24)</f>
        <v>40666.484305555554</v>
      </c>
      <c r="C563">
        <v>70</v>
      </c>
      <c r="D563">
        <v>68.818824767999999</v>
      </c>
      <c r="E563">
        <v>40</v>
      </c>
      <c r="F563">
        <v>39.683715820000003</v>
      </c>
      <c r="G563">
        <v>1398.4735106999999</v>
      </c>
      <c r="H563">
        <v>1381.9981689000001</v>
      </c>
      <c r="I563">
        <v>1279.8369141000001</v>
      </c>
      <c r="J563">
        <v>1257.2093506000001</v>
      </c>
      <c r="K563">
        <v>2400</v>
      </c>
      <c r="L563">
        <v>0</v>
      </c>
      <c r="M563">
        <v>0</v>
      </c>
      <c r="N563">
        <v>2400</v>
      </c>
    </row>
    <row r="564" spans="1:14" x14ac:dyDescent="0.25">
      <c r="A564">
        <v>367.60803399999998</v>
      </c>
      <c r="B564" s="1">
        <f>DATE(2011,5,3) + TIME(14,35,34)</f>
        <v>40666.608032407406</v>
      </c>
      <c r="C564">
        <v>70</v>
      </c>
      <c r="D564">
        <v>68.980010985999996</v>
      </c>
      <c r="E564">
        <v>40</v>
      </c>
      <c r="F564">
        <v>39.672164917000003</v>
      </c>
      <c r="G564">
        <v>1398.3343506000001</v>
      </c>
      <c r="H564">
        <v>1381.8950195</v>
      </c>
      <c r="I564">
        <v>1279.8341064000001</v>
      </c>
      <c r="J564">
        <v>1257.2053223</v>
      </c>
      <c r="K564">
        <v>2400</v>
      </c>
      <c r="L564">
        <v>0</v>
      </c>
      <c r="M564">
        <v>0</v>
      </c>
      <c r="N564">
        <v>2400</v>
      </c>
    </row>
    <row r="565" spans="1:14" x14ac:dyDescent="0.25">
      <c r="A565">
        <v>367.734827</v>
      </c>
      <c r="B565" s="1">
        <f>DATE(2011,5,3) + TIME(17,38,9)</f>
        <v>40666.734826388885</v>
      </c>
      <c r="C565">
        <v>70</v>
      </c>
      <c r="D565">
        <v>69.120719910000005</v>
      </c>
      <c r="E565">
        <v>40</v>
      </c>
      <c r="F565">
        <v>39.660404204999999</v>
      </c>
      <c r="G565">
        <v>1398.2004394999999</v>
      </c>
      <c r="H565">
        <v>1381.793457</v>
      </c>
      <c r="I565">
        <v>1279.8311768000001</v>
      </c>
      <c r="J565">
        <v>1257.2012939000001</v>
      </c>
      <c r="K565">
        <v>2400</v>
      </c>
      <c r="L565">
        <v>0</v>
      </c>
      <c r="M565">
        <v>0</v>
      </c>
      <c r="N565">
        <v>2400</v>
      </c>
    </row>
    <row r="566" spans="1:14" x14ac:dyDescent="0.25">
      <c r="A566">
        <v>367.86508199999997</v>
      </c>
      <c r="B566" s="1">
        <f>DATE(2011,5,3) + TIME(20,45,43)</f>
        <v>40666.865081018521</v>
      </c>
      <c r="C566">
        <v>70</v>
      </c>
      <c r="D566">
        <v>69.243362426999994</v>
      </c>
      <c r="E566">
        <v>40</v>
      </c>
      <c r="F566">
        <v>39.648403168000002</v>
      </c>
      <c r="G566">
        <v>1398.0710449000001</v>
      </c>
      <c r="H566">
        <v>1381.6932373</v>
      </c>
      <c r="I566">
        <v>1279.8282471</v>
      </c>
      <c r="J566">
        <v>1257.1971435999999</v>
      </c>
      <c r="K566">
        <v>2400</v>
      </c>
      <c r="L566">
        <v>0</v>
      </c>
      <c r="M566">
        <v>0</v>
      </c>
      <c r="N566">
        <v>2400</v>
      </c>
    </row>
    <row r="567" spans="1:14" x14ac:dyDescent="0.25">
      <c r="A567">
        <v>367.99923100000001</v>
      </c>
      <c r="B567" s="1">
        <f>DATE(2011,5,3) + TIME(23,58,53)</f>
        <v>40666.999224537038</v>
      </c>
      <c r="C567">
        <v>70</v>
      </c>
      <c r="D567">
        <v>69.350059509000005</v>
      </c>
      <c r="E567">
        <v>40</v>
      </c>
      <c r="F567">
        <v>39.636127471999998</v>
      </c>
      <c r="G567">
        <v>1397.9454346</v>
      </c>
      <c r="H567">
        <v>1381.5941161999999</v>
      </c>
      <c r="I567">
        <v>1279.8250731999999</v>
      </c>
      <c r="J567">
        <v>1257.192749</v>
      </c>
      <c r="K567">
        <v>2400</v>
      </c>
      <c r="L567">
        <v>0</v>
      </c>
      <c r="M567">
        <v>0</v>
      </c>
      <c r="N567">
        <v>2400</v>
      </c>
    </row>
    <row r="568" spans="1:14" x14ac:dyDescent="0.25">
      <c r="A568">
        <v>368.137743</v>
      </c>
      <c r="B568" s="1">
        <f>DATE(2011,5,4) + TIME(3,18,20)</f>
        <v>40667.137731481482</v>
      </c>
      <c r="C568">
        <v>70</v>
      </c>
      <c r="D568">
        <v>69.442687988000003</v>
      </c>
      <c r="E568">
        <v>40</v>
      </c>
      <c r="F568">
        <v>39.623538971000002</v>
      </c>
      <c r="G568">
        <v>1397.8229980000001</v>
      </c>
      <c r="H568">
        <v>1381.4956055</v>
      </c>
      <c r="I568">
        <v>1279.8218993999999</v>
      </c>
      <c r="J568">
        <v>1257.1883545000001</v>
      </c>
      <c r="K568">
        <v>2400</v>
      </c>
      <c r="L568">
        <v>0</v>
      </c>
      <c r="M568">
        <v>0</v>
      </c>
      <c r="N568">
        <v>2400</v>
      </c>
    </row>
    <row r="569" spans="1:14" x14ac:dyDescent="0.25">
      <c r="A569">
        <v>368.281139</v>
      </c>
      <c r="B569" s="1">
        <f>DATE(2011,5,4) + TIME(6,44,50)</f>
        <v>40667.281134259261</v>
      </c>
      <c r="C569">
        <v>70</v>
      </c>
      <c r="D569">
        <v>69.522865295000003</v>
      </c>
      <c r="E569">
        <v>40</v>
      </c>
      <c r="F569">
        <v>39.610599518000001</v>
      </c>
      <c r="G569">
        <v>1397.703125</v>
      </c>
      <c r="H569">
        <v>1381.3974608999999</v>
      </c>
      <c r="I569">
        <v>1279.8186035000001</v>
      </c>
      <c r="J569">
        <v>1257.1838379000001</v>
      </c>
      <c r="K569">
        <v>2400</v>
      </c>
      <c r="L569">
        <v>0</v>
      </c>
      <c r="M569">
        <v>0</v>
      </c>
      <c r="N569">
        <v>2400</v>
      </c>
    </row>
    <row r="570" spans="1:14" x14ac:dyDescent="0.25">
      <c r="A570">
        <v>368.43005900000003</v>
      </c>
      <c r="B570" s="1">
        <f>DATE(2011,5,4) + TIME(10,19,17)</f>
        <v>40667.43005787037</v>
      </c>
      <c r="C570">
        <v>70</v>
      </c>
      <c r="D570">
        <v>69.592086792000003</v>
      </c>
      <c r="E570">
        <v>40</v>
      </c>
      <c r="F570">
        <v>39.597255707000002</v>
      </c>
      <c r="G570">
        <v>1397.5853271000001</v>
      </c>
      <c r="H570">
        <v>1381.2996826000001</v>
      </c>
      <c r="I570">
        <v>1279.8151855000001</v>
      </c>
      <c r="J570">
        <v>1257.1790771000001</v>
      </c>
      <c r="K570">
        <v>2400</v>
      </c>
      <c r="L570">
        <v>0</v>
      </c>
      <c r="M570">
        <v>0</v>
      </c>
      <c r="N570">
        <v>2400</v>
      </c>
    </row>
    <row r="571" spans="1:14" x14ac:dyDescent="0.25">
      <c r="A571">
        <v>368.58511800000002</v>
      </c>
      <c r="B571" s="1">
        <f>DATE(2011,5,4) + TIME(14,2,34)</f>
        <v>40667.585115740738</v>
      </c>
      <c r="C571">
        <v>70</v>
      </c>
      <c r="D571">
        <v>69.651603699000006</v>
      </c>
      <c r="E571">
        <v>40</v>
      </c>
      <c r="F571">
        <v>39.583465576000002</v>
      </c>
      <c r="G571">
        <v>1397.4689940999999</v>
      </c>
      <c r="H571">
        <v>1381.2016602000001</v>
      </c>
      <c r="I571">
        <v>1279.8116454999999</v>
      </c>
      <c r="J571">
        <v>1257.1740723</v>
      </c>
      <c r="K571">
        <v>2400</v>
      </c>
      <c r="L571">
        <v>0</v>
      </c>
      <c r="M571">
        <v>0</v>
      </c>
      <c r="N571">
        <v>2400</v>
      </c>
    </row>
    <row r="572" spans="1:14" x14ac:dyDescent="0.25">
      <c r="A572">
        <v>368.74705999999998</v>
      </c>
      <c r="B572" s="1">
        <f>DATE(2011,5,4) + TIME(17,55,45)</f>
        <v>40667.747048611112</v>
      </c>
      <c r="C572">
        <v>70</v>
      </c>
      <c r="D572">
        <v>69.702568053999997</v>
      </c>
      <c r="E572">
        <v>40</v>
      </c>
      <c r="F572">
        <v>39.569171906000001</v>
      </c>
      <c r="G572">
        <v>1397.3536377</v>
      </c>
      <c r="H572">
        <v>1381.1033935999999</v>
      </c>
      <c r="I572">
        <v>1279.8078613</v>
      </c>
      <c r="J572">
        <v>1257.1689452999999</v>
      </c>
      <c r="K572">
        <v>2400</v>
      </c>
      <c r="L572">
        <v>0</v>
      </c>
      <c r="M572">
        <v>0</v>
      </c>
      <c r="N572">
        <v>2400</v>
      </c>
    </row>
    <row r="573" spans="1:14" x14ac:dyDescent="0.25">
      <c r="A573">
        <v>368.91674999999998</v>
      </c>
      <c r="B573" s="1">
        <f>DATE(2011,5,4) + TIME(22,0,7)</f>
        <v>40667.916747685187</v>
      </c>
      <c r="C573">
        <v>70</v>
      </c>
      <c r="D573">
        <v>69.745994568</v>
      </c>
      <c r="E573">
        <v>40</v>
      </c>
      <c r="F573">
        <v>39.554313659999998</v>
      </c>
      <c r="G573">
        <v>1397.2388916</v>
      </c>
      <c r="H573">
        <v>1381.0043945</v>
      </c>
      <c r="I573">
        <v>1279.8039550999999</v>
      </c>
      <c r="J573">
        <v>1257.1635742000001</v>
      </c>
      <c r="K573">
        <v>2400</v>
      </c>
      <c r="L573">
        <v>0</v>
      </c>
      <c r="M573">
        <v>0</v>
      </c>
      <c r="N573">
        <v>2400</v>
      </c>
    </row>
    <row r="574" spans="1:14" x14ac:dyDescent="0.25">
      <c r="A574">
        <v>369.095192</v>
      </c>
      <c r="B574" s="1">
        <f>DATE(2011,5,5) + TIME(2,17,4)</f>
        <v>40668.095185185186</v>
      </c>
      <c r="C574">
        <v>70</v>
      </c>
      <c r="D574">
        <v>69.782814025999997</v>
      </c>
      <c r="E574">
        <v>40</v>
      </c>
      <c r="F574">
        <v>39.538814545000001</v>
      </c>
      <c r="G574">
        <v>1397.1240233999999</v>
      </c>
      <c r="H574">
        <v>1380.9045410000001</v>
      </c>
      <c r="I574">
        <v>1279.7999268000001</v>
      </c>
      <c r="J574">
        <v>1257.1579589999999</v>
      </c>
      <c r="K574">
        <v>2400</v>
      </c>
      <c r="L574">
        <v>0</v>
      </c>
      <c r="M574">
        <v>0</v>
      </c>
      <c r="N574">
        <v>2400</v>
      </c>
    </row>
    <row r="575" spans="1:14" x14ac:dyDescent="0.25">
      <c r="A575">
        <v>369.28356700000001</v>
      </c>
      <c r="B575" s="1">
        <f>DATE(2011,5,5) + TIME(6,48,20)</f>
        <v>40668.283564814818</v>
      </c>
      <c r="C575">
        <v>70</v>
      </c>
      <c r="D575">
        <v>69.813850403000004</v>
      </c>
      <c r="E575">
        <v>40</v>
      </c>
      <c r="F575">
        <v>39.522590637</v>
      </c>
      <c r="G575">
        <v>1397.0087891000001</v>
      </c>
      <c r="H575">
        <v>1380.8033447</v>
      </c>
      <c r="I575">
        <v>1279.7955322</v>
      </c>
      <c r="J575">
        <v>1257.1519774999999</v>
      </c>
      <c r="K575">
        <v>2400</v>
      </c>
      <c r="L575">
        <v>0</v>
      </c>
      <c r="M575">
        <v>0</v>
      </c>
      <c r="N575">
        <v>2400</v>
      </c>
    </row>
    <row r="576" spans="1:14" x14ac:dyDescent="0.25">
      <c r="A576">
        <v>369.48078900000002</v>
      </c>
      <c r="B576" s="1">
        <f>DATE(2011,5,5) + TIME(11,32,20)</f>
        <v>40668.480787037035</v>
      </c>
      <c r="C576">
        <v>70</v>
      </c>
      <c r="D576">
        <v>69.839569092000005</v>
      </c>
      <c r="E576">
        <v>40</v>
      </c>
      <c r="F576">
        <v>39.505714417</v>
      </c>
      <c r="G576">
        <v>1396.8927002</v>
      </c>
      <c r="H576">
        <v>1380.7005615</v>
      </c>
      <c r="I576">
        <v>1279.7910156</v>
      </c>
      <c r="J576">
        <v>1257.1457519999999</v>
      </c>
      <c r="K576">
        <v>2400</v>
      </c>
      <c r="L576">
        <v>0</v>
      </c>
      <c r="M576">
        <v>0</v>
      </c>
      <c r="N576">
        <v>2400</v>
      </c>
    </row>
    <row r="577" spans="1:14" x14ac:dyDescent="0.25">
      <c r="A577">
        <v>369.68766099999999</v>
      </c>
      <c r="B577" s="1">
        <f>DATE(2011,5,5) + TIME(16,30,13)</f>
        <v>40668.687650462962</v>
      </c>
      <c r="C577">
        <v>70</v>
      </c>
      <c r="D577">
        <v>69.860740661999998</v>
      </c>
      <c r="E577">
        <v>40</v>
      </c>
      <c r="F577">
        <v>39.488136292</v>
      </c>
      <c r="G577">
        <v>1396.7763672000001</v>
      </c>
      <c r="H577">
        <v>1380.5970459</v>
      </c>
      <c r="I577">
        <v>1279.7861327999999</v>
      </c>
      <c r="J577">
        <v>1257.1391602000001</v>
      </c>
      <c r="K577">
        <v>2400</v>
      </c>
      <c r="L577">
        <v>0</v>
      </c>
      <c r="M577">
        <v>0</v>
      </c>
      <c r="N577">
        <v>2400</v>
      </c>
    </row>
    <row r="578" spans="1:14" x14ac:dyDescent="0.25">
      <c r="A578">
        <v>369.90541400000001</v>
      </c>
      <c r="B578" s="1">
        <f>DATE(2011,5,5) + TIME(21,43,47)</f>
        <v>40668.905405092592</v>
      </c>
      <c r="C578">
        <v>70</v>
      </c>
      <c r="D578">
        <v>69.878067017000006</v>
      </c>
      <c r="E578">
        <v>40</v>
      </c>
      <c r="F578">
        <v>39.469768524000003</v>
      </c>
      <c r="G578">
        <v>1396.6595459</v>
      </c>
      <c r="H578">
        <v>1380.4925536999999</v>
      </c>
      <c r="I578">
        <v>1279.7810059000001</v>
      </c>
      <c r="J578">
        <v>1257.1323242000001</v>
      </c>
      <c r="K578">
        <v>2400</v>
      </c>
      <c r="L578">
        <v>0</v>
      </c>
      <c r="M578">
        <v>0</v>
      </c>
      <c r="N578">
        <v>2400</v>
      </c>
    </row>
    <row r="579" spans="1:14" x14ac:dyDescent="0.25">
      <c r="A579">
        <v>370.13547999999997</v>
      </c>
      <c r="B579" s="1">
        <f>DATE(2011,5,6) + TIME(3,15,5)</f>
        <v>40669.135474537034</v>
      </c>
      <c r="C579">
        <v>70</v>
      </c>
      <c r="D579">
        <v>69.892143250000004</v>
      </c>
      <c r="E579">
        <v>40</v>
      </c>
      <c r="F579">
        <v>39.450511931999998</v>
      </c>
      <c r="G579">
        <v>1396.5417480000001</v>
      </c>
      <c r="H579">
        <v>1380.3865966999999</v>
      </c>
      <c r="I579">
        <v>1279.7756348</v>
      </c>
      <c r="J579">
        <v>1257.1251221</v>
      </c>
      <c r="K579">
        <v>2400</v>
      </c>
      <c r="L579">
        <v>0</v>
      </c>
      <c r="M579">
        <v>0</v>
      </c>
      <c r="N579">
        <v>2400</v>
      </c>
    </row>
    <row r="580" spans="1:14" x14ac:dyDescent="0.25">
      <c r="A580">
        <v>370.368965</v>
      </c>
      <c r="B580" s="1">
        <f>DATE(2011,5,6) + TIME(8,51,18)</f>
        <v>40669.368958333333</v>
      </c>
      <c r="C580">
        <v>70</v>
      </c>
      <c r="D580">
        <v>69.903129578000005</v>
      </c>
      <c r="E580">
        <v>40</v>
      </c>
      <c r="F580">
        <v>39.430946349999999</v>
      </c>
      <c r="G580">
        <v>1396.4226074000001</v>
      </c>
      <c r="H580">
        <v>1380.2791748</v>
      </c>
      <c r="I580">
        <v>1279.7698975000001</v>
      </c>
      <c r="J580">
        <v>1257.1174315999999</v>
      </c>
      <c r="K580">
        <v>2400</v>
      </c>
      <c r="L580">
        <v>0</v>
      </c>
      <c r="M580">
        <v>0</v>
      </c>
      <c r="N580">
        <v>2400</v>
      </c>
    </row>
    <row r="581" spans="1:14" x14ac:dyDescent="0.25">
      <c r="A581">
        <v>370.60328299999998</v>
      </c>
      <c r="B581" s="1">
        <f>DATE(2011,5,6) + TIME(14,28,43)</f>
        <v>40669.603275462963</v>
      </c>
      <c r="C581">
        <v>70</v>
      </c>
      <c r="D581">
        <v>69.911613463999998</v>
      </c>
      <c r="E581">
        <v>40</v>
      </c>
      <c r="F581">
        <v>39.411266327</v>
      </c>
      <c r="G581">
        <v>1396.3066406</v>
      </c>
      <c r="H581">
        <v>1380.1741943</v>
      </c>
      <c r="I581">
        <v>1279.7639160000001</v>
      </c>
      <c r="J581">
        <v>1257.1097411999999</v>
      </c>
      <c r="K581">
        <v>2400</v>
      </c>
      <c r="L581">
        <v>0</v>
      </c>
      <c r="M581">
        <v>0</v>
      </c>
      <c r="N581">
        <v>2400</v>
      </c>
    </row>
    <row r="582" spans="1:14" x14ac:dyDescent="0.25">
      <c r="A582">
        <v>370.83926100000002</v>
      </c>
      <c r="B582" s="1">
        <f>DATE(2011,5,6) + TIME(20,8,32)</f>
        <v>40669.839259259257</v>
      </c>
      <c r="C582">
        <v>70</v>
      </c>
      <c r="D582">
        <v>69.918205260999997</v>
      </c>
      <c r="E582">
        <v>40</v>
      </c>
      <c r="F582">
        <v>39.391448975000003</v>
      </c>
      <c r="G582">
        <v>1396.1944579999999</v>
      </c>
      <c r="H582">
        <v>1380.0726318</v>
      </c>
      <c r="I582">
        <v>1279.7580565999999</v>
      </c>
      <c r="J582">
        <v>1257.1019286999999</v>
      </c>
      <c r="K582">
        <v>2400</v>
      </c>
      <c r="L582">
        <v>0</v>
      </c>
      <c r="M582">
        <v>0</v>
      </c>
      <c r="N582">
        <v>2400</v>
      </c>
    </row>
    <row r="583" spans="1:14" x14ac:dyDescent="0.25">
      <c r="A583">
        <v>371.07767799999999</v>
      </c>
      <c r="B583" s="1">
        <f>DATE(2011,5,7) + TIME(1,51,51)</f>
        <v>40670.077673611115</v>
      </c>
      <c r="C583">
        <v>70</v>
      </c>
      <c r="D583">
        <v>69.923347473000007</v>
      </c>
      <c r="E583">
        <v>40</v>
      </c>
      <c r="F583">
        <v>39.371459960999999</v>
      </c>
      <c r="G583">
        <v>1396.0856934000001</v>
      </c>
      <c r="H583">
        <v>1379.973999</v>
      </c>
      <c r="I583">
        <v>1279.7520752</v>
      </c>
      <c r="J583">
        <v>1257.0941161999999</v>
      </c>
      <c r="K583">
        <v>2400</v>
      </c>
      <c r="L583">
        <v>0</v>
      </c>
      <c r="M583">
        <v>0</v>
      </c>
      <c r="N583">
        <v>2400</v>
      </c>
    </row>
    <row r="584" spans="1:14" x14ac:dyDescent="0.25">
      <c r="A584">
        <v>371.31929400000001</v>
      </c>
      <c r="B584" s="1">
        <f>DATE(2011,5,7) + TIME(7,39,46)</f>
        <v>40670.319282407407</v>
      </c>
      <c r="C584">
        <v>70</v>
      </c>
      <c r="D584">
        <v>69.927375792999996</v>
      </c>
      <c r="E584">
        <v>40</v>
      </c>
      <c r="F584">
        <v>39.351261139000002</v>
      </c>
      <c r="G584">
        <v>1395.9796143000001</v>
      </c>
      <c r="H584">
        <v>1379.8778076000001</v>
      </c>
      <c r="I584">
        <v>1279.7459716999999</v>
      </c>
      <c r="J584">
        <v>1257.0860596</v>
      </c>
      <c r="K584">
        <v>2400</v>
      </c>
      <c r="L584">
        <v>0</v>
      </c>
      <c r="M584">
        <v>0</v>
      </c>
      <c r="N584">
        <v>2400</v>
      </c>
    </row>
    <row r="585" spans="1:14" x14ac:dyDescent="0.25">
      <c r="A585">
        <v>371.564865</v>
      </c>
      <c r="B585" s="1">
        <f>DATE(2011,5,7) + TIME(13,33,24)</f>
        <v>40670.56486111111</v>
      </c>
      <c r="C585">
        <v>70</v>
      </c>
      <c r="D585">
        <v>69.930541992000002</v>
      </c>
      <c r="E585">
        <v>40</v>
      </c>
      <c r="F585">
        <v>39.330818176000001</v>
      </c>
      <c r="G585">
        <v>1395.8757324000001</v>
      </c>
      <c r="H585">
        <v>1379.7835693</v>
      </c>
      <c r="I585">
        <v>1279.7398682</v>
      </c>
      <c r="J585">
        <v>1257.0780029</v>
      </c>
      <c r="K585">
        <v>2400</v>
      </c>
      <c r="L585">
        <v>0</v>
      </c>
      <c r="M585">
        <v>0</v>
      </c>
      <c r="N585">
        <v>2400</v>
      </c>
    </row>
    <row r="586" spans="1:14" x14ac:dyDescent="0.25">
      <c r="A586">
        <v>371.81516399999998</v>
      </c>
      <c r="B586" s="1">
        <f>DATE(2011,5,7) + TIME(19,33,50)</f>
        <v>40670.815162037034</v>
      </c>
      <c r="C586">
        <v>70</v>
      </c>
      <c r="D586">
        <v>69.933044433999996</v>
      </c>
      <c r="E586">
        <v>40</v>
      </c>
      <c r="F586">
        <v>39.310077667000002</v>
      </c>
      <c r="G586">
        <v>1395.7735596</v>
      </c>
      <c r="H586">
        <v>1379.690918</v>
      </c>
      <c r="I586">
        <v>1279.7337646000001</v>
      </c>
      <c r="J586">
        <v>1257.0698242000001</v>
      </c>
      <c r="K586">
        <v>2400</v>
      </c>
      <c r="L586">
        <v>0</v>
      </c>
      <c r="M586">
        <v>0</v>
      </c>
      <c r="N586">
        <v>2400</v>
      </c>
    </row>
    <row r="587" spans="1:14" x14ac:dyDescent="0.25">
      <c r="A587">
        <v>372.07100100000002</v>
      </c>
      <c r="B587" s="1">
        <f>DATE(2011,5,8) + TIME(1,42,14)</f>
        <v>40671.07099537037</v>
      </c>
      <c r="C587">
        <v>70</v>
      </c>
      <c r="D587">
        <v>69.935028075999995</v>
      </c>
      <c r="E587">
        <v>40</v>
      </c>
      <c r="F587">
        <v>39.288997649999999</v>
      </c>
      <c r="G587">
        <v>1395.6727295000001</v>
      </c>
      <c r="H587">
        <v>1379.5994873</v>
      </c>
      <c r="I587">
        <v>1279.7274170000001</v>
      </c>
      <c r="J587">
        <v>1257.0614014</v>
      </c>
      <c r="K587">
        <v>2400</v>
      </c>
      <c r="L587">
        <v>0</v>
      </c>
      <c r="M587">
        <v>0</v>
      </c>
      <c r="N587">
        <v>2400</v>
      </c>
    </row>
    <row r="588" spans="1:14" x14ac:dyDescent="0.25">
      <c r="A588">
        <v>372.33323300000001</v>
      </c>
      <c r="B588" s="1">
        <f>DATE(2011,5,8) + TIME(7,59,51)</f>
        <v>40671.333229166667</v>
      </c>
      <c r="C588">
        <v>70</v>
      </c>
      <c r="D588">
        <v>69.936607361</v>
      </c>
      <c r="E588">
        <v>40</v>
      </c>
      <c r="F588">
        <v>39.267517089999998</v>
      </c>
      <c r="G588">
        <v>1395.572876</v>
      </c>
      <c r="H588">
        <v>1379.5090332</v>
      </c>
      <c r="I588">
        <v>1279.7209473</v>
      </c>
      <c r="J588">
        <v>1257.0528564000001</v>
      </c>
      <c r="K588">
        <v>2400</v>
      </c>
      <c r="L588">
        <v>0</v>
      </c>
      <c r="M588">
        <v>0</v>
      </c>
      <c r="N588">
        <v>2400</v>
      </c>
    </row>
    <row r="589" spans="1:14" x14ac:dyDescent="0.25">
      <c r="A589">
        <v>372.60279200000002</v>
      </c>
      <c r="B589" s="1">
        <f>DATE(2011,5,8) + TIME(14,28,1)</f>
        <v>40671.602789351855</v>
      </c>
      <c r="C589">
        <v>70</v>
      </c>
      <c r="D589">
        <v>69.937866210999999</v>
      </c>
      <c r="E589">
        <v>40</v>
      </c>
      <c r="F589">
        <v>39.245578766000001</v>
      </c>
      <c r="G589">
        <v>1395.4736327999999</v>
      </c>
      <c r="H589">
        <v>1379.4191894999999</v>
      </c>
      <c r="I589">
        <v>1279.7142334</v>
      </c>
      <c r="J589">
        <v>1257.0440673999999</v>
      </c>
      <c r="K589">
        <v>2400</v>
      </c>
      <c r="L589">
        <v>0</v>
      </c>
      <c r="M589">
        <v>0</v>
      </c>
      <c r="N589">
        <v>2400</v>
      </c>
    </row>
    <row r="590" spans="1:14" x14ac:dyDescent="0.25">
      <c r="A590">
        <v>372.88082000000003</v>
      </c>
      <c r="B590" s="1">
        <f>DATE(2011,5,8) + TIME(21,8,22)</f>
        <v>40671.880810185183</v>
      </c>
      <c r="C590">
        <v>70</v>
      </c>
      <c r="D590">
        <v>69.938880920000003</v>
      </c>
      <c r="E590">
        <v>40</v>
      </c>
      <c r="F590">
        <v>39.223106383999998</v>
      </c>
      <c r="G590">
        <v>1395.3746338000001</v>
      </c>
      <c r="H590">
        <v>1379.3295897999999</v>
      </c>
      <c r="I590">
        <v>1279.7073975000001</v>
      </c>
      <c r="J590">
        <v>1257.0350341999999</v>
      </c>
      <c r="K590">
        <v>2400</v>
      </c>
      <c r="L590">
        <v>0</v>
      </c>
      <c r="M590">
        <v>0</v>
      </c>
      <c r="N590">
        <v>2400</v>
      </c>
    </row>
    <row r="591" spans="1:14" x14ac:dyDescent="0.25">
      <c r="A591">
        <v>373.16835900000001</v>
      </c>
      <c r="B591" s="1">
        <f>DATE(2011,5,9) + TIME(4,2,26)</f>
        <v>40672.168356481481</v>
      </c>
      <c r="C591">
        <v>70</v>
      </c>
      <c r="D591">
        <v>69.939697265999996</v>
      </c>
      <c r="E591">
        <v>40</v>
      </c>
      <c r="F591">
        <v>39.200031281000001</v>
      </c>
      <c r="G591">
        <v>1395.2756348</v>
      </c>
      <c r="H591">
        <v>1379.2401123</v>
      </c>
      <c r="I591">
        <v>1279.7003173999999</v>
      </c>
      <c r="J591">
        <v>1257.0256348</v>
      </c>
      <c r="K591">
        <v>2400</v>
      </c>
      <c r="L591">
        <v>0</v>
      </c>
      <c r="M591">
        <v>0</v>
      </c>
      <c r="N591">
        <v>2400</v>
      </c>
    </row>
    <row r="592" spans="1:14" x14ac:dyDescent="0.25">
      <c r="A592">
        <v>373.46669700000001</v>
      </c>
      <c r="B592" s="1">
        <f>DATE(2011,5,9) + TIME(11,12,2)</f>
        <v>40672.466689814813</v>
      </c>
      <c r="C592">
        <v>70</v>
      </c>
      <c r="D592">
        <v>69.940361022999994</v>
      </c>
      <c r="E592">
        <v>40</v>
      </c>
      <c r="F592">
        <v>39.176269531000003</v>
      </c>
      <c r="G592">
        <v>1395.1762695</v>
      </c>
      <c r="H592">
        <v>1379.1503906</v>
      </c>
      <c r="I592">
        <v>1279.6931152</v>
      </c>
      <c r="J592">
        <v>1257.0159911999999</v>
      </c>
      <c r="K592">
        <v>2400</v>
      </c>
      <c r="L592">
        <v>0</v>
      </c>
      <c r="M592">
        <v>0</v>
      </c>
      <c r="N592">
        <v>2400</v>
      </c>
    </row>
    <row r="593" spans="1:14" x14ac:dyDescent="0.25">
      <c r="A593">
        <v>373.777308</v>
      </c>
      <c r="B593" s="1">
        <f>DATE(2011,5,9) + TIME(18,39,19)</f>
        <v>40672.777303240742</v>
      </c>
      <c r="C593">
        <v>70</v>
      </c>
      <c r="D593">
        <v>69.940902710000003</v>
      </c>
      <c r="E593">
        <v>40</v>
      </c>
      <c r="F593">
        <v>39.151725769000002</v>
      </c>
      <c r="G593">
        <v>1395.0762939000001</v>
      </c>
      <c r="H593">
        <v>1379.0600586</v>
      </c>
      <c r="I593">
        <v>1279.6854248</v>
      </c>
      <c r="J593">
        <v>1257.0059814000001</v>
      </c>
      <c r="K593">
        <v>2400</v>
      </c>
      <c r="L593">
        <v>0</v>
      </c>
      <c r="M593">
        <v>0</v>
      </c>
      <c r="N593">
        <v>2400</v>
      </c>
    </row>
    <row r="594" spans="1:14" x14ac:dyDescent="0.25">
      <c r="A594">
        <v>374.10161599999998</v>
      </c>
      <c r="B594" s="1">
        <f>DATE(2011,5,10) + TIME(2,26,19)</f>
        <v>40673.1016087963</v>
      </c>
      <c r="C594">
        <v>70</v>
      </c>
      <c r="D594">
        <v>69.941345214999998</v>
      </c>
      <c r="E594">
        <v>40</v>
      </c>
      <c r="F594">
        <v>39.126304626</v>
      </c>
      <c r="G594">
        <v>1394.9752197</v>
      </c>
      <c r="H594">
        <v>1378.9688721</v>
      </c>
      <c r="I594">
        <v>1279.6774902</v>
      </c>
      <c r="J594">
        <v>1256.9954834</v>
      </c>
      <c r="K594">
        <v>2400</v>
      </c>
      <c r="L594">
        <v>0</v>
      </c>
      <c r="M594">
        <v>0</v>
      </c>
      <c r="N594">
        <v>2400</v>
      </c>
    </row>
    <row r="595" spans="1:14" x14ac:dyDescent="0.25">
      <c r="A595">
        <v>374.43750799999998</v>
      </c>
      <c r="B595" s="1">
        <f>DATE(2011,5,10) + TIME(10,30,0)</f>
        <v>40673.4375</v>
      </c>
      <c r="C595">
        <v>70</v>
      </c>
      <c r="D595">
        <v>69.941711425999998</v>
      </c>
      <c r="E595">
        <v>40</v>
      </c>
      <c r="F595">
        <v>39.100109099999997</v>
      </c>
      <c r="G595">
        <v>1394.8728027</v>
      </c>
      <c r="H595">
        <v>1378.8767089999999</v>
      </c>
      <c r="I595">
        <v>1279.6691894999999</v>
      </c>
      <c r="J595">
        <v>1256.9846190999999</v>
      </c>
      <c r="K595">
        <v>2400</v>
      </c>
      <c r="L595">
        <v>0</v>
      </c>
      <c r="M595">
        <v>0</v>
      </c>
      <c r="N595">
        <v>2400</v>
      </c>
    </row>
    <row r="596" spans="1:14" x14ac:dyDescent="0.25">
      <c r="A596">
        <v>374.78663499999999</v>
      </c>
      <c r="B596" s="1">
        <f>DATE(2011,5,10) + TIME(18,52,45)</f>
        <v>40673.786631944444</v>
      </c>
      <c r="C596">
        <v>70</v>
      </c>
      <c r="D596">
        <v>69.942008971999996</v>
      </c>
      <c r="E596">
        <v>40</v>
      </c>
      <c r="F596">
        <v>39.073051452999998</v>
      </c>
      <c r="G596">
        <v>1394.7698975000001</v>
      </c>
      <c r="H596">
        <v>1378.7840576000001</v>
      </c>
      <c r="I596">
        <v>1279.6605225000001</v>
      </c>
      <c r="J596">
        <v>1256.9732666</v>
      </c>
      <c r="K596">
        <v>2400</v>
      </c>
      <c r="L596">
        <v>0</v>
      </c>
      <c r="M596">
        <v>0</v>
      </c>
      <c r="N596">
        <v>2400</v>
      </c>
    </row>
    <row r="597" spans="1:14" x14ac:dyDescent="0.25">
      <c r="A597">
        <v>375.15075999999999</v>
      </c>
      <c r="B597" s="1">
        <f>DATE(2011,5,11) + TIME(3,37,5)</f>
        <v>40674.150752314818</v>
      </c>
      <c r="C597">
        <v>70</v>
      </c>
      <c r="D597">
        <v>69.942253113000007</v>
      </c>
      <c r="E597">
        <v>40</v>
      </c>
      <c r="F597">
        <v>39.045028686999999</v>
      </c>
      <c r="G597">
        <v>1394.6661377</v>
      </c>
      <c r="H597">
        <v>1378.6906738</v>
      </c>
      <c r="I597">
        <v>1279.6514893000001</v>
      </c>
      <c r="J597">
        <v>1256.9615478999999</v>
      </c>
      <c r="K597">
        <v>2400</v>
      </c>
      <c r="L597">
        <v>0</v>
      </c>
      <c r="M597">
        <v>0</v>
      </c>
      <c r="N597">
        <v>2400</v>
      </c>
    </row>
    <row r="598" spans="1:14" x14ac:dyDescent="0.25">
      <c r="A598">
        <v>375.51930399999998</v>
      </c>
      <c r="B598" s="1">
        <f>DATE(2011,5,11) + TIME(12,27,47)</f>
        <v>40674.519293981481</v>
      </c>
      <c r="C598">
        <v>70</v>
      </c>
      <c r="D598">
        <v>69.942451477000006</v>
      </c>
      <c r="E598">
        <v>40</v>
      </c>
      <c r="F598">
        <v>39.016597748000002</v>
      </c>
      <c r="G598">
        <v>1394.5611572</v>
      </c>
      <c r="H598">
        <v>1378.5963135</v>
      </c>
      <c r="I598">
        <v>1279.6419678</v>
      </c>
      <c r="J598">
        <v>1256.9492187999999</v>
      </c>
      <c r="K598">
        <v>2400</v>
      </c>
      <c r="L598">
        <v>0</v>
      </c>
      <c r="M598">
        <v>0</v>
      </c>
      <c r="N598">
        <v>2400</v>
      </c>
    </row>
    <row r="599" spans="1:14" x14ac:dyDescent="0.25">
      <c r="A599">
        <v>375.89042599999999</v>
      </c>
      <c r="B599" s="1">
        <f>DATE(2011,5,11) + TIME(21,22,12)</f>
        <v>40674.890416666669</v>
      </c>
      <c r="C599">
        <v>70</v>
      </c>
      <c r="D599">
        <v>69.942604064999998</v>
      </c>
      <c r="E599">
        <v>40</v>
      </c>
      <c r="F599">
        <v>38.987918854</v>
      </c>
      <c r="G599">
        <v>1394.4580077999999</v>
      </c>
      <c r="H599">
        <v>1378.5037841999999</v>
      </c>
      <c r="I599">
        <v>1279.6323242000001</v>
      </c>
      <c r="J599">
        <v>1256.9367675999999</v>
      </c>
      <c r="K599">
        <v>2400</v>
      </c>
      <c r="L599">
        <v>0</v>
      </c>
      <c r="M599">
        <v>0</v>
      </c>
      <c r="N599">
        <v>2400</v>
      </c>
    </row>
    <row r="600" spans="1:14" x14ac:dyDescent="0.25">
      <c r="A600">
        <v>376.264296</v>
      </c>
      <c r="B600" s="1">
        <f>DATE(2011,5,12) + TIME(6,20,35)</f>
        <v>40675.264293981483</v>
      </c>
      <c r="C600">
        <v>70</v>
      </c>
      <c r="D600">
        <v>69.942733765</v>
      </c>
      <c r="E600">
        <v>40</v>
      </c>
      <c r="F600">
        <v>38.959045410000002</v>
      </c>
      <c r="G600">
        <v>1394.3571777</v>
      </c>
      <c r="H600">
        <v>1378.4133300999999</v>
      </c>
      <c r="I600">
        <v>1279.6226807</v>
      </c>
      <c r="J600">
        <v>1256.9243164</v>
      </c>
      <c r="K600">
        <v>2400</v>
      </c>
      <c r="L600">
        <v>0</v>
      </c>
      <c r="M600">
        <v>0</v>
      </c>
      <c r="N600">
        <v>2400</v>
      </c>
    </row>
    <row r="601" spans="1:14" x14ac:dyDescent="0.25">
      <c r="A601">
        <v>376.64216900000002</v>
      </c>
      <c r="B601" s="1">
        <f>DATE(2011,5,12) + TIME(15,24,43)</f>
        <v>40675.642164351855</v>
      </c>
      <c r="C601">
        <v>70</v>
      </c>
      <c r="D601">
        <v>69.942840575999995</v>
      </c>
      <c r="E601">
        <v>40</v>
      </c>
      <c r="F601">
        <v>38.929943084999998</v>
      </c>
      <c r="G601">
        <v>1394.2584228999999</v>
      </c>
      <c r="H601">
        <v>1378.3248291</v>
      </c>
      <c r="I601">
        <v>1279.612793</v>
      </c>
      <c r="J601">
        <v>1256.9116211</v>
      </c>
      <c r="K601">
        <v>2400</v>
      </c>
      <c r="L601">
        <v>0</v>
      </c>
      <c r="M601">
        <v>0</v>
      </c>
      <c r="N601">
        <v>2400</v>
      </c>
    </row>
    <row r="602" spans="1:14" x14ac:dyDescent="0.25">
      <c r="A602">
        <v>377.025282</v>
      </c>
      <c r="B602" s="1">
        <f>DATE(2011,5,13) + TIME(0,36,24)</f>
        <v>40676.025277777779</v>
      </c>
      <c r="C602">
        <v>70</v>
      </c>
      <c r="D602">
        <v>69.942924500000004</v>
      </c>
      <c r="E602">
        <v>40</v>
      </c>
      <c r="F602">
        <v>38.900569916000002</v>
      </c>
      <c r="G602">
        <v>1394.1613769999999</v>
      </c>
      <c r="H602">
        <v>1378.2379149999999</v>
      </c>
      <c r="I602">
        <v>1279.6029053</v>
      </c>
      <c r="J602">
        <v>1256.8988036999999</v>
      </c>
      <c r="K602">
        <v>2400</v>
      </c>
      <c r="L602">
        <v>0</v>
      </c>
      <c r="M602">
        <v>0</v>
      </c>
      <c r="N602">
        <v>2400</v>
      </c>
    </row>
    <row r="603" spans="1:14" x14ac:dyDescent="0.25">
      <c r="A603">
        <v>377.41490399999998</v>
      </c>
      <c r="B603" s="1">
        <f>DATE(2011,5,13) + TIME(9,57,27)</f>
        <v>40676.414895833332</v>
      </c>
      <c r="C603">
        <v>70</v>
      </c>
      <c r="D603">
        <v>69.942993164000001</v>
      </c>
      <c r="E603">
        <v>40</v>
      </c>
      <c r="F603">
        <v>38.870868682999998</v>
      </c>
      <c r="G603">
        <v>1394.0656738</v>
      </c>
      <c r="H603">
        <v>1378.1522216999999</v>
      </c>
      <c r="I603">
        <v>1279.5928954999999</v>
      </c>
      <c r="J603">
        <v>1256.8857422000001</v>
      </c>
      <c r="K603">
        <v>2400</v>
      </c>
      <c r="L603">
        <v>0</v>
      </c>
      <c r="M603">
        <v>0</v>
      </c>
      <c r="N603">
        <v>2400</v>
      </c>
    </row>
    <row r="604" spans="1:14" x14ac:dyDescent="0.25">
      <c r="A604">
        <v>377.81235099999998</v>
      </c>
      <c r="B604" s="1">
        <f>DATE(2011,5,13) + TIME(19,29,47)</f>
        <v>40676.812349537038</v>
      </c>
      <c r="C604">
        <v>70</v>
      </c>
      <c r="D604">
        <v>69.943054199000002</v>
      </c>
      <c r="E604">
        <v>40</v>
      </c>
      <c r="F604">
        <v>38.840759276999997</v>
      </c>
      <c r="G604">
        <v>1393.9709473</v>
      </c>
      <c r="H604">
        <v>1378.0675048999999</v>
      </c>
      <c r="I604">
        <v>1279.5826416</v>
      </c>
      <c r="J604">
        <v>1256.8724365</v>
      </c>
      <c r="K604">
        <v>2400</v>
      </c>
      <c r="L604">
        <v>0</v>
      </c>
      <c r="M604">
        <v>0</v>
      </c>
      <c r="N604">
        <v>2400</v>
      </c>
    </row>
    <row r="605" spans="1:14" x14ac:dyDescent="0.25">
      <c r="A605">
        <v>378.219022</v>
      </c>
      <c r="B605" s="1">
        <f>DATE(2011,5,14) + TIME(5,15,23)</f>
        <v>40677.2190162037</v>
      </c>
      <c r="C605">
        <v>70</v>
      </c>
      <c r="D605">
        <v>69.943099975999999</v>
      </c>
      <c r="E605">
        <v>40</v>
      </c>
      <c r="F605">
        <v>38.810169219999999</v>
      </c>
      <c r="G605">
        <v>1393.8767089999999</v>
      </c>
      <c r="H605">
        <v>1377.9832764</v>
      </c>
      <c r="I605">
        <v>1279.5721435999999</v>
      </c>
      <c r="J605">
        <v>1256.8587646000001</v>
      </c>
      <c r="K605">
        <v>2400</v>
      </c>
      <c r="L605">
        <v>0</v>
      </c>
      <c r="M605">
        <v>0</v>
      </c>
      <c r="N605">
        <v>2400</v>
      </c>
    </row>
    <row r="606" spans="1:14" x14ac:dyDescent="0.25">
      <c r="A606">
        <v>378.63650899999999</v>
      </c>
      <c r="B606" s="1">
        <f>DATE(2011,5,14) + TIME(15,16,34)</f>
        <v>40677.636504629627</v>
      </c>
      <c r="C606">
        <v>70</v>
      </c>
      <c r="D606">
        <v>69.943145752000007</v>
      </c>
      <c r="E606">
        <v>40</v>
      </c>
      <c r="F606">
        <v>38.779003142999997</v>
      </c>
      <c r="G606">
        <v>1393.7828368999999</v>
      </c>
      <c r="H606">
        <v>1377.8995361</v>
      </c>
      <c r="I606">
        <v>1279.5614014</v>
      </c>
      <c r="J606">
        <v>1256.8448486</v>
      </c>
      <c r="K606">
        <v>2400</v>
      </c>
      <c r="L606">
        <v>0</v>
      </c>
      <c r="M606">
        <v>0</v>
      </c>
      <c r="N606">
        <v>2400</v>
      </c>
    </row>
    <row r="607" spans="1:14" x14ac:dyDescent="0.25">
      <c r="A607">
        <v>379.06652700000001</v>
      </c>
      <c r="B607" s="1">
        <f>DATE(2011,5,15) + TIME(1,35,47)</f>
        <v>40678.066516203704</v>
      </c>
      <c r="C607">
        <v>70</v>
      </c>
      <c r="D607">
        <v>69.943176269999995</v>
      </c>
      <c r="E607">
        <v>40</v>
      </c>
      <c r="F607">
        <v>38.747154236</v>
      </c>
      <c r="G607">
        <v>1393.6889647999999</v>
      </c>
      <c r="H607">
        <v>1377.8156738</v>
      </c>
      <c r="I607">
        <v>1279.5504149999999</v>
      </c>
      <c r="J607">
        <v>1256.8305664</v>
      </c>
      <c r="K607">
        <v>2400</v>
      </c>
      <c r="L607">
        <v>0</v>
      </c>
      <c r="M607">
        <v>0</v>
      </c>
      <c r="N607">
        <v>2400</v>
      </c>
    </row>
    <row r="608" spans="1:14" x14ac:dyDescent="0.25">
      <c r="A608">
        <v>379.51083599999998</v>
      </c>
      <c r="B608" s="1">
        <f>DATE(2011,5,15) + TIME(12,15,36)</f>
        <v>40678.510833333334</v>
      </c>
      <c r="C608">
        <v>70</v>
      </c>
      <c r="D608">
        <v>69.943199157999999</v>
      </c>
      <c r="E608">
        <v>40</v>
      </c>
      <c r="F608">
        <v>38.714515685999999</v>
      </c>
      <c r="G608">
        <v>1393.5946045000001</v>
      </c>
      <c r="H608">
        <v>1377.7315673999999</v>
      </c>
      <c r="I608">
        <v>1279.5389404</v>
      </c>
      <c r="J608">
        <v>1256.8157959</v>
      </c>
      <c r="K608">
        <v>2400</v>
      </c>
      <c r="L608">
        <v>0</v>
      </c>
      <c r="M608">
        <v>0</v>
      </c>
      <c r="N608">
        <v>2400</v>
      </c>
    </row>
    <row r="609" spans="1:14" x14ac:dyDescent="0.25">
      <c r="A609">
        <v>379.97154599999999</v>
      </c>
      <c r="B609" s="1">
        <f>DATE(2011,5,15) + TIME(23,19,1)</f>
        <v>40678.971539351849</v>
      </c>
      <c r="C609">
        <v>70</v>
      </c>
      <c r="D609">
        <v>69.943222046000002</v>
      </c>
      <c r="E609">
        <v>40</v>
      </c>
      <c r="F609">
        <v>38.680961609000001</v>
      </c>
      <c r="G609">
        <v>1393.4996338000001</v>
      </c>
      <c r="H609">
        <v>1377.6469727000001</v>
      </c>
      <c r="I609">
        <v>1279.5270995999999</v>
      </c>
      <c r="J609">
        <v>1256.8004149999999</v>
      </c>
      <c r="K609">
        <v>2400</v>
      </c>
      <c r="L609">
        <v>0</v>
      </c>
      <c r="M609">
        <v>0</v>
      </c>
      <c r="N609">
        <v>2400</v>
      </c>
    </row>
    <row r="610" spans="1:14" x14ac:dyDescent="0.25">
      <c r="A610">
        <v>380.449905</v>
      </c>
      <c r="B610" s="1">
        <f>DATE(2011,5,16) + TIME(10,47,51)</f>
        <v>40679.449895833335</v>
      </c>
      <c r="C610">
        <v>70</v>
      </c>
      <c r="D610">
        <v>69.943244934000006</v>
      </c>
      <c r="E610">
        <v>40</v>
      </c>
      <c r="F610">
        <v>38.646400452000002</v>
      </c>
      <c r="G610">
        <v>1393.4036865</v>
      </c>
      <c r="H610">
        <v>1377.5615233999999</v>
      </c>
      <c r="I610">
        <v>1279.5147704999999</v>
      </c>
      <c r="J610">
        <v>1256.7845459</v>
      </c>
      <c r="K610">
        <v>2400</v>
      </c>
      <c r="L610">
        <v>0</v>
      </c>
      <c r="M610">
        <v>0</v>
      </c>
      <c r="N610">
        <v>2400</v>
      </c>
    </row>
    <row r="611" spans="1:14" x14ac:dyDescent="0.25">
      <c r="A611">
        <v>380.94282900000002</v>
      </c>
      <c r="B611" s="1">
        <f>DATE(2011,5,16) + TIME(22,37,40)</f>
        <v>40679.942824074074</v>
      </c>
      <c r="C611">
        <v>70</v>
      </c>
      <c r="D611">
        <v>69.943260193</v>
      </c>
      <c r="E611">
        <v>40</v>
      </c>
      <c r="F611">
        <v>38.610946654999999</v>
      </c>
      <c r="G611">
        <v>1393.3066406</v>
      </c>
      <c r="H611">
        <v>1377.4750977000001</v>
      </c>
      <c r="I611">
        <v>1279.5019531</v>
      </c>
      <c r="J611">
        <v>1256.7680664</v>
      </c>
      <c r="K611">
        <v>2400</v>
      </c>
      <c r="L611">
        <v>0</v>
      </c>
      <c r="M611">
        <v>0</v>
      </c>
      <c r="N611">
        <v>2400</v>
      </c>
    </row>
    <row r="612" spans="1:14" x14ac:dyDescent="0.25">
      <c r="A612">
        <v>381.44142099999999</v>
      </c>
      <c r="B612" s="1">
        <f>DATE(2011,5,17) + TIME(10,35,38)</f>
        <v>40680.441412037035</v>
      </c>
      <c r="C612">
        <v>70</v>
      </c>
      <c r="D612">
        <v>69.943267821999996</v>
      </c>
      <c r="E612">
        <v>40</v>
      </c>
      <c r="F612">
        <v>38.575019836000003</v>
      </c>
      <c r="G612">
        <v>1393.2091064000001</v>
      </c>
      <c r="H612">
        <v>1377.3884277</v>
      </c>
      <c r="I612">
        <v>1279.4885254000001</v>
      </c>
      <c r="J612">
        <v>1256.7509766000001</v>
      </c>
      <c r="K612">
        <v>2400</v>
      </c>
      <c r="L612">
        <v>0</v>
      </c>
      <c r="M612">
        <v>0</v>
      </c>
      <c r="N612">
        <v>2400</v>
      </c>
    </row>
    <row r="613" spans="1:14" x14ac:dyDescent="0.25">
      <c r="A613">
        <v>381.94331899999997</v>
      </c>
      <c r="B613" s="1">
        <f>DATE(2011,5,17) + TIME(22,38,22)</f>
        <v>40680.943310185183</v>
      </c>
      <c r="C613">
        <v>70</v>
      </c>
      <c r="D613">
        <v>69.943283081000004</v>
      </c>
      <c r="E613">
        <v>40</v>
      </c>
      <c r="F613">
        <v>38.538822174000003</v>
      </c>
      <c r="G613">
        <v>1393.1130370999999</v>
      </c>
      <c r="H613">
        <v>1377.3028564000001</v>
      </c>
      <c r="I613">
        <v>1279.4749756000001</v>
      </c>
      <c r="J613">
        <v>1256.7336425999999</v>
      </c>
      <c r="K613">
        <v>2400</v>
      </c>
      <c r="L613">
        <v>0</v>
      </c>
      <c r="M613">
        <v>0</v>
      </c>
      <c r="N613">
        <v>2400</v>
      </c>
    </row>
    <row r="614" spans="1:14" x14ac:dyDescent="0.25">
      <c r="A614">
        <v>382.45028300000001</v>
      </c>
      <c r="B614" s="1">
        <f>DATE(2011,5,18) + TIME(10,48,24)</f>
        <v>40681.450277777774</v>
      </c>
      <c r="C614">
        <v>70</v>
      </c>
      <c r="D614">
        <v>69.943290709999999</v>
      </c>
      <c r="E614">
        <v>40</v>
      </c>
      <c r="F614">
        <v>38.502353667999998</v>
      </c>
      <c r="G614">
        <v>1393.0186768000001</v>
      </c>
      <c r="H614">
        <v>1377.2189940999999</v>
      </c>
      <c r="I614">
        <v>1279.4613036999999</v>
      </c>
      <c r="J614">
        <v>1256.7160644999999</v>
      </c>
      <c r="K614">
        <v>2400</v>
      </c>
      <c r="L614">
        <v>0</v>
      </c>
      <c r="M614">
        <v>0</v>
      </c>
      <c r="N614">
        <v>2400</v>
      </c>
    </row>
    <row r="615" spans="1:14" x14ac:dyDescent="0.25">
      <c r="A615">
        <v>382.96404999999999</v>
      </c>
      <c r="B615" s="1">
        <f>DATE(2011,5,18) + TIME(23,8,13)</f>
        <v>40681.964039351849</v>
      </c>
      <c r="C615">
        <v>70</v>
      </c>
      <c r="D615">
        <v>69.943290709999999</v>
      </c>
      <c r="E615">
        <v>40</v>
      </c>
      <c r="F615">
        <v>38.465576171999999</v>
      </c>
      <c r="G615">
        <v>1392.9256591999999</v>
      </c>
      <c r="H615">
        <v>1377.1363524999999</v>
      </c>
      <c r="I615">
        <v>1279.4475098</v>
      </c>
      <c r="J615">
        <v>1256.6983643000001</v>
      </c>
      <c r="K615">
        <v>2400</v>
      </c>
      <c r="L615">
        <v>0</v>
      </c>
      <c r="M615">
        <v>0</v>
      </c>
      <c r="N615">
        <v>2400</v>
      </c>
    </row>
    <row r="616" spans="1:14" x14ac:dyDescent="0.25">
      <c r="A616">
        <v>383.48638899999997</v>
      </c>
      <c r="B616" s="1">
        <f>DATE(2011,5,19) + TIME(11,40,24)</f>
        <v>40682.486388888887</v>
      </c>
      <c r="C616">
        <v>70</v>
      </c>
      <c r="D616">
        <v>69.943298339999998</v>
      </c>
      <c r="E616">
        <v>40</v>
      </c>
      <c r="F616">
        <v>38.428417205999999</v>
      </c>
      <c r="G616">
        <v>1392.8336182</v>
      </c>
      <c r="H616">
        <v>1377.0546875</v>
      </c>
      <c r="I616">
        <v>1279.4333495999999</v>
      </c>
      <c r="J616">
        <v>1256.6802978999999</v>
      </c>
      <c r="K616">
        <v>2400</v>
      </c>
      <c r="L616">
        <v>0</v>
      </c>
      <c r="M616">
        <v>0</v>
      </c>
      <c r="N616">
        <v>2400</v>
      </c>
    </row>
    <row r="617" spans="1:14" x14ac:dyDescent="0.25">
      <c r="A617">
        <v>384.01714299999998</v>
      </c>
      <c r="B617" s="1">
        <f>DATE(2011,5,20) + TIME(0,24,41)</f>
        <v>40683.017141203702</v>
      </c>
      <c r="C617">
        <v>70</v>
      </c>
      <c r="D617">
        <v>69.943305968999994</v>
      </c>
      <c r="E617">
        <v>40</v>
      </c>
      <c r="F617">
        <v>38.390880584999998</v>
      </c>
      <c r="G617">
        <v>1392.7421875</v>
      </c>
      <c r="H617">
        <v>1376.9735106999999</v>
      </c>
      <c r="I617">
        <v>1279.4189452999999</v>
      </c>
      <c r="J617">
        <v>1256.6617432</v>
      </c>
      <c r="K617">
        <v>2400</v>
      </c>
      <c r="L617">
        <v>0</v>
      </c>
      <c r="M617">
        <v>0</v>
      </c>
      <c r="N617">
        <v>2400</v>
      </c>
    </row>
    <row r="618" spans="1:14" x14ac:dyDescent="0.25">
      <c r="A618">
        <v>384.55639600000001</v>
      </c>
      <c r="B618" s="1">
        <f>DATE(2011,5,20) + TIME(13,21,12)</f>
        <v>40683.556388888886</v>
      </c>
      <c r="C618">
        <v>70</v>
      </c>
      <c r="D618">
        <v>69.943305968999994</v>
      </c>
      <c r="E618">
        <v>40</v>
      </c>
      <c r="F618">
        <v>38.352951050000001</v>
      </c>
      <c r="G618">
        <v>1392.6516113</v>
      </c>
      <c r="H618">
        <v>1376.8930664</v>
      </c>
      <c r="I618">
        <v>1279.4042969</v>
      </c>
      <c r="J618">
        <v>1256.6429443</v>
      </c>
      <c r="K618">
        <v>2400</v>
      </c>
      <c r="L618">
        <v>0</v>
      </c>
      <c r="M618">
        <v>0</v>
      </c>
      <c r="N618">
        <v>2400</v>
      </c>
    </row>
    <row r="619" spans="1:14" x14ac:dyDescent="0.25">
      <c r="A619">
        <v>385.10597300000001</v>
      </c>
      <c r="B619" s="1">
        <f>DATE(2011,5,21) + TIME(2,32,36)</f>
        <v>40684.10597222222</v>
      </c>
      <c r="C619">
        <v>70</v>
      </c>
      <c r="D619">
        <v>69.943313599000007</v>
      </c>
      <c r="E619">
        <v>40</v>
      </c>
      <c r="F619">
        <v>38.314559936999999</v>
      </c>
      <c r="G619">
        <v>1392.5615233999999</v>
      </c>
      <c r="H619">
        <v>1376.8132324000001</v>
      </c>
      <c r="I619">
        <v>1279.3892822</v>
      </c>
      <c r="J619">
        <v>1256.6237793</v>
      </c>
      <c r="K619">
        <v>2400</v>
      </c>
      <c r="L619">
        <v>0</v>
      </c>
      <c r="M619">
        <v>0</v>
      </c>
      <c r="N619">
        <v>2400</v>
      </c>
    </row>
    <row r="620" spans="1:14" x14ac:dyDescent="0.25">
      <c r="A620">
        <v>385.66779500000001</v>
      </c>
      <c r="B620" s="1">
        <f>DATE(2011,5,21) + TIME(16,1,37)</f>
        <v>40684.66778935185</v>
      </c>
      <c r="C620">
        <v>70</v>
      </c>
      <c r="D620">
        <v>69.943313599000007</v>
      </c>
      <c r="E620">
        <v>40</v>
      </c>
      <c r="F620">
        <v>38.275600433000001</v>
      </c>
      <c r="G620">
        <v>1392.4718018000001</v>
      </c>
      <c r="H620">
        <v>1376.7337646000001</v>
      </c>
      <c r="I620">
        <v>1279.3739014</v>
      </c>
      <c r="J620">
        <v>1256.6040039</v>
      </c>
      <c r="K620">
        <v>2400</v>
      </c>
      <c r="L620">
        <v>0</v>
      </c>
      <c r="M620">
        <v>0</v>
      </c>
      <c r="N620">
        <v>2400</v>
      </c>
    </row>
    <row r="621" spans="1:14" x14ac:dyDescent="0.25">
      <c r="A621">
        <v>386.24404399999997</v>
      </c>
      <c r="B621" s="1">
        <f>DATE(2011,5,22) + TIME(5,51,25)</f>
        <v>40685.244039351855</v>
      </c>
      <c r="C621">
        <v>70</v>
      </c>
      <c r="D621">
        <v>69.943321228000002</v>
      </c>
      <c r="E621">
        <v>40</v>
      </c>
      <c r="F621">
        <v>38.235961914000001</v>
      </c>
      <c r="G621">
        <v>1392.3822021000001</v>
      </c>
      <c r="H621">
        <v>1376.6542969</v>
      </c>
      <c r="I621">
        <v>1279.3581543</v>
      </c>
      <c r="J621">
        <v>1256.5838623</v>
      </c>
      <c r="K621">
        <v>2400</v>
      </c>
      <c r="L621">
        <v>0</v>
      </c>
      <c r="M621">
        <v>0</v>
      </c>
      <c r="N621">
        <v>2400</v>
      </c>
    </row>
    <row r="622" spans="1:14" x14ac:dyDescent="0.25">
      <c r="A622">
        <v>386.83714700000002</v>
      </c>
      <c r="B622" s="1">
        <f>DATE(2011,5,22) + TIME(20,5,29)</f>
        <v>40685.837141203701</v>
      </c>
      <c r="C622">
        <v>70</v>
      </c>
      <c r="D622">
        <v>69.943328856999997</v>
      </c>
      <c r="E622">
        <v>40</v>
      </c>
      <c r="F622">
        <v>38.195503234999997</v>
      </c>
      <c r="G622">
        <v>1392.2923584</v>
      </c>
      <c r="H622">
        <v>1376.5745850000001</v>
      </c>
      <c r="I622">
        <v>1279.3419189000001</v>
      </c>
      <c r="J622">
        <v>1256.5629882999999</v>
      </c>
      <c r="K622">
        <v>2400</v>
      </c>
      <c r="L622">
        <v>0</v>
      </c>
      <c r="M622">
        <v>0</v>
      </c>
      <c r="N622">
        <v>2400</v>
      </c>
    </row>
    <row r="623" spans="1:14" x14ac:dyDescent="0.25">
      <c r="A623">
        <v>387.44953299999997</v>
      </c>
      <c r="B623" s="1">
        <f>DATE(2011,5,23) + TIME(10,47,19)</f>
        <v>40686.449525462966</v>
      </c>
      <c r="C623">
        <v>70</v>
      </c>
      <c r="D623">
        <v>69.943336486999996</v>
      </c>
      <c r="E623">
        <v>40</v>
      </c>
      <c r="F623">
        <v>38.154090881000002</v>
      </c>
      <c r="G623">
        <v>1392.2019043</v>
      </c>
      <c r="H623">
        <v>1376.4945068</v>
      </c>
      <c r="I623">
        <v>1279.3250731999999</v>
      </c>
      <c r="J623">
        <v>1256.5415039</v>
      </c>
      <c r="K623">
        <v>2400</v>
      </c>
      <c r="L623">
        <v>0</v>
      </c>
      <c r="M623">
        <v>0</v>
      </c>
      <c r="N623">
        <v>2400</v>
      </c>
    </row>
    <row r="624" spans="1:14" x14ac:dyDescent="0.25">
      <c r="A624">
        <v>388.084159</v>
      </c>
      <c r="B624" s="1">
        <f>DATE(2011,5,24) + TIME(2,1,11)</f>
        <v>40687.084155092591</v>
      </c>
      <c r="C624">
        <v>70</v>
      </c>
      <c r="D624">
        <v>69.943344116000006</v>
      </c>
      <c r="E624">
        <v>40</v>
      </c>
      <c r="F624">
        <v>38.111557007000002</v>
      </c>
      <c r="G624">
        <v>1392.1107178</v>
      </c>
      <c r="H624">
        <v>1376.4136963000001</v>
      </c>
      <c r="I624">
        <v>1279.3076172000001</v>
      </c>
      <c r="J624">
        <v>1256.519043</v>
      </c>
      <c r="K624">
        <v>2400</v>
      </c>
      <c r="L624">
        <v>0</v>
      </c>
      <c r="M624">
        <v>0</v>
      </c>
      <c r="N624">
        <v>2400</v>
      </c>
    </row>
    <row r="625" spans="1:14" x14ac:dyDescent="0.25">
      <c r="A625">
        <v>388.72220099999998</v>
      </c>
      <c r="B625" s="1">
        <f>DATE(2011,5,24) + TIME(17,19,58)</f>
        <v>40687.722199074073</v>
      </c>
      <c r="C625">
        <v>70</v>
      </c>
      <c r="D625">
        <v>69.943344116000006</v>
      </c>
      <c r="E625">
        <v>40</v>
      </c>
      <c r="F625">
        <v>38.068572998</v>
      </c>
      <c r="G625">
        <v>1392.0181885</v>
      </c>
      <c r="H625">
        <v>1376.3317870999999</v>
      </c>
      <c r="I625">
        <v>1279.2893065999999</v>
      </c>
      <c r="J625">
        <v>1256.4958495999999</v>
      </c>
      <c r="K625">
        <v>2400</v>
      </c>
      <c r="L625">
        <v>0</v>
      </c>
      <c r="M625">
        <v>0</v>
      </c>
      <c r="N625">
        <v>2400</v>
      </c>
    </row>
    <row r="626" spans="1:14" x14ac:dyDescent="0.25">
      <c r="A626">
        <v>389.36425500000001</v>
      </c>
      <c r="B626" s="1">
        <f>DATE(2011,5,25) + TIME(8,44,31)</f>
        <v>40688.364247685182</v>
      </c>
      <c r="C626">
        <v>70</v>
      </c>
      <c r="D626">
        <v>69.943351746000005</v>
      </c>
      <c r="E626">
        <v>40</v>
      </c>
      <c r="F626">
        <v>38.025302887000002</v>
      </c>
      <c r="G626">
        <v>1391.9272461</v>
      </c>
      <c r="H626">
        <v>1376.2512207</v>
      </c>
      <c r="I626">
        <v>1279.2707519999999</v>
      </c>
      <c r="J626">
        <v>1256.4722899999999</v>
      </c>
      <c r="K626">
        <v>2400</v>
      </c>
      <c r="L626">
        <v>0</v>
      </c>
      <c r="M626">
        <v>0</v>
      </c>
      <c r="N626">
        <v>2400</v>
      </c>
    </row>
    <row r="627" spans="1:14" x14ac:dyDescent="0.25">
      <c r="A627">
        <v>390.01254499999999</v>
      </c>
      <c r="B627" s="1">
        <f>DATE(2011,5,26) + TIME(0,18,3)</f>
        <v>40689.01253472222</v>
      </c>
      <c r="C627">
        <v>70</v>
      </c>
      <c r="D627">
        <v>69.943359375</v>
      </c>
      <c r="E627">
        <v>40</v>
      </c>
      <c r="F627">
        <v>37.981769561999997</v>
      </c>
      <c r="G627">
        <v>1391.8377685999999</v>
      </c>
      <c r="H627">
        <v>1376.1719971</v>
      </c>
      <c r="I627">
        <v>1279.2520752</v>
      </c>
      <c r="J627">
        <v>1256.4483643000001</v>
      </c>
      <c r="K627">
        <v>2400</v>
      </c>
      <c r="L627">
        <v>0</v>
      </c>
      <c r="M627">
        <v>0</v>
      </c>
      <c r="N627">
        <v>2400</v>
      </c>
    </row>
    <row r="628" spans="1:14" x14ac:dyDescent="0.25">
      <c r="A628">
        <v>390.66929599999997</v>
      </c>
      <c r="B628" s="1">
        <f>DATE(2011,5,26) + TIME(16,3,47)</f>
        <v>40689.669293981482</v>
      </c>
      <c r="C628">
        <v>70</v>
      </c>
      <c r="D628">
        <v>69.943374633999994</v>
      </c>
      <c r="E628">
        <v>40</v>
      </c>
      <c r="F628">
        <v>37.937911987</v>
      </c>
      <c r="G628">
        <v>1391.7493896000001</v>
      </c>
      <c r="H628">
        <v>1376.09375</v>
      </c>
      <c r="I628">
        <v>1279.2330322</v>
      </c>
      <c r="J628">
        <v>1256.4239502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391.33678800000001</v>
      </c>
      <c r="B629" s="1">
        <f>DATE(2011,5,27) + TIME(8,4,58)</f>
        <v>40690.336782407408</v>
      </c>
      <c r="C629">
        <v>70</v>
      </c>
      <c r="D629">
        <v>69.943382263000004</v>
      </c>
      <c r="E629">
        <v>40</v>
      </c>
      <c r="F629">
        <v>37.893646240000002</v>
      </c>
      <c r="G629">
        <v>1391.6616211</v>
      </c>
      <c r="H629">
        <v>1376.0161132999999</v>
      </c>
      <c r="I629">
        <v>1279.2136230000001</v>
      </c>
      <c r="J629">
        <v>1256.3991699000001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392.01751100000001</v>
      </c>
      <c r="B630" s="1">
        <f>DATE(2011,5,28) + TIME(0,25,12)</f>
        <v>40691.017500000002</v>
      </c>
      <c r="C630">
        <v>70</v>
      </c>
      <c r="D630">
        <v>69.943389893000003</v>
      </c>
      <c r="E630">
        <v>40</v>
      </c>
      <c r="F630">
        <v>37.848846436000002</v>
      </c>
      <c r="G630">
        <v>1391.5744629000001</v>
      </c>
      <c r="H630">
        <v>1375.9389647999999</v>
      </c>
      <c r="I630">
        <v>1279.1937256000001</v>
      </c>
      <c r="J630">
        <v>1256.3737793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392.71410900000001</v>
      </c>
      <c r="B631" s="1">
        <f>DATE(2011,5,28) + TIME(17,8,19)</f>
        <v>40691.714108796295</v>
      </c>
      <c r="C631">
        <v>70</v>
      </c>
      <c r="D631">
        <v>69.943405150999993</v>
      </c>
      <c r="E631">
        <v>40</v>
      </c>
      <c r="F631">
        <v>37.803371429000002</v>
      </c>
      <c r="G631">
        <v>1391.4873047000001</v>
      </c>
      <c r="H631">
        <v>1375.8618164</v>
      </c>
      <c r="I631">
        <v>1279.1733397999999</v>
      </c>
      <c r="J631">
        <v>1256.3475341999999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393.42566699999998</v>
      </c>
      <c r="B632" s="1">
        <f>DATE(2011,5,29) + TIME(10,12,57)</f>
        <v>40692.425659722219</v>
      </c>
      <c r="C632">
        <v>70</v>
      </c>
      <c r="D632">
        <v>69.943412781000006</v>
      </c>
      <c r="E632">
        <v>40</v>
      </c>
      <c r="F632">
        <v>37.757198334000002</v>
      </c>
      <c r="G632">
        <v>1391.4000243999999</v>
      </c>
      <c r="H632">
        <v>1375.7845459</v>
      </c>
      <c r="I632">
        <v>1279.1523437999999</v>
      </c>
      <c r="J632">
        <v>1256.3205565999999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394.152041</v>
      </c>
      <c r="B633" s="1">
        <f>DATE(2011,5,30) + TIME(3,38,56)</f>
        <v>40693.152037037034</v>
      </c>
      <c r="C633">
        <v>70</v>
      </c>
      <c r="D633">
        <v>69.943428040000001</v>
      </c>
      <c r="E633">
        <v>40</v>
      </c>
      <c r="F633">
        <v>37.710308075</v>
      </c>
      <c r="G633">
        <v>1391.3126221</v>
      </c>
      <c r="H633">
        <v>1375.7072754000001</v>
      </c>
      <c r="I633">
        <v>1279.1306152</v>
      </c>
      <c r="J633">
        <v>1256.2927245999999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394.89599500000003</v>
      </c>
      <c r="B634" s="1">
        <f>DATE(2011,5,30) + TIME(21,30,13)</f>
        <v>40693.895983796298</v>
      </c>
      <c r="C634">
        <v>70</v>
      </c>
      <c r="D634">
        <v>69.943443298000005</v>
      </c>
      <c r="E634">
        <v>40</v>
      </c>
      <c r="F634">
        <v>37.662605286000002</v>
      </c>
      <c r="G634">
        <v>1391.2253418</v>
      </c>
      <c r="H634">
        <v>1375.6300048999999</v>
      </c>
      <c r="I634">
        <v>1279.1082764</v>
      </c>
      <c r="J634">
        <v>1256.2640381000001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395.66088000000002</v>
      </c>
      <c r="B635" s="1">
        <f>DATE(2011,5,31) + TIME(15,51,40)</f>
        <v>40694.660879629628</v>
      </c>
      <c r="C635">
        <v>70</v>
      </c>
      <c r="D635">
        <v>69.943458557</v>
      </c>
      <c r="E635">
        <v>40</v>
      </c>
      <c r="F635">
        <v>37.613929749</v>
      </c>
      <c r="G635">
        <v>1391.1376952999999</v>
      </c>
      <c r="H635">
        <v>1375.5523682</v>
      </c>
      <c r="I635">
        <v>1279.0852050999999</v>
      </c>
      <c r="J635">
        <v>1256.234375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396</v>
      </c>
      <c r="B636" s="1">
        <f>DATE(2011,6,1) + TIME(0,0,0)</f>
        <v>40695</v>
      </c>
      <c r="C636">
        <v>70</v>
      </c>
      <c r="D636">
        <v>69.943450928000004</v>
      </c>
      <c r="E636">
        <v>40</v>
      </c>
      <c r="F636">
        <v>37.584648131999998</v>
      </c>
      <c r="G636">
        <v>1391.0493164</v>
      </c>
      <c r="H636">
        <v>1375.4742432</v>
      </c>
      <c r="I636">
        <v>1279.0581055</v>
      </c>
      <c r="J636">
        <v>1256.2059326000001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396.78889700000002</v>
      </c>
      <c r="B637" s="1">
        <f>DATE(2011,6,1) + TIME(18,56,0)</f>
        <v>40695.788888888892</v>
      </c>
      <c r="C637">
        <v>70</v>
      </c>
      <c r="D637">
        <v>69.943481445000003</v>
      </c>
      <c r="E637">
        <v>40</v>
      </c>
      <c r="F637">
        <v>37.538356780999997</v>
      </c>
      <c r="G637">
        <v>1391.0106201000001</v>
      </c>
      <c r="H637">
        <v>1375.4399414</v>
      </c>
      <c r="I637">
        <v>1279.0509033000001</v>
      </c>
      <c r="J637">
        <v>1256.1890868999999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397.58279499999998</v>
      </c>
      <c r="B638" s="1">
        <f>DATE(2011,6,2) + TIME(13,59,13)</f>
        <v>40696.582789351851</v>
      </c>
      <c r="C638">
        <v>70</v>
      </c>
      <c r="D638">
        <v>69.943496703999998</v>
      </c>
      <c r="E638">
        <v>40</v>
      </c>
      <c r="F638">
        <v>37.489875793000003</v>
      </c>
      <c r="G638">
        <v>1390.9224853999999</v>
      </c>
      <c r="H638">
        <v>1375.3619385</v>
      </c>
      <c r="I638">
        <v>1279.0255127</v>
      </c>
      <c r="J638">
        <v>1256.1571045000001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398.38209899999998</v>
      </c>
      <c r="B639" s="1">
        <f>DATE(2011,6,3) + TIME(9,10,13)</f>
        <v>40697.382094907407</v>
      </c>
      <c r="C639">
        <v>70</v>
      </c>
      <c r="D639">
        <v>69.943511963000006</v>
      </c>
      <c r="E639">
        <v>40</v>
      </c>
      <c r="F639">
        <v>37.440170287999997</v>
      </c>
      <c r="G639">
        <v>1390.8353271000001</v>
      </c>
      <c r="H639">
        <v>1375.2847899999999</v>
      </c>
      <c r="I639">
        <v>1278.9997559000001</v>
      </c>
      <c r="J639">
        <v>1256.1243896000001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399.18836800000003</v>
      </c>
      <c r="B640" s="1">
        <f>DATE(2011,6,4) + TIME(4,31,15)</f>
        <v>40698.188368055555</v>
      </c>
      <c r="C640">
        <v>70</v>
      </c>
      <c r="D640">
        <v>69.943534850999995</v>
      </c>
      <c r="E640">
        <v>40</v>
      </c>
      <c r="F640">
        <v>37.389705657999997</v>
      </c>
      <c r="G640">
        <v>1390.7492675999999</v>
      </c>
      <c r="H640">
        <v>1375.2086182</v>
      </c>
      <c r="I640">
        <v>1278.9736327999999</v>
      </c>
      <c r="J640">
        <v>1256.0908202999999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400.00427500000001</v>
      </c>
      <c r="B641" s="1">
        <f>DATE(2011,6,5) + TIME(0,6,9)</f>
        <v>40699.004270833335</v>
      </c>
      <c r="C641">
        <v>70</v>
      </c>
      <c r="D641">
        <v>69.943557738999999</v>
      </c>
      <c r="E641">
        <v>40</v>
      </c>
      <c r="F641">
        <v>37.338642120000003</v>
      </c>
      <c r="G641">
        <v>1390.6641846</v>
      </c>
      <c r="H641">
        <v>1375.1333007999999</v>
      </c>
      <c r="I641">
        <v>1278.9470214999999</v>
      </c>
      <c r="J641">
        <v>1256.0565185999999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400.83254699999998</v>
      </c>
      <c r="B642" s="1">
        <f>DATE(2011,6,5) + TIME(19,58,52)</f>
        <v>40699.832546296297</v>
      </c>
      <c r="C642">
        <v>70</v>
      </c>
      <c r="D642">
        <v>69.943572997999993</v>
      </c>
      <c r="E642">
        <v>40</v>
      </c>
      <c r="F642">
        <v>37.286972046000002</v>
      </c>
      <c r="G642">
        <v>1390.5797118999999</v>
      </c>
      <c r="H642">
        <v>1375.0584716999999</v>
      </c>
      <c r="I642">
        <v>1278.9199219</v>
      </c>
      <c r="J642">
        <v>1256.0212402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401.67602799999997</v>
      </c>
      <c r="B643" s="1">
        <f>DATE(2011,6,6) + TIME(16,13,28)</f>
        <v>40700.676018518519</v>
      </c>
      <c r="C643">
        <v>70</v>
      </c>
      <c r="D643">
        <v>69.943595885999997</v>
      </c>
      <c r="E643">
        <v>40</v>
      </c>
      <c r="F643">
        <v>37.234615325999997</v>
      </c>
      <c r="G643">
        <v>1390.4956055</v>
      </c>
      <c r="H643">
        <v>1374.9840088000001</v>
      </c>
      <c r="I643">
        <v>1278.8919678</v>
      </c>
      <c r="J643">
        <v>1255.9849853999999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402.53810199999998</v>
      </c>
      <c r="B644" s="1">
        <f>DATE(2011,6,7) + TIME(12,54,52)</f>
        <v>40701.538101851853</v>
      </c>
      <c r="C644">
        <v>70</v>
      </c>
      <c r="D644">
        <v>69.943618774000001</v>
      </c>
      <c r="E644">
        <v>40</v>
      </c>
      <c r="F644">
        <v>37.181423187</v>
      </c>
      <c r="G644">
        <v>1390.4116211</v>
      </c>
      <c r="H644">
        <v>1374.9095459</v>
      </c>
      <c r="I644">
        <v>1278.8631591999999</v>
      </c>
      <c r="J644">
        <v>1255.9475098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403.42183</v>
      </c>
      <c r="B645" s="1">
        <f>DATE(2011,6,8) + TIME(10,7,26)</f>
        <v>40702.4218287037</v>
      </c>
      <c r="C645">
        <v>70</v>
      </c>
      <c r="D645">
        <v>69.943641662999994</v>
      </c>
      <c r="E645">
        <v>40</v>
      </c>
      <c r="F645">
        <v>37.127227783000002</v>
      </c>
      <c r="G645">
        <v>1390.3273925999999</v>
      </c>
      <c r="H645">
        <v>1374.8348389</v>
      </c>
      <c r="I645">
        <v>1278.8332519999999</v>
      </c>
      <c r="J645">
        <v>1255.9085693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404.330826</v>
      </c>
      <c r="B646" s="1">
        <f>DATE(2011,6,9) + TIME(7,56,23)</f>
        <v>40703.330821759257</v>
      </c>
      <c r="C646">
        <v>70</v>
      </c>
      <c r="D646">
        <v>69.943672179999993</v>
      </c>
      <c r="E646">
        <v>40</v>
      </c>
      <c r="F646">
        <v>37.071830749999997</v>
      </c>
      <c r="G646">
        <v>1390.2425536999999</v>
      </c>
      <c r="H646">
        <v>1374.7597656</v>
      </c>
      <c r="I646">
        <v>1278.8022461</v>
      </c>
      <c r="J646">
        <v>1255.8680420000001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405.26720699999998</v>
      </c>
      <c r="B647" s="1">
        <f>DATE(2011,6,10) + TIME(6,24,46)</f>
        <v>40704.267199074071</v>
      </c>
      <c r="C647">
        <v>70</v>
      </c>
      <c r="D647">
        <v>69.943695067999997</v>
      </c>
      <c r="E647">
        <v>40</v>
      </c>
      <c r="F647">
        <v>37.015064240000001</v>
      </c>
      <c r="G647">
        <v>1390.1571045000001</v>
      </c>
      <c r="H647">
        <v>1374.6839600000001</v>
      </c>
      <c r="I647">
        <v>1278.7698975000001</v>
      </c>
      <c r="J647">
        <v>1255.8256836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406.205714</v>
      </c>
      <c r="B648" s="1">
        <f>DATE(2011,6,11) + TIME(4,56,13)</f>
        <v>40705.205706018518</v>
      </c>
      <c r="C648">
        <v>70</v>
      </c>
      <c r="D648">
        <v>69.943725585999999</v>
      </c>
      <c r="E648">
        <v>40</v>
      </c>
      <c r="F648">
        <v>36.957580565999997</v>
      </c>
      <c r="G648">
        <v>1390.0705565999999</v>
      </c>
      <c r="H648">
        <v>1374.6072998</v>
      </c>
      <c r="I648">
        <v>1278.7359618999999</v>
      </c>
      <c r="J648">
        <v>1255.78125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407.14633900000001</v>
      </c>
      <c r="B649" s="1">
        <f>DATE(2011,6,12) + TIME(3,30,43)</f>
        <v>40706.146331018521</v>
      </c>
      <c r="C649">
        <v>70</v>
      </c>
      <c r="D649">
        <v>69.943748474000003</v>
      </c>
      <c r="E649">
        <v>40</v>
      </c>
      <c r="F649">
        <v>36.899742126</v>
      </c>
      <c r="G649">
        <v>1389.9855957</v>
      </c>
      <c r="H649">
        <v>1374.5318603999999</v>
      </c>
      <c r="I649">
        <v>1278.7015381000001</v>
      </c>
      <c r="J649">
        <v>1255.7359618999999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408.09222299999999</v>
      </c>
      <c r="B650" s="1">
        <f>DATE(2011,6,13) + TIME(2,12,48)</f>
        <v>40707.092222222222</v>
      </c>
      <c r="C650">
        <v>70</v>
      </c>
      <c r="D650">
        <v>69.943778992000006</v>
      </c>
      <c r="E650">
        <v>40</v>
      </c>
      <c r="F650">
        <v>36.841617583999998</v>
      </c>
      <c r="G650">
        <v>1389.9018555</v>
      </c>
      <c r="H650">
        <v>1374.4576416</v>
      </c>
      <c r="I650">
        <v>1278.6663818</v>
      </c>
      <c r="J650">
        <v>1255.6896973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409.04647</v>
      </c>
      <c r="B651" s="1">
        <f>DATE(2011,6,14) + TIME(1,6,55)</f>
        <v>40708.046469907407</v>
      </c>
      <c r="C651">
        <v>70</v>
      </c>
      <c r="D651">
        <v>69.943809509000005</v>
      </c>
      <c r="E651">
        <v>40</v>
      </c>
      <c r="F651">
        <v>36.783134459999999</v>
      </c>
      <c r="G651">
        <v>1389.8192139</v>
      </c>
      <c r="H651">
        <v>1374.3842772999999</v>
      </c>
      <c r="I651">
        <v>1278.6304932</v>
      </c>
      <c r="J651">
        <v>1255.6420897999999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410.012203</v>
      </c>
      <c r="B652" s="1">
        <f>DATE(2011,6,15) + TIME(0,17,34)</f>
        <v>40709.012199074074</v>
      </c>
      <c r="C652">
        <v>70</v>
      </c>
      <c r="D652">
        <v>69.943840026999993</v>
      </c>
      <c r="E652">
        <v>40</v>
      </c>
      <c r="F652">
        <v>36.724147797000001</v>
      </c>
      <c r="G652">
        <v>1389.7374268000001</v>
      </c>
      <c r="H652">
        <v>1374.3116454999999</v>
      </c>
      <c r="I652">
        <v>1278.59375</v>
      </c>
      <c r="J652">
        <v>1255.5932617000001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410.99264599999998</v>
      </c>
      <c r="B653" s="1">
        <f>DATE(2011,6,15) + TIME(23,49,24)</f>
        <v>40709.992638888885</v>
      </c>
      <c r="C653">
        <v>70</v>
      </c>
      <c r="D653">
        <v>69.943870544000006</v>
      </c>
      <c r="E653">
        <v>40</v>
      </c>
      <c r="F653">
        <v>36.664482116999999</v>
      </c>
      <c r="G653">
        <v>1389.6560059000001</v>
      </c>
      <c r="H653">
        <v>1374.2393798999999</v>
      </c>
      <c r="I653">
        <v>1278.5560303</v>
      </c>
      <c r="J653">
        <v>1255.5428466999999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411.99117999999999</v>
      </c>
      <c r="B654" s="1">
        <f>DATE(2011,6,16) + TIME(23,47,17)</f>
        <v>40710.991168981483</v>
      </c>
      <c r="C654">
        <v>70</v>
      </c>
      <c r="D654">
        <v>69.943908691000004</v>
      </c>
      <c r="E654">
        <v>40</v>
      </c>
      <c r="F654">
        <v>36.603931426999999</v>
      </c>
      <c r="G654">
        <v>1389.5748291</v>
      </c>
      <c r="H654">
        <v>1374.1672363</v>
      </c>
      <c r="I654">
        <v>1278.5169678</v>
      </c>
      <c r="J654">
        <v>1255.4906006000001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413.011843</v>
      </c>
      <c r="B655" s="1">
        <f>DATE(2011,6,18) + TIME(0,17,3)</f>
        <v>40712.011840277781</v>
      </c>
      <c r="C655">
        <v>70</v>
      </c>
      <c r="D655">
        <v>69.943939209000007</v>
      </c>
      <c r="E655">
        <v>40</v>
      </c>
      <c r="F655">
        <v>36.542259215999998</v>
      </c>
      <c r="G655">
        <v>1389.4936522999999</v>
      </c>
      <c r="H655">
        <v>1374.0950928</v>
      </c>
      <c r="I655">
        <v>1278.4765625</v>
      </c>
      <c r="J655">
        <v>1255.4362793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414.05822000000001</v>
      </c>
      <c r="B656" s="1">
        <f>DATE(2011,6,19) + TIME(1,23,50)</f>
        <v>40713.058217592596</v>
      </c>
      <c r="C656">
        <v>70</v>
      </c>
      <c r="D656">
        <v>69.943977356000005</v>
      </c>
      <c r="E656">
        <v>40</v>
      </c>
      <c r="F656">
        <v>36.479225159000002</v>
      </c>
      <c r="G656">
        <v>1389.4121094</v>
      </c>
      <c r="H656">
        <v>1374.0224608999999</v>
      </c>
      <c r="I656">
        <v>1278.4345702999999</v>
      </c>
      <c r="J656">
        <v>1255.3795166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415.134659</v>
      </c>
      <c r="B657" s="1">
        <f>DATE(2011,6,20) + TIME(3,13,54)</f>
        <v>40714.134652777779</v>
      </c>
      <c r="C657">
        <v>70</v>
      </c>
      <c r="D657">
        <v>69.944015503000003</v>
      </c>
      <c r="E657">
        <v>40</v>
      </c>
      <c r="F657">
        <v>36.414562224999997</v>
      </c>
      <c r="G657">
        <v>1389.3298339999999</v>
      </c>
      <c r="H657">
        <v>1373.9494629000001</v>
      </c>
      <c r="I657">
        <v>1278.390625</v>
      </c>
      <c r="J657">
        <v>1255.3200684000001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416.228365</v>
      </c>
      <c r="B658" s="1">
        <f>DATE(2011,6,21) + TIME(5,28,50)</f>
        <v>40715.228356481479</v>
      </c>
      <c r="C658">
        <v>70</v>
      </c>
      <c r="D658">
        <v>69.944053650000001</v>
      </c>
      <c r="E658">
        <v>40</v>
      </c>
      <c r="F658">
        <v>36.348449707</v>
      </c>
      <c r="G658">
        <v>1389.2468262</v>
      </c>
      <c r="H658">
        <v>1373.8754882999999</v>
      </c>
      <c r="I658">
        <v>1278.3446045000001</v>
      </c>
      <c r="J658">
        <v>1255.2576904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417.32666599999999</v>
      </c>
      <c r="B659" s="1">
        <f>DATE(2011,6,22) + TIME(7,50,23)</f>
        <v>40716.326655092591</v>
      </c>
      <c r="C659">
        <v>70</v>
      </c>
      <c r="D659">
        <v>69.944091796999999</v>
      </c>
      <c r="E659">
        <v>40</v>
      </c>
      <c r="F659">
        <v>36.281372070000003</v>
      </c>
      <c r="G659">
        <v>1389.1638184000001</v>
      </c>
      <c r="H659">
        <v>1373.8016356999999</v>
      </c>
      <c r="I659">
        <v>1278.296875</v>
      </c>
      <c r="J659">
        <v>1255.192749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418.42919599999999</v>
      </c>
      <c r="B660" s="1">
        <f>DATE(2011,6,23) + TIME(10,18,2)</f>
        <v>40717.429189814815</v>
      </c>
      <c r="C660">
        <v>70</v>
      </c>
      <c r="D660">
        <v>69.944129943999997</v>
      </c>
      <c r="E660">
        <v>40</v>
      </c>
      <c r="F660">
        <v>36.213623046999999</v>
      </c>
      <c r="G660">
        <v>1389.0819091999999</v>
      </c>
      <c r="H660">
        <v>1373.7287598</v>
      </c>
      <c r="I660">
        <v>1278.2480469</v>
      </c>
      <c r="J660">
        <v>1255.1259766000001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419.53955999999999</v>
      </c>
      <c r="B661" s="1">
        <f>DATE(2011,6,24) + TIME(12,56,58)</f>
        <v>40718.539560185185</v>
      </c>
      <c r="C661">
        <v>70</v>
      </c>
      <c r="D661">
        <v>69.944168090999995</v>
      </c>
      <c r="E661">
        <v>40</v>
      </c>
      <c r="F661">
        <v>36.145221710000001</v>
      </c>
      <c r="G661">
        <v>1389.0010986</v>
      </c>
      <c r="H661">
        <v>1373.6568603999999</v>
      </c>
      <c r="I661">
        <v>1278.1979980000001</v>
      </c>
      <c r="J661">
        <v>1255.057251</v>
      </c>
      <c r="K661">
        <v>2400</v>
      </c>
      <c r="L661">
        <v>0</v>
      </c>
      <c r="M661">
        <v>0</v>
      </c>
      <c r="N661">
        <v>2400</v>
      </c>
    </row>
    <row r="662" spans="1:14" x14ac:dyDescent="0.25">
      <c r="A662">
        <v>420.66135600000001</v>
      </c>
      <c r="B662" s="1">
        <f>DATE(2011,6,25) + TIME(15,52,21)</f>
        <v>40719.661354166667</v>
      </c>
      <c r="C662">
        <v>70</v>
      </c>
      <c r="D662">
        <v>69.944206238000007</v>
      </c>
      <c r="E662">
        <v>40</v>
      </c>
      <c r="F662">
        <v>36.076038361000002</v>
      </c>
      <c r="G662">
        <v>1388.9211425999999</v>
      </c>
      <c r="H662">
        <v>1373.5855713000001</v>
      </c>
      <c r="I662">
        <v>1278.1467285000001</v>
      </c>
      <c r="J662">
        <v>1254.9863281</v>
      </c>
      <c r="K662">
        <v>2400</v>
      </c>
      <c r="L662">
        <v>0</v>
      </c>
      <c r="M662">
        <v>0</v>
      </c>
      <c r="N662">
        <v>2400</v>
      </c>
    </row>
    <row r="663" spans="1:14" x14ac:dyDescent="0.25">
      <c r="A663">
        <v>421.79826800000001</v>
      </c>
      <c r="B663" s="1">
        <f>DATE(2011,6,26) + TIME(19,9,30)</f>
        <v>40720.798263888886</v>
      </c>
      <c r="C663">
        <v>70</v>
      </c>
      <c r="D663">
        <v>69.944252014</v>
      </c>
      <c r="E663">
        <v>40</v>
      </c>
      <c r="F663">
        <v>36.005863189999999</v>
      </c>
      <c r="G663">
        <v>1388.8415527</v>
      </c>
      <c r="H663">
        <v>1373.5146483999999</v>
      </c>
      <c r="I663">
        <v>1278.0938721</v>
      </c>
      <c r="J663">
        <v>1254.9129639</v>
      </c>
      <c r="K663">
        <v>2400</v>
      </c>
      <c r="L663">
        <v>0</v>
      </c>
      <c r="M663">
        <v>0</v>
      </c>
      <c r="N663">
        <v>2400</v>
      </c>
    </row>
    <row r="664" spans="1:14" x14ac:dyDescent="0.25">
      <c r="A664">
        <v>422.95412800000003</v>
      </c>
      <c r="B664" s="1">
        <f>DATE(2011,6,27) + TIME(22,53,56)</f>
        <v>40721.95412037037</v>
      </c>
      <c r="C664">
        <v>70</v>
      </c>
      <c r="D664">
        <v>69.944297790999997</v>
      </c>
      <c r="E664">
        <v>40</v>
      </c>
      <c r="F664">
        <v>35.934452057000001</v>
      </c>
      <c r="G664">
        <v>1388.7623291</v>
      </c>
      <c r="H664">
        <v>1373.4439697</v>
      </c>
      <c r="I664">
        <v>1278.0391846</v>
      </c>
      <c r="J664">
        <v>1254.8367920000001</v>
      </c>
      <c r="K664">
        <v>2400</v>
      </c>
      <c r="L664">
        <v>0</v>
      </c>
      <c r="M664">
        <v>0</v>
      </c>
      <c r="N664">
        <v>2400</v>
      </c>
    </row>
    <row r="665" spans="1:14" x14ac:dyDescent="0.25">
      <c r="A665">
        <v>424.13312500000001</v>
      </c>
      <c r="B665" s="1">
        <f>DATE(2011,6,29) + TIME(3,11,41)</f>
        <v>40723.133113425924</v>
      </c>
      <c r="C665">
        <v>70</v>
      </c>
      <c r="D665">
        <v>69.944335937999995</v>
      </c>
      <c r="E665">
        <v>40</v>
      </c>
      <c r="F665">
        <v>35.861530303999999</v>
      </c>
      <c r="G665">
        <v>1388.6831055</v>
      </c>
      <c r="H665">
        <v>1373.3731689000001</v>
      </c>
      <c r="I665">
        <v>1277.9825439000001</v>
      </c>
      <c r="J665">
        <v>1254.7574463000001</v>
      </c>
      <c r="K665">
        <v>2400</v>
      </c>
      <c r="L665">
        <v>0</v>
      </c>
      <c r="M665">
        <v>0</v>
      </c>
      <c r="N665">
        <v>2400</v>
      </c>
    </row>
    <row r="666" spans="1:14" x14ac:dyDescent="0.25">
      <c r="A666">
        <v>425.33860099999998</v>
      </c>
      <c r="B666" s="1">
        <f>DATE(2011,6,30) + TIME(8,7,35)</f>
        <v>40724.338599537034</v>
      </c>
      <c r="C666">
        <v>70</v>
      </c>
      <c r="D666">
        <v>69.944389342999997</v>
      </c>
      <c r="E666">
        <v>40</v>
      </c>
      <c r="F666">
        <v>35.786819457999997</v>
      </c>
      <c r="G666">
        <v>1388.6035156</v>
      </c>
      <c r="H666">
        <v>1373.3022461</v>
      </c>
      <c r="I666">
        <v>1277.9234618999999</v>
      </c>
      <c r="J666">
        <v>1254.6744385</v>
      </c>
      <c r="K666">
        <v>2400</v>
      </c>
      <c r="L666">
        <v>0</v>
      </c>
      <c r="M666">
        <v>0</v>
      </c>
      <c r="N666">
        <v>2400</v>
      </c>
    </row>
    <row r="667" spans="1:14" x14ac:dyDescent="0.25">
      <c r="A667">
        <v>426</v>
      </c>
      <c r="B667" s="1">
        <f>DATE(2011,7,1) + TIME(0,0,0)</f>
        <v>40725</v>
      </c>
      <c r="C667">
        <v>70</v>
      </c>
      <c r="D667">
        <v>69.944404602000006</v>
      </c>
      <c r="E667">
        <v>40</v>
      </c>
      <c r="F667">
        <v>35.730640411000003</v>
      </c>
      <c r="G667">
        <v>1388.5233154</v>
      </c>
      <c r="H667">
        <v>1373.2305908000001</v>
      </c>
      <c r="I667">
        <v>1277.8603516000001</v>
      </c>
      <c r="J667">
        <v>1254.5935059000001</v>
      </c>
      <c r="K667">
        <v>2400</v>
      </c>
      <c r="L667">
        <v>0</v>
      </c>
      <c r="M667">
        <v>0</v>
      </c>
      <c r="N667">
        <v>2400</v>
      </c>
    </row>
    <row r="668" spans="1:14" x14ac:dyDescent="0.25">
      <c r="A668">
        <v>427.231967</v>
      </c>
      <c r="B668" s="1">
        <f>DATE(2011,7,2) + TIME(5,34,1)</f>
        <v>40726.231956018521</v>
      </c>
      <c r="C668">
        <v>70</v>
      </c>
      <c r="D668">
        <v>69.944458007999998</v>
      </c>
      <c r="E668">
        <v>40</v>
      </c>
      <c r="F668">
        <v>35.661830901999998</v>
      </c>
      <c r="G668">
        <v>1388.4799805</v>
      </c>
      <c r="H668">
        <v>1373.1917725000001</v>
      </c>
      <c r="I668">
        <v>1277.8273925999999</v>
      </c>
      <c r="J668">
        <v>1254.5360106999999</v>
      </c>
      <c r="K668">
        <v>2400</v>
      </c>
      <c r="L668">
        <v>0</v>
      </c>
      <c r="M668">
        <v>0</v>
      </c>
      <c r="N668">
        <v>2400</v>
      </c>
    </row>
    <row r="669" spans="1:14" x14ac:dyDescent="0.25">
      <c r="A669">
        <v>428.49004600000001</v>
      </c>
      <c r="B669" s="1">
        <f>DATE(2011,7,3) + TIME(11,45,39)</f>
        <v>40727.490034722221</v>
      </c>
      <c r="C669">
        <v>70</v>
      </c>
      <c r="D669">
        <v>69.944511414000004</v>
      </c>
      <c r="E669">
        <v>40</v>
      </c>
      <c r="F669">
        <v>35.586242675999998</v>
      </c>
      <c r="G669">
        <v>1388.4005127</v>
      </c>
      <c r="H669">
        <v>1373.1207274999999</v>
      </c>
      <c r="I669">
        <v>1277.7624512</v>
      </c>
      <c r="J669">
        <v>1254.4451904</v>
      </c>
      <c r="K669">
        <v>2400</v>
      </c>
      <c r="L669">
        <v>0</v>
      </c>
      <c r="M669">
        <v>0</v>
      </c>
      <c r="N669">
        <v>2400</v>
      </c>
    </row>
    <row r="670" spans="1:14" x14ac:dyDescent="0.25">
      <c r="A670">
        <v>429.76077199999997</v>
      </c>
      <c r="B670" s="1">
        <f>DATE(2011,7,4) + TIME(18,15,30)</f>
        <v>40728.760763888888</v>
      </c>
      <c r="C670">
        <v>70</v>
      </c>
      <c r="D670">
        <v>69.944557189999998</v>
      </c>
      <c r="E670">
        <v>40</v>
      </c>
      <c r="F670">
        <v>35.506809234999999</v>
      </c>
      <c r="G670">
        <v>1388.3203125</v>
      </c>
      <c r="H670">
        <v>1373.0490723</v>
      </c>
      <c r="I670">
        <v>1277.6948242000001</v>
      </c>
      <c r="J670">
        <v>1254.3492432</v>
      </c>
      <c r="K670">
        <v>2400</v>
      </c>
      <c r="L670">
        <v>0</v>
      </c>
      <c r="M670">
        <v>0</v>
      </c>
      <c r="N670">
        <v>2400</v>
      </c>
    </row>
    <row r="671" spans="1:14" x14ac:dyDescent="0.25">
      <c r="A671">
        <v>431.03900700000003</v>
      </c>
      <c r="B671" s="1">
        <f>DATE(2011,7,6) + TIME(0,56,10)</f>
        <v>40730.039004629631</v>
      </c>
      <c r="C671">
        <v>70</v>
      </c>
      <c r="D671">
        <v>69.944610596000004</v>
      </c>
      <c r="E671">
        <v>40</v>
      </c>
      <c r="F671">
        <v>35.425064087000003</v>
      </c>
      <c r="G671">
        <v>1388.2407227000001</v>
      </c>
      <c r="H671">
        <v>1372.9777832</v>
      </c>
      <c r="I671">
        <v>1277.6248779</v>
      </c>
      <c r="J671">
        <v>1254.2492675999999</v>
      </c>
      <c r="K671">
        <v>2400</v>
      </c>
      <c r="L671">
        <v>0</v>
      </c>
      <c r="M671">
        <v>0</v>
      </c>
      <c r="N671">
        <v>2400</v>
      </c>
    </row>
    <row r="672" spans="1:14" x14ac:dyDescent="0.25">
      <c r="A672">
        <v>432.32808199999999</v>
      </c>
      <c r="B672" s="1">
        <f>DATE(2011,7,7) + TIME(7,52,26)</f>
        <v>40731.3280787037</v>
      </c>
      <c r="C672">
        <v>70</v>
      </c>
      <c r="D672">
        <v>69.944664001000007</v>
      </c>
      <c r="E672">
        <v>40</v>
      </c>
      <c r="F672">
        <v>35.341590881000002</v>
      </c>
      <c r="G672">
        <v>1388.1617432</v>
      </c>
      <c r="H672">
        <v>1372.9071045000001</v>
      </c>
      <c r="I672">
        <v>1277.5531006000001</v>
      </c>
      <c r="J672">
        <v>1254.145874</v>
      </c>
      <c r="K672">
        <v>2400</v>
      </c>
      <c r="L672">
        <v>0</v>
      </c>
      <c r="M672">
        <v>0</v>
      </c>
      <c r="N672">
        <v>2400</v>
      </c>
    </row>
    <row r="673" spans="1:14" x14ac:dyDescent="0.25">
      <c r="A673">
        <v>433.63216899999998</v>
      </c>
      <c r="B673" s="1">
        <f>DATE(2011,7,8) + TIME(15,10,19)</f>
        <v>40732.632164351853</v>
      </c>
      <c r="C673">
        <v>70</v>
      </c>
      <c r="D673">
        <v>69.944709778000004</v>
      </c>
      <c r="E673">
        <v>40</v>
      </c>
      <c r="F673">
        <v>35.256454468000001</v>
      </c>
      <c r="G673">
        <v>1388.0834961</v>
      </c>
      <c r="H673">
        <v>1372.8370361</v>
      </c>
      <c r="I673">
        <v>1277.4792480000001</v>
      </c>
      <c r="J673">
        <v>1254.0388184000001</v>
      </c>
      <c r="K673">
        <v>2400</v>
      </c>
      <c r="L673">
        <v>0</v>
      </c>
      <c r="M673">
        <v>0</v>
      </c>
      <c r="N673">
        <v>2400</v>
      </c>
    </row>
    <row r="674" spans="1:14" x14ac:dyDescent="0.25">
      <c r="A674">
        <v>434.95391899999998</v>
      </c>
      <c r="B674" s="1">
        <f>DATE(2011,7,9) + TIME(22,53,38)</f>
        <v>40733.953912037039</v>
      </c>
      <c r="C674">
        <v>70</v>
      </c>
      <c r="D674">
        <v>69.944763183999996</v>
      </c>
      <c r="E674">
        <v>40</v>
      </c>
      <c r="F674">
        <v>35.169532775999997</v>
      </c>
      <c r="G674">
        <v>1388.0054932</v>
      </c>
      <c r="H674">
        <v>1372.7670897999999</v>
      </c>
      <c r="I674">
        <v>1277.4029541</v>
      </c>
      <c r="J674">
        <v>1253.9277344</v>
      </c>
      <c r="K674">
        <v>2400</v>
      </c>
      <c r="L674">
        <v>0</v>
      </c>
      <c r="M674">
        <v>0</v>
      </c>
      <c r="N674">
        <v>2400</v>
      </c>
    </row>
    <row r="675" spans="1:14" x14ac:dyDescent="0.25">
      <c r="A675">
        <v>436.29503399999999</v>
      </c>
      <c r="B675" s="1">
        <f>DATE(2011,7,11) + TIME(7,4,50)</f>
        <v>40735.295023148145</v>
      </c>
      <c r="C675">
        <v>70</v>
      </c>
      <c r="D675">
        <v>69.944824218999997</v>
      </c>
      <c r="E675">
        <v>40</v>
      </c>
      <c r="F675">
        <v>35.080654144</v>
      </c>
      <c r="G675">
        <v>1387.9277344</v>
      </c>
      <c r="H675">
        <v>1372.6972656</v>
      </c>
      <c r="I675">
        <v>1277.3239745999999</v>
      </c>
      <c r="J675">
        <v>1253.8122559000001</v>
      </c>
      <c r="K675">
        <v>2400</v>
      </c>
      <c r="L675">
        <v>0</v>
      </c>
      <c r="M675">
        <v>0</v>
      </c>
      <c r="N675">
        <v>2400</v>
      </c>
    </row>
    <row r="676" spans="1:14" x14ac:dyDescent="0.25">
      <c r="A676">
        <v>437.660031</v>
      </c>
      <c r="B676" s="1">
        <f>DATE(2011,7,12) + TIME(15,50,26)</f>
        <v>40736.66002314815</v>
      </c>
      <c r="C676">
        <v>70</v>
      </c>
      <c r="D676">
        <v>69.944877625000004</v>
      </c>
      <c r="E676">
        <v>40</v>
      </c>
      <c r="F676">
        <v>34.989566803000002</v>
      </c>
      <c r="G676">
        <v>1387.8499756000001</v>
      </c>
      <c r="H676">
        <v>1372.6275635</v>
      </c>
      <c r="I676">
        <v>1277.2423096</v>
      </c>
      <c r="J676">
        <v>1253.6921387</v>
      </c>
      <c r="K676">
        <v>2400</v>
      </c>
      <c r="L676">
        <v>0</v>
      </c>
      <c r="M676">
        <v>0</v>
      </c>
      <c r="N676">
        <v>2400</v>
      </c>
    </row>
    <row r="677" spans="1:14" x14ac:dyDescent="0.25">
      <c r="A677">
        <v>439.05379900000003</v>
      </c>
      <c r="B677" s="1">
        <f>DATE(2011,7,14) + TIME(1,17,28)</f>
        <v>40738.053796296299</v>
      </c>
      <c r="C677">
        <v>70</v>
      </c>
      <c r="D677">
        <v>69.944931030000006</v>
      </c>
      <c r="E677">
        <v>40</v>
      </c>
      <c r="F677">
        <v>34.895935059000003</v>
      </c>
      <c r="G677">
        <v>1387.7719727000001</v>
      </c>
      <c r="H677">
        <v>1372.5576172000001</v>
      </c>
      <c r="I677">
        <v>1277.1575928</v>
      </c>
      <c r="J677">
        <v>1253.5667725000001</v>
      </c>
      <c r="K677">
        <v>2400</v>
      </c>
      <c r="L677">
        <v>0</v>
      </c>
      <c r="M677">
        <v>0</v>
      </c>
      <c r="N677">
        <v>2400</v>
      </c>
    </row>
    <row r="678" spans="1:14" x14ac:dyDescent="0.25">
      <c r="A678">
        <v>440.465238</v>
      </c>
      <c r="B678" s="1">
        <f>DATE(2011,7,15) + TIME(11,9,56)</f>
        <v>40739.465231481481</v>
      </c>
      <c r="C678">
        <v>70</v>
      </c>
      <c r="D678">
        <v>69.944992064999994</v>
      </c>
      <c r="E678">
        <v>40</v>
      </c>
      <c r="F678">
        <v>34.799797058000003</v>
      </c>
      <c r="G678">
        <v>1387.6936035000001</v>
      </c>
      <c r="H678">
        <v>1372.4871826000001</v>
      </c>
      <c r="I678">
        <v>1277.0692139</v>
      </c>
      <c r="J678">
        <v>1253.4357910000001</v>
      </c>
      <c r="K678">
        <v>2400</v>
      </c>
      <c r="L678">
        <v>0</v>
      </c>
      <c r="M678">
        <v>0</v>
      </c>
      <c r="N678">
        <v>2400</v>
      </c>
    </row>
    <row r="679" spans="1:14" x14ac:dyDescent="0.25">
      <c r="A679">
        <v>441.88567699999999</v>
      </c>
      <c r="B679" s="1">
        <f>DATE(2011,7,16) + TIME(21,15,22)</f>
        <v>40740.885671296295</v>
      </c>
      <c r="C679">
        <v>70</v>
      </c>
      <c r="D679">
        <v>69.945053100999999</v>
      </c>
      <c r="E679">
        <v>40</v>
      </c>
      <c r="F679">
        <v>34.701515198000003</v>
      </c>
      <c r="G679">
        <v>1387.6154785000001</v>
      </c>
      <c r="H679">
        <v>1372.4168701000001</v>
      </c>
      <c r="I679">
        <v>1276.9779053</v>
      </c>
      <c r="J679">
        <v>1253.2998047000001</v>
      </c>
      <c r="K679">
        <v>2400</v>
      </c>
      <c r="L679">
        <v>0</v>
      </c>
      <c r="M679">
        <v>0</v>
      </c>
      <c r="N679">
        <v>2400</v>
      </c>
    </row>
    <row r="680" spans="1:14" x14ac:dyDescent="0.25">
      <c r="A680">
        <v>443.31967100000003</v>
      </c>
      <c r="B680" s="1">
        <f>DATE(2011,7,18) + TIME(7,40,19)</f>
        <v>40742.319664351853</v>
      </c>
      <c r="C680">
        <v>70</v>
      </c>
      <c r="D680">
        <v>69.945114136000001</v>
      </c>
      <c r="E680">
        <v>40</v>
      </c>
      <c r="F680">
        <v>34.601222991999997</v>
      </c>
      <c r="G680">
        <v>1387.5379639</v>
      </c>
      <c r="H680">
        <v>1372.347168</v>
      </c>
      <c r="I680">
        <v>1276.8842772999999</v>
      </c>
      <c r="J680">
        <v>1253.1594238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444.77183200000002</v>
      </c>
      <c r="B681" s="1">
        <f>DATE(2011,7,19) + TIME(18,31,26)</f>
        <v>40743.771828703706</v>
      </c>
      <c r="C681">
        <v>70</v>
      </c>
      <c r="D681">
        <v>69.945175171000002</v>
      </c>
      <c r="E681">
        <v>40</v>
      </c>
      <c r="F681">
        <v>34.498737335000001</v>
      </c>
      <c r="G681">
        <v>1387.4608154</v>
      </c>
      <c r="H681">
        <v>1372.277832</v>
      </c>
      <c r="I681">
        <v>1276.7879639</v>
      </c>
      <c r="J681">
        <v>1253.0141602000001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446.24464499999999</v>
      </c>
      <c r="B682" s="1">
        <f>DATE(2011,7,21) + TIME(5,52,17)</f>
        <v>40745.244641203702</v>
      </c>
      <c r="C682">
        <v>70</v>
      </c>
      <c r="D682">
        <v>69.945236206000004</v>
      </c>
      <c r="E682">
        <v>40</v>
      </c>
      <c r="F682">
        <v>34.393806458</v>
      </c>
      <c r="G682">
        <v>1387.3839111</v>
      </c>
      <c r="H682">
        <v>1372.2084961</v>
      </c>
      <c r="I682">
        <v>1276.6884766000001</v>
      </c>
      <c r="J682">
        <v>1252.8636475000001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447.73211700000002</v>
      </c>
      <c r="B683" s="1">
        <f>DATE(2011,7,22) + TIME(17,34,14)</f>
        <v>40746.732106481482</v>
      </c>
      <c r="C683">
        <v>70</v>
      </c>
      <c r="D683">
        <v>69.945297241000006</v>
      </c>
      <c r="E683">
        <v>40</v>
      </c>
      <c r="F683">
        <v>34.286411285</v>
      </c>
      <c r="G683">
        <v>1387.3070068</v>
      </c>
      <c r="H683">
        <v>1372.1392822</v>
      </c>
      <c r="I683">
        <v>1276.5858154</v>
      </c>
      <c r="J683">
        <v>1252.7075195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449.23900700000002</v>
      </c>
      <c r="B684" s="1">
        <f>DATE(2011,7,24) + TIME(5,44,10)</f>
        <v>40748.239004629628</v>
      </c>
      <c r="C684">
        <v>70</v>
      </c>
      <c r="D684">
        <v>69.945365906000006</v>
      </c>
      <c r="E684">
        <v>40</v>
      </c>
      <c r="F684">
        <v>34.176494597999998</v>
      </c>
      <c r="G684">
        <v>1387.2304687999999</v>
      </c>
      <c r="H684">
        <v>1372.0701904</v>
      </c>
      <c r="I684">
        <v>1276.4802245999999</v>
      </c>
      <c r="J684">
        <v>1252.5461425999999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450.77022299999999</v>
      </c>
      <c r="B685" s="1">
        <f>DATE(2011,7,25) + TIME(18,29,7)</f>
        <v>40749.770219907405</v>
      </c>
      <c r="C685">
        <v>70</v>
      </c>
      <c r="D685">
        <v>69.945426940999994</v>
      </c>
      <c r="E685">
        <v>40</v>
      </c>
      <c r="F685">
        <v>34.063762664999999</v>
      </c>
      <c r="G685">
        <v>1387.1540527</v>
      </c>
      <c r="H685">
        <v>1372.0012207</v>
      </c>
      <c r="I685">
        <v>1276.3713379000001</v>
      </c>
      <c r="J685">
        <v>1252.3787841999999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452.33100000000002</v>
      </c>
      <c r="B686" s="1">
        <f>DATE(2011,7,27) + TIME(7,56,38)</f>
        <v>40751.330995370372</v>
      </c>
      <c r="C686">
        <v>70</v>
      </c>
      <c r="D686">
        <v>69.945495605000005</v>
      </c>
      <c r="E686">
        <v>40</v>
      </c>
      <c r="F686">
        <v>33.947837829999997</v>
      </c>
      <c r="G686">
        <v>1387.0775146000001</v>
      </c>
      <c r="H686">
        <v>1371.9321289</v>
      </c>
      <c r="I686">
        <v>1276.2587891000001</v>
      </c>
      <c r="J686">
        <v>1252.2050781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453.90093400000001</v>
      </c>
      <c r="B687" s="1">
        <f>DATE(2011,7,28) + TIME(21,37,20)</f>
        <v>40752.900925925926</v>
      </c>
      <c r="C687">
        <v>70</v>
      </c>
      <c r="D687">
        <v>69.945564270000006</v>
      </c>
      <c r="E687">
        <v>40</v>
      </c>
      <c r="F687">
        <v>33.828983307000001</v>
      </c>
      <c r="G687">
        <v>1387.0004882999999</v>
      </c>
      <c r="H687">
        <v>1371.8625488</v>
      </c>
      <c r="I687">
        <v>1276.1422118999999</v>
      </c>
      <c r="J687">
        <v>1252.0245361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455.48090100000002</v>
      </c>
      <c r="B688" s="1">
        <f>DATE(2011,7,30) + TIME(11,32,29)</f>
        <v>40754.480891203704</v>
      </c>
      <c r="C688">
        <v>70</v>
      </c>
      <c r="D688">
        <v>69.945632935000006</v>
      </c>
      <c r="E688">
        <v>40</v>
      </c>
      <c r="F688">
        <v>33.707672119000001</v>
      </c>
      <c r="G688">
        <v>1386.9241943</v>
      </c>
      <c r="H688">
        <v>1371.7935791</v>
      </c>
      <c r="I688">
        <v>1276.0229492000001</v>
      </c>
      <c r="J688">
        <v>1251.8387451000001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457</v>
      </c>
      <c r="B689" s="1">
        <f>DATE(2011,8,1) + TIME(0,0,0)</f>
        <v>40756</v>
      </c>
      <c r="C689">
        <v>70</v>
      </c>
      <c r="D689">
        <v>69.945693969999994</v>
      </c>
      <c r="E689">
        <v>40</v>
      </c>
      <c r="F689">
        <v>33.586116791000002</v>
      </c>
      <c r="G689">
        <v>1386.8483887</v>
      </c>
      <c r="H689">
        <v>1371.7249756000001</v>
      </c>
      <c r="I689">
        <v>1275.9011230000001</v>
      </c>
      <c r="J689">
        <v>1251.6489257999999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458.59492899999998</v>
      </c>
      <c r="B690" s="1">
        <f>DATE(2011,8,2) + TIME(14,16,41)</f>
        <v>40757.594918981478</v>
      </c>
      <c r="C690">
        <v>70</v>
      </c>
      <c r="D690">
        <v>69.945762634000005</v>
      </c>
      <c r="E690">
        <v>40</v>
      </c>
      <c r="F690">
        <v>33.462657927999999</v>
      </c>
      <c r="G690">
        <v>1386.7764893000001</v>
      </c>
      <c r="H690">
        <v>1371.6599120999999</v>
      </c>
      <c r="I690">
        <v>1275.7819824000001</v>
      </c>
      <c r="J690">
        <v>1251.4597168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460.23387000000002</v>
      </c>
      <c r="B691" s="1">
        <f>DATE(2011,8,4) + TIME(5,36,46)</f>
        <v>40759.233865740738</v>
      </c>
      <c r="C691">
        <v>70</v>
      </c>
      <c r="D691">
        <v>69.945831299000005</v>
      </c>
      <c r="E691">
        <v>40</v>
      </c>
      <c r="F691">
        <v>33.334762572999999</v>
      </c>
      <c r="G691">
        <v>1386.7020264</v>
      </c>
      <c r="H691">
        <v>1371.5925293</v>
      </c>
      <c r="I691">
        <v>1275.6555175999999</v>
      </c>
      <c r="J691">
        <v>1251.2596435999999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461.90329600000001</v>
      </c>
      <c r="B692" s="1">
        <f>DATE(2011,8,5) + TIME(21,40,44)</f>
        <v>40760.903287037036</v>
      </c>
      <c r="C692">
        <v>70</v>
      </c>
      <c r="D692">
        <v>69.945907593000001</v>
      </c>
      <c r="E692">
        <v>40</v>
      </c>
      <c r="F692">
        <v>33.202449799</v>
      </c>
      <c r="G692">
        <v>1386.6265868999999</v>
      </c>
      <c r="H692">
        <v>1371.5240478999999</v>
      </c>
      <c r="I692">
        <v>1275.5239257999999</v>
      </c>
      <c r="J692">
        <v>1251.0505370999999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463.59414600000002</v>
      </c>
      <c r="B693" s="1">
        <f>DATE(2011,8,7) + TIME(14,15,34)</f>
        <v>40762.594143518516</v>
      </c>
      <c r="C693">
        <v>70</v>
      </c>
      <c r="D693">
        <v>69.945983886999997</v>
      </c>
      <c r="E693">
        <v>40</v>
      </c>
      <c r="F693">
        <v>33.066280364999997</v>
      </c>
      <c r="G693">
        <v>1386.5506591999999</v>
      </c>
      <c r="H693">
        <v>1371.4552002</v>
      </c>
      <c r="I693">
        <v>1275.3880615</v>
      </c>
      <c r="J693">
        <v>1250.8336182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465.30444699999998</v>
      </c>
      <c r="B694" s="1">
        <f>DATE(2011,8,9) + TIME(7,18,24)</f>
        <v>40764.304444444446</v>
      </c>
      <c r="C694">
        <v>70</v>
      </c>
      <c r="D694">
        <v>69.946052550999994</v>
      </c>
      <c r="E694">
        <v>40</v>
      </c>
      <c r="F694">
        <v>32.926734924000002</v>
      </c>
      <c r="G694">
        <v>1386.4747314000001</v>
      </c>
      <c r="H694">
        <v>1371.3862305</v>
      </c>
      <c r="I694">
        <v>1275.2486572</v>
      </c>
      <c r="J694">
        <v>1250.6099853999999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467.02906400000001</v>
      </c>
      <c r="B695" s="1">
        <f>DATE(2011,8,11) + TIME(0,41,51)</f>
        <v>40766.029062499998</v>
      </c>
      <c r="C695">
        <v>70</v>
      </c>
      <c r="D695">
        <v>69.946128845000004</v>
      </c>
      <c r="E695">
        <v>40</v>
      </c>
      <c r="F695">
        <v>32.784217834000003</v>
      </c>
      <c r="G695">
        <v>1386.3989257999999</v>
      </c>
      <c r="H695">
        <v>1371.3173827999999</v>
      </c>
      <c r="I695">
        <v>1275.1060791</v>
      </c>
      <c r="J695">
        <v>1250.3798827999999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468.76632699999999</v>
      </c>
      <c r="B696" s="1">
        <f>DATE(2011,8,12) + TIME(18,23,30)</f>
        <v>40767.766319444447</v>
      </c>
      <c r="C696">
        <v>70</v>
      </c>
      <c r="D696">
        <v>69.946205139</v>
      </c>
      <c r="E696">
        <v>40</v>
      </c>
      <c r="F696">
        <v>32.639095306000002</v>
      </c>
      <c r="G696">
        <v>1386.3234863</v>
      </c>
      <c r="H696">
        <v>1371.2487793</v>
      </c>
      <c r="I696">
        <v>1274.9608154</v>
      </c>
      <c r="J696">
        <v>1250.1441649999999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470.51579700000002</v>
      </c>
      <c r="B697" s="1">
        <f>DATE(2011,8,14) + TIME(12,22,44)</f>
        <v>40769.515787037039</v>
      </c>
      <c r="C697">
        <v>70</v>
      </c>
      <c r="D697">
        <v>69.946281432999996</v>
      </c>
      <c r="E697">
        <v>40</v>
      </c>
      <c r="F697">
        <v>32.491569519000002</v>
      </c>
      <c r="G697">
        <v>1386.2484131000001</v>
      </c>
      <c r="H697">
        <v>1371.1805420000001</v>
      </c>
      <c r="I697">
        <v>1274.8129882999999</v>
      </c>
      <c r="J697">
        <v>1249.9029541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472.28284600000001</v>
      </c>
      <c r="B698" s="1">
        <f>DATE(2011,8,16) + TIME(6,47,17)</f>
        <v>40771.282835648148</v>
      </c>
      <c r="C698">
        <v>70</v>
      </c>
      <c r="D698">
        <v>69.946357727000006</v>
      </c>
      <c r="E698">
        <v>40</v>
      </c>
      <c r="F698">
        <v>32.341594696000001</v>
      </c>
      <c r="G698">
        <v>1386.1738281</v>
      </c>
      <c r="H698">
        <v>1371.1125488</v>
      </c>
      <c r="I698">
        <v>1274.6628418</v>
      </c>
      <c r="J698">
        <v>1249.6566161999999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474.07298700000001</v>
      </c>
      <c r="B699" s="1">
        <f>DATE(2011,8,18) + TIME(1,45,6)</f>
        <v>40773.07298611111</v>
      </c>
      <c r="C699">
        <v>70</v>
      </c>
      <c r="D699">
        <v>69.946434021000002</v>
      </c>
      <c r="E699">
        <v>40</v>
      </c>
      <c r="F699">
        <v>32.188907622999999</v>
      </c>
      <c r="G699">
        <v>1386.0993652</v>
      </c>
      <c r="H699">
        <v>1371.0446777</v>
      </c>
      <c r="I699">
        <v>1274.5100098</v>
      </c>
      <c r="J699">
        <v>1249.4045410000001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475.892</v>
      </c>
      <c r="B700" s="1">
        <f>DATE(2011,8,19) + TIME(21,24,28)</f>
        <v>40774.89199074074</v>
      </c>
      <c r="C700">
        <v>70</v>
      </c>
      <c r="D700">
        <v>69.946517943999993</v>
      </c>
      <c r="E700">
        <v>40</v>
      </c>
      <c r="F700">
        <v>32.033126830999997</v>
      </c>
      <c r="G700">
        <v>1386.0247803</v>
      </c>
      <c r="H700">
        <v>1370.9765625</v>
      </c>
      <c r="I700">
        <v>1274.354126</v>
      </c>
      <c r="J700">
        <v>1249.1459961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477.74004600000001</v>
      </c>
      <c r="B701" s="1">
        <f>DATE(2011,8,21) + TIME(17,45,39)</f>
        <v>40776.740034722221</v>
      </c>
      <c r="C701">
        <v>70</v>
      </c>
      <c r="D701">
        <v>69.946594238000003</v>
      </c>
      <c r="E701">
        <v>40</v>
      </c>
      <c r="F701">
        <v>31.873981476000001</v>
      </c>
      <c r="G701">
        <v>1385.9498291</v>
      </c>
      <c r="H701">
        <v>1370.9082031</v>
      </c>
      <c r="I701">
        <v>1274.1948242000001</v>
      </c>
      <c r="J701">
        <v>1248.8804932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479.60272900000001</v>
      </c>
      <c r="B702" s="1">
        <f>DATE(2011,8,23) + TIME(14,27,55)</f>
        <v>40778.602719907409</v>
      </c>
      <c r="C702">
        <v>70</v>
      </c>
      <c r="D702">
        <v>69.946678161999998</v>
      </c>
      <c r="E702">
        <v>40</v>
      </c>
      <c r="F702">
        <v>31.711830139</v>
      </c>
      <c r="G702">
        <v>1385.8746338000001</v>
      </c>
      <c r="H702">
        <v>1370.8394774999999</v>
      </c>
      <c r="I702">
        <v>1274.0323486</v>
      </c>
      <c r="J702">
        <v>1248.6082764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481.479084</v>
      </c>
      <c r="B703" s="1">
        <f>DATE(2011,8,25) + TIME(11,29,52)</f>
        <v>40780.479074074072</v>
      </c>
      <c r="C703">
        <v>70</v>
      </c>
      <c r="D703">
        <v>69.946762085000003</v>
      </c>
      <c r="E703">
        <v>40</v>
      </c>
      <c r="F703">
        <v>31.547327041999999</v>
      </c>
      <c r="G703">
        <v>1385.7996826000001</v>
      </c>
      <c r="H703">
        <v>1370.7709961</v>
      </c>
      <c r="I703">
        <v>1273.8679199000001</v>
      </c>
      <c r="J703">
        <v>1248.3311768000001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483.37493799999999</v>
      </c>
      <c r="B704" s="1">
        <f>DATE(2011,8,27) + TIME(8,59,54)</f>
        <v>40782.374930555554</v>
      </c>
      <c r="C704">
        <v>70</v>
      </c>
      <c r="D704">
        <v>69.946846007999994</v>
      </c>
      <c r="E704">
        <v>40</v>
      </c>
      <c r="F704">
        <v>31.380645752</v>
      </c>
      <c r="G704">
        <v>1385.7249756000001</v>
      </c>
      <c r="H704">
        <v>1370.7026367000001</v>
      </c>
      <c r="I704">
        <v>1273.7020264</v>
      </c>
      <c r="J704">
        <v>1248.0495605000001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485.291087</v>
      </c>
      <c r="B705" s="1">
        <f>DATE(2011,8,29) + TIME(6,59,9)</f>
        <v>40784.291076388887</v>
      </c>
      <c r="C705">
        <v>70</v>
      </c>
      <c r="D705">
        <v>69.946929932000003</v>
      </c>
      <c r="E705">
        <v>40</v>
      </c>
      <c r="F705">
        <v>31.211744308</v>
      </c>
      <c r="G705">
        <v>1385.6502685999999</v>
      </c>
      <c r="H705">
        <v>1370.6342772999999</v>
      </c>
      <c r="I705">
        <v>1273.5341797000001</v>
      </c>
      <c r="J705">
        <v>1247.7631836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487.22309999999999</v>
      </c>
      <c r="B706" s="1">
        <f>DATE(2011,8,31) + TIME(5,21,15)</f>
        <v>40786.223090277781</v>
      </c>
      <c r="C706">
        <v>70</v>
      </c>
      <c r="D706">
        <v>69.947013854999994</v>
      </c>
      <c r="E706">
        <v>40</v>
      </c>
      <c r="F706">
        <v>31.040822983000002</v>
      </c>
      <c r="G706">
        <v>1385.5755615</v>
      </c>
      <c r="H706">
        <v>1370.5657959</v>
      </c>
      <c r="I706">
        <v>1273.3647461</v>
      </c>
      <c r="J706">
        <v>1247.4722899999999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488</v>
      </c>
      <c r="B707" s="1">
        <f>DATE(2011,9,1) + TIME(0,0,0)</f>
        <v>40787</v>
      </c>
      <c r="C707">
        <v>70</v>
      </c>
      <c r="D707">
        <v>69.947036742999998</v>
      </c>
      <c r="E707">
        <v>40</v>
      </c>
      <c r="F707">
        <v>30.923852921000002</v>
      </c>
      <c r="G707">
        <v>1385.5009766000001</v>
      </c>
      <c r="H707">
        <v>1370.4973144999999</v>
      </c>
      <c r="I707">
        <v>1273.1973877</v>
      </c>
      <c r="J707">
        <v>1247.2141113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489.954275</v>
      </c>
      <c r="B708" s="1">
        <f>DATE(2011,9,2) + TIME(22,54,9)</f>
        <v>40788.954270833332</v>
      </c>
      <c r="C708">
        <v>70</v>
      </c>
      <c r="D708">
        <v>69.947128296000002</v>
      </c>
      <c r="E708">
        <v>40</v>
      </c>
      <c r="F708">
        <v>30.783618926999999</v>
      </c>
      <c r="G708">
        <v>1385.4710693</v>
      </c>
      <c r="H708">
        <v>1370.4697266000001</v>
      </c>
      <c r="I708">
        <v>1273.1221923999999</v>
      </c>
      <c r="J708">
        <v>1247.0441894999999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491.948083</v>
      </c>
      <c r="B709" s="1">
        <f>DATE(2011,9,4) + TIME(22,45,14)</f>
        <v>40790.948078703703</v>
      </c>
      <c r="C709">
        <v>70</v>
      </c>
      <c r="D709">
        <v>69.947219849000007</v>
      </c>
      <c r="E709">
        <v>40</v>
      </c>
      <c r="F709">
        <v>30.618909836</v>
      </c>
      <c r="G709">
        <v>1385.3968506000001</v>
      </c>
      <c r="H709">
        <v>1370.4017334</v>
      </c>
      <c r="I709">
        <v>1272.9534911999999</v>
      </c>
      <c r="J709">
        <v>1246.755249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493.96382599999998</v>
      </c>
      <c r="B710" s="1">
        <f>DATE(2011,9,6) + TIME(23,7,54)</f>
        <v>40792.963819444441</v>
      </c>
      <c r="C710">
        <v>70</v>
      </c>
      <c r="D710">
        <v>69.947303771999998</v>
      </c>
      <c r="E710">
        <v>40</v>
      </c>
      <c r="F710">
        <v>30.444862365999999</v>
      </c>
      <c r="G710">
        <v>1385.3217772999999</v>
      </c>
      <c r="H710">
        <v>1370.3326416</v>
      </c>
      <c r="I710">
        <v>1272.7805175999999</v>
      </c>
      <c r="J710">
        <v>1246.4534911999999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495.989868</v>
      </c>
      <c r="B711" s="1">
        <f>DATE(2011,9,8) + TIME(23,45,24)</f>
        <v>40794.989861111113</v>
      </c>
      <c r="C711">
        <v>70</v>
      </c>
      <c r="D711">
        <v>69.947395325000002</v>
      </c>
      <c r="E711">
        <v>40</v>
      </c>
      <c r="F711">
        <v>30.267467498999999</v>
      </c>
      <c r="G711">
        <v>1385.2464600000001</v>
      </c>
      <c r="H711">
        <v>1370.2633057</v>
      </c>
      <c r="I711">
        <v>1272.6065673999999</v>
      </c>
      <c r="J711">
        <v>1246.1466064000001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498.03309400000001</v>
      </c>
      <c r="B712" s="1">
        <f>DATE(2011,9,11) + TIME(0,47,39)</f>
        <v>40797.033090277779</v>
      </c>
      <c r="C712">
        <v>70</v>
      </c>
      <c r="D712">
        <v>69.947479247999993</v>
      </c>
      <c r="E712">
        <v>40</v>
      </c>
      <c r="F712">
        <v>30.089090346999999</v>
      </c>
      <c r="G712">
        <v>1385.1715088000001</v>
      </c>
      <c r="H712">
        <v>1370.1942139</v>
      </c>
      <c r="I712">
        <v>1272.4333495999999</v>
      </c>
      <c r="J712">
        <v>1245.8380127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500.08960000000002</v>
      </c>
      <c r="B713" s="1">
        <f>DATE(2011,9,13) + TIME(2,9,1)</f>
        <v>40799.089594907404</v>
      </c>
      <c r="C713">
        <v>70</v>
      </c>
      <c r="D713">
        <v>69.947570800999998</v>
      </c>
      <c r="E713">
        <v>40</v>
      </c>
      <c r="F713">
        <v>29.910631179999999</v>
      </c>
      <c r="G713">
        <v>1385.0965576000001</v>
      </c>
      <c r="H713">
        <v>1370.1251221</v>
      </c>
      <c r="I713">
        <v>1272.2608643000001</v>
      </c>
      <c r="J713">
        <v>1245.5283202999999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502.158953</v>
      </c>
      <c r="B714" s="1">
        <f>DATE(2011,9,15) + TIME(3,48,53)</f>
        <v>40801.158946759257</v>
      </c>
      <c r="C714">
        <v>70</v>
      </c>
      <c r="D714">
        <v>69.947654724000003</v>
      </c>
      <c r="E714">
        <v>40</v>
      </c>
      <c r="F714">
        <v>29.732828139999999</v>
      </c>
      <c r="G714">
        <v>1385.0217285000001</v>
      </c>
      <c r="H714">
        <v>1370.0560303</v>
      </c>
      <c r="I714">
        <v>1272.0897216999999</v>
      </c>
      <c r="J714">
        <v>1245.2186279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504.24846000000002</v>
      </c>
      <c r="B715" s="1">
        <f>DATE(2011,9,17) + TIME(5,57,46)</f>
        <v>40803.248449074075</v>
      </c>
      <c r="C715">
        <v>70</v>
      </c>
      <c r="D715">
        <v>69.947746276999993</v>
      </c>
      <c r="E715">
        <v>40</v>
      </c>
      <c r="F715">
        <v>29.556039810000001</v>
      </c>
      <c r="G715">
        <v>1384.9470214999999</v>
      </c>
      <c r="H715">
        <v>1369.9870605000001</v>
      </c>
      <c r="I715">
        <v>1271.9206543</v>
      </c>
      <c r="J715">
        <v>1244.9099120999999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506.36176</v>
      </c>
      <c r="B716" s="1">
        <f>DATE(2011,9,19) + TIME(8,40,56)</f>
        <v>40805.361759259256</v>
      </c>
      <c r="C716">
        <v>70</v>
      </c>
      <c r="D716">
        <v>69.947837829999997</v>
      </c>
      <c r="E716">
        <v>40</v>
      </c>
      <c r="F716">
        <v>29.380430222000001</v>
      </c>
      <c r="G716">
        <v>1384.8721923999999</v>
      </c>
      <c r="H716">
        <v>1369.9177245999999</v>
      </c>
      <c r="I716">
        <v>1271.7532959</v>
      </c>
      <c r="J716">
        <v>1244.6018065999999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508.48845299999999</v>
      </c>
      <c r="B717" s="1">
        <f>DATE(2011,9,21) + TIME(11,43,22)</f>
        <v>40807.488449074073</v>
      </c>
      <c r="C717">
        <v>70</v>
      </c>
      <c r="D717">
        <v>69.947929381999998</v>
      </c>
      <c r="E717">
        <v>40</v>
      </c>
      <c r="F717">
        <v>29.206630706999999</v>
      </c>
      <c r="G717">
        <v>1384.7969971</v>
      </c>
      <c r="H717">
        <v>1369.8481445</v>
      </c>
      <c r="I717">
        <v>1271.5881348</v>
      </c>
      <c r="J717">
        <v>1244.2951660000001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510.636661</v>
      </c>
      <c r="B718" s="1">
        <f>DATE(2011,9,23) + TIME(15,16,47)</f>
        <v>40809.636655092596</v>
      </c>
      <c r="C718">
        <v>70</v>
      </c>
      <c r="D718">
        <v>69.948020935000002</v>
      </c>
      <c r="E718">
        <v>40</v>
      </c>
      <c r="F718">
        <v>29.035457610999998</v>
      </c>
      <c r="G718">
        <v>1384.7219238</v>
      </c>
      <c r="H718">
        <v>1369.7785644999999</v>
      </c>
      <c r="I718">
        <v>1271.4263916</v>
      </c>
      <c r="J718">
        <v>1243.9918213000001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512.78825300000005</v>
      </c>
      <c r="B719" s="1">
        <f>DATE(2011,9,25) + TIME(18,55,5)</f>
        <v>40811.788252314815</v>
      </c>
      <c r="C719">
        <v>70</v>
      </c>
      <c r="D719">
        <v>69.948112488000007</v>
      </c>
      <c r="E719">
        <v>40</v>
      </c>
      <c r="F719">
        <v>28.867832184000001</v>
      </c>
      <c r="G719">
        <v>1384.6464844</v>
      </c>
      <c r="H719">
        <v>1369.7086182</v>
      </c>
      <c r="I719">
        <v>1271.2680664</v>
      </c>
      <c r="J719">
        <v>1243.6921387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514.95057899999995</v>
      </c>
      <c r="B720" s="1">
        <f>DATE(2011,9,27) + TIME(22,48,50)</f>
        <v>40813.950578703705</v>
      </c>
      <c r="C720">
        <v>70</v>
      </c>
      <c r="D720">
        <v>69.948204040999997</v>
      </c>
      <c r="E720">
        <v>40</v>
      </c>
      <c r="F720">
        <v>28.704971313000001</v>
      </c>
      <c r="G720">
        <v>1384.5715332</v>
      </c>
      <c r="H720">
        <v>1369.6390381000001</v>
      </c>
      <c r="I720">
        <v>1271.1149902</v>
      </c>
      <c r="J720">
        <v>1243.3991699000001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517.13052800000003</v>
      </c>
      <c r="B721" s="1">
        <f>DATE(2011,9,30) + TIME(3,7,57)</f>
        <v>40816.130520833336</v>
      </c>
      <c r="C721">
        <v>70</v>
      </c>
      <c r="D721">
        <v>69.948295592999997</v>
      </c>
      <c r="E721">
        <v>40</v>
      </c>
      <c r="F721">
        <v>28.547428131</v>
      </c>
      <c r="G721">
        <v>1384.4967041</v>
      </c>
      <c r="H721">
        <v>1369.5693358999999</v>
      </c>
      <c r="I721">
        <v>1270.9671631000001</v>
      </c>
      <c r="J721">
        <v>1243.1130370999999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518</v>
      </c>
      <c r="B722" s="1">
        <f>DATE(2011,10,1) + TIME(0,0,0)</f>
        <v>40817</v>
      </c>
      <c r="C722">
        <v>70</v>
      </c>
      <c r="D722">
        <v>69.948326111</v>
      </c>
      <c r="E722">
        <v>40</v>
      </c>
      <c r="F722">
        <v>28.441970824999999</v>
      </c>
      <c r="G722">
        <v>1384.4216309000001</v>
      </c>
      <c r="H722">
        <v>1369.4995117000001</v>
      </c>
      <c r="I722">
        <v>1270.8302002</v>
      </c>
      <c r="J722">
        <v>1242.8724365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520.20475499999998</v>
      </c>
      <c r="B723" s="1">
        <f>DATE(2011,10,3) + TIME(4,54,50)</f>
        <v>40819.204745370371</v>
      </c>
      <c r="C723">
        <v>70</v>
      </c>
      <c r="D723">
        <v>69.948425293</v>
      </c>
      <c r="E723">
        <v>40</v>
      </c>
      <c r="F723">
        <v>28.325397491</v>
      </c>
      <c r="G723">
        <v>1384.3913574000001</v>
      </c>
      <c r="H723">
        <v>1369.4713135</v>
      </c>
      <c r="I723">
        <v>1270.7666016000001</v>
      </c>
      <c r="J723">
        <v>1242.7125243999999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522.42771400000004</v>
      </c>
      <c r="B724" s="1">
        <f>DATE(2011,10,5) + TIME(10,15,54)</f>
        <v>40821.427708333336</v>
      </c>
      <c r="C724">
        <v>70</v>
      </c>
      <c r="D724">
        <v>69.948524474999999</v>
      </c>
      <c r="E724">
        <v>40</v>
      </c>
      <c r="F724">
        <v>28.192844391000001</v>
      </c>
      <c r="G724">
        <v>1384.3162841999999</v>
      </c>
      <c r="H724">
        <v>1369.4012451000001</v>
      </c>
      <c r="I724">
        <v>1270.6358643000001</v>
      </c>
      <c r="J724">
        <v>1242.4572754000001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524.67328599999996</v>
      </c>
      <c r="B725" s="1">
        <f>DATE(2011,10,7) + TIME(16,9,31)</f>
        <v>40823.673275462963</v>
      </c>
      <c r="C725">
        <v>70</v>
      </c>
      <c r="D725">
        <v>69.948616028000004</v>
      </c>
      <c r="E725">
        <v>40</v>
      </c>
      <c r="F725">
        <v>28.061819076999999</v>
      </c>
      <c r="G725">
        <v>1384.2407227000001</v>
      </c>
      <c r="H725">
        <v>1369.3306885</v>
      </c>
      <c r="I725">
        <v>1270.5097656</v>
      </c>
      <c r="J725">
        <v>1242.2044678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526.94537700000001</v>
      </c>
      <c r="B726" s="1">
        <f>DATE(2011,10,9) + TIME(22,41,20)</f>
        <v>40825.945370370369</v>
      </c>
      <c r="C726">
        <v>70</v>
      </c>
      <c r="D726">
        <v>69.948715210000003</v>
      </c>
      <c r="E726">
        <v>40</v>
      </c>
      <c r="F726">
        <v>27.937997817999999</v>
      </c>
      <c r="G726">
        <v>1384.1647949000001</v>
      </c>
      <c r="H726">
        <v>1369.2597656</v>
      </c>
      <c r="I726">
        <v>1270.3902588000001</v>
      </c>
      <c r="J726">
        <v>1241.9609375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529.23344599999996</v>
      </c>
      <c r="B727" s="1">
        <f>DATE(2011,10,12) + TIME(5,36,9)</f>
        <v>40828.233437499999</v>
      </c>
      <c r="C727">
        <v>70</v>
      </c>
      <c r="D727">
        <v>69.948806762999993</v>
      </c>
      <c r="E727">
        <v>40</v>
      </c>
      <c r="F727">
        <v>27.824005127</v>
      </c>
      <c r="G727">
        <v>1384.0882568</v>
      </c>
      <c r="H727">
        <v>1369.1882324000001</v>
      </c>
      <c r="I727">
        <v>1270.2784423999999</v>
      </c>
      <c r="J727">
        <v>1241.7293701000001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531.54761199999996</v>
      </c>
      <c r="B728" s="1">
        <f>DATE(2011,10,14) + TIME(13,8,33)</f>
        <v>40830.54760416667</v>
      </c>
      <c r="C728">
        <v>70</v>
      </c>
      <c r="D728">
        <v>69.948905945000007</v>
      </c>
      <c r="E728">
        <v>40</v>
      </c>
      <c r="F728">
        <v>27.721616744999999</v>
      </c>
      <c r="G728">
        <v>1384.0115966999999</v>
      </c>
      <c r="H728">
        <v>1369.1164550999999</v>
      </c>
      <c r="I728">
        <v>1270.1754149999999</v>
      </c>
      <c r="J728">
        <v>1241.5125731999999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533.88950399999999</v>
      </c>
      <c r="B729" s="1">
        <f>DATE(2011,10,16) + TIME(21,20,53)</f>
        <v>40832.889502314814</v>
      </c>
      <c r="C729">
        <v>70</v>
      </c>
      <c r="D729">
        <v>69.949005127000007</v>
      </c>
      <c r="E729">
        <v>40</v>
      </c>
      <c r="F729">
        <v>27.632108687999999</v>
      </c>
      <c r="G729">
        <v>1383.9344481999999</v>
      </c>
      <c r="H729">
        <v>1369.0440673999999</v>
      </c>
      <c r="I729">
        <v>1270.081543</v>
      </c>
      <c r="J729">
        <v>1241.3115233999999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536.23649699999999</v>
      </c>
      <c r="B730" s="1">
        <f>DATE(2011,10,19) + TIME(5,40,33)</f>
        <v>40835.236493055556</v>
      </c>
      <c r="C730">
        <v>70</v>
      </c>
      <c r="D730">
        <v>69.949104309000006</v>
      </c>
      <c r="E730">
        <v>40</v>
      </c>
      <c r="F730">
        <v>27.557058334000001</v>
      </c>
      <c r="G730">
        <v>1383.8568115</v>
      </c>
      <c r="H730">
        <v>1368.9711914</v>
      </c>
      <c r="I730">
        <v>1269.9973144999999</v>
      </c>
      <c r="J730">
        <v>1241.1278076000001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538.59389199999998</v>
      </c>
      <c r="B731" s="1">
        <f>DATE(2011,10,21) + TIME(14,15,12)</f>
        <v>40837.593888888892</v>
      </c>
      <c r="C731">
        <v>70</v>
      </c>
      <c r="D731">
        <v>69.949195861999996</v>
      </c>
      <c r="E731">
        <v>40</v>
      </c>
      <c r="F731">
        <v>27.497968673999999</v>
      </c>
      <c r="G731">
        <v>1383.7792969</v>
      </c>
      <c r="H731">
        <v>1368.8984375</v>
      </c>
      <c r="I731">
        <v>1269.9240723</v>
      </c>
      <c r="J731">
        <v>1240.9643555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540.98998800000004</v>
      </c>
      <c r="B732" s="1">
        <f>DATE(2011,10,23) + TIME(23,45,34)</f>
        <v>40839.989976851852</v>
      </c>
      <c r="C732">
        <v>70</v>
      </c>
      <c r="D732">
        <v>69.949295043999996</v>
      </c>
      <c r="E732">
        <v>40</v>
      </c>
      <c r="F732">
        <v>27.455736160000001</v>
      </c>
      <c r="G732">
        <v>1383.7019043</v>
      </c>
      <c r="H732">
        <v>1368.8256836</v>
      </c>
      <c r="I732">
        <v>1269.8615723</v>
      </c>
      <c r="J732">
        <v>1240.8215332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543.40197899999998</v>
      </c>
      <c r="B733" s="1">
        <f>DATE(2011,10,26) + TIME(9,38,50)</f>
        <v>40842.401967592596</v>
      </c>
      <c r="C733">
        <v>70</v>
      </c>
      <c r="D733">
        <v>69.949394225999995</v>
      </c>
      <c r="E733">
        <v>40</v>
      </c>
      <c r="F733">
        <v>27.431369781000001</v>
      </c>
      <c r="G733">
        <v>1383.6237793</v>
      </c>
      <c r="H733">
        <v>1368.7520752</v>
      </c>
      <c r="I733">
        <v>1269.8099365</v>
      </c>
      <c r="J733">
        <v>1240.699707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545.83119499999998</v>
      </c>
      <c r="B734" s="1">
        <f>DATE(2011,10,28) + TIME(19,56,55)</f>
        <v>40844.831192129626</v>
      </c>
      <c r="C734">
        <v>70</v>
      </c>
      <c r="D734">
        <v>69.949493407999995</v>
      </c>
      <c r="E734">
        <v>40</v>
      </c>
      <c r="F734">
        <v>27.425909042000001</v>
      </c>
      <c r="G734">
        <v>1383.5455322</v>
      </c>
      <c r="H734">
        <v>1368.6783447</v>
      </c>
      <c r="I734">
        <v>1269.7696533000001</v>
      </c>
      <c r="J734">
        <v>1240.6004639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548.28754400000003</v>
      </c>
      <c r="B735" s="1">
        <f>DATE(2011,10,31) + TIME(6,54,3)</f>
        <v>40847.287534722222</v>
      </c>
      <c r="C735">
        <v>70</v>
      </c>
      <c r="D735">
        <v>69.949592589999995</v>
      </c>
      <c r="E735">
        <v>40</v>
      </c>
      <c r="F735">
        <v>27.440183640000001</v>
      </c>
      <c r="G735">
        <v>1383.4672852000001</v>
      </c>
      <c r="H735">
        <v>1368.6046143000001</v>
      </c>
      <c r="I735">
        <v>1269.7409668</v>
      </c>
      <c r="J735">
        <v>1240.5247803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549</v>
      </c>
      <c r="B736" s="1">
        <f>DATE(2011,11,1) + TIME(0,0,0)</f>
        <v>40848</v>
      </c>
      <c r="C736">
        <v>70</v>
      </c>
      <c r="D736">
        <v>69.949615479000002</v>
      </c>
      <c r="E736">
        <v>40</v>
      </c>
      <c r="F736">
        <v>27.461324692000002</v>
      </c>
      <c r="G736">
        <v>1383.3894043</v>
      </c>
      <c r="H736">
        <v>1368.5311279</v>
      </c>
      <c r="I736">
        <v>1269.7388916</v>
      </c>
      <c r="J736">
        <v>1240.4880370999999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549.000001</v>
      </c>
      <c r="B737" s="1">
        <f>DATE(2011,11,1) + TIME(0,0,0)</f>
        <v>40848</v>
      </c>
      <c r="C737">
        <v>70</v>
      </c>
      <c r="D737">
        <v>69.949493407999995</v>
      </c>
      <c r="E737">
        <v>40</v>
      </c>
      <c r="F737">
        <v>27.461437225000001</v>
      </c>
      <c r="G737">
        <v>1367.6584473</v>
      </c>
      <c r="H737">
        <v>1353.8511963000001</v>
      </c>
      <c r="I737">
        <v>1299.6166992000001</v>
      </c>
      <c r="J737">
        <v>1270.6114502</v>
      </c>
      <c r="K737">
        <v>0</v>
      </c>
      <c r="L737">
        <v>2400</v>
      </c>
      <c r="M737">
        <v>2400</v>
      </c>
      <c r="N737">
        <v>0</v>
      </c>
    </row>
    <row r="738" spans="1:14" x14ac:dyDescent="0.25">
      <c r="A738">
        <v>549.00000399999999</v>
      </c>
      <c r="B738" s="1">
        <f>DATE(2011,11,1) + TIME(0,0,0)</f>
        <v>40848</v>
      </c>
      <c r="C738">
        <v>70</v>
      </c>
      <c r="D738">
        <v>69.949188231999997</v>
      </c>
      <c r="E738">
        <v>40</v>
      </c>
      <c r="F738">
        <v>27.461750031000001</v>
      </c>
      <c r="G738">
        <v>1365.4129639</v>
      </c>
      <c r="H738">
        <v>1351.6049805</v>
      </c>
      <c r="I738">
        <v>1302.0495605000001</v>
      </c>
      <c r="J738">
        <v>1273.0329589999999</v>
      </c>
      <c r="K738">
        <v>0</v>
      </c>
      <c r="L738">
        <v>2400</v>
      </c>
      <c r="M738">
        <v>2400</v>
      </c>
      <c r="N738">
        <v>0</v>
      </c>
    </row>
    <row r="739" spans="1:14" x14ac:dyDescent="0.25">
      <c r="A739">
        <v>549.00001299999997</v>
      </c>
      <c r="B739" s="1">
        <f>DATE(2011,11,1) + TIME(0,0,1)</f>
        <v>40848.000011574077</v>
      </c>
      <c r="C739">
        <v>70</v>
      </c>
      <c r="D739">
        <v>69.948547363000003</v>
      </c>
      <c r="E739">
        <v>40</v>
      </c>
      <c r="F739">
        <v>27.462543488000001</v>
      </c>
      <c r="G739">
        <v>1360.7231445</v>
      </c>
      <c r="H739">
        <v>1346.9143065999999</v>
      </c>
      <c r="I739">
        <v>1307.9853516000001</v>
      </c>
      <c r="J739">
        <v>1278.9541016000001</v>
      </c>
      <c r="K739">
        <v>0</v>
      </c>
      <c r="L739">
        <v>2400</v>
      </c>
      <c r="M739">
        <v>2400</v>
      </c>
      <c r="N739">
        <v>0</v>
      </c>
    </row>
    <row r="740" spans="1:14" x14ac:dyDescent="0.25">
      <c r="A740">
        <v>549.00004000000001</v>
      </c>
      <c r="B740" s="1">
        <f>DATE(2011,11,1) + TIME(0,0,3)</f>
        <v>40848.000034722223</v>
      </c>
      <c r="C740">
        <v>70</v>
      </c>
      <c r="D740">
        <v>69.947563170999999</v>
      </c>
      <c r="E740">
        <v>40</v>
      </c>
      <c r="F740">
        <v>27.464199065999999</v>
      </c>
      <c r="G740">
        <v>1353.5904541</v>
      </c>
      <c r="H740">
        <v>1339.7819824000001</v>
      </c>
      <c r="I740">
        <v>1319.2786865</v>
      </c>
      <c r="J740">
        <v>1290.2493896000001</v>
      </c>
      <c r="K740">
        <v>0</v>
      </c>
      <c r="L740">
        <v>2400</v>
      </c>
      <c r="M740">
        <v>2400</v>
      </c>
      <c r="N740">
        <v>0</v>
      </c>
    </row>
    <row r="741" spans="1:14" x14ac:dyDescent="0.25">
      <c r="A741">
        <v>549.00012100000004</v>
      </c>
      <c r="B741" s="1">
        <f>DATE(2011,11,1) + TIME(0,0,10)</f>
        <v>40848.000115740739</v>
      </c>
      <c r="C741">
        <v>70</v>
      </c>
      <c r="D741">
        <v>69.946434021000002</v>
      </c>
      <c r="E741">
        <v>40</v>
      </c>
      <c r="F741">
        <v>27.467096329</v>
      </c>
      <c r="G741">
        <v>1345.4459228999999</v>
      </c>
      <c r="H741">
        <v>1331.6459961</v>
      </c>
      <c r="I741">
        <v>1334.7510986</v>
      </c>
      <c r="J741">
        <v>1305.7407227000001</v>
      </c>
      <c r="K741">
        <v>0</v>
      </c>
      <c r="L741">
        <v>2400</v>
      </c>
      <c r="M741">
        <v>2400</v>
      </c>
      <c r="N741">
        <v>0</v>
      </c>
    </row>
    <row r="742" spans="1:14" x14ac:dyDescent="0.25">
      <c r="A742">
        <v>549.00036399999999</v>
      </c>
      <c r="B742" s="1">
        <f>DATE(2011,11,1) + TIME(0,0,31)</f>
        <v>40848.000358796293</v>
      </c>
      <c r="C742">
        <v>70</v>
      </c>
      <c r="D742">
        <v>69.945251464999998</v>
      </c>
      <c r="E742">
        <v>40</v>
      </c>
      <c r="F742">
        <v>27.472465515</v>
      </c>
      <c r="G742">
        <v>1337.2132568</v>
      </c>
      <c r="H742">
        <v>1323.4256591999999</v>
      </c>
      <c r="I742">
        <v>1351.4865723</v>
      </c>
      <c r="J742">
        <v>1322.5296631000001</v>
      </c>
      <c r="K742">
        <v>0</v>
      </c>
      <c r="L742">
        <v>2400</v>
      </c>
      <c r="M742">
        <v>2400</v>
      </c>
      <c r="N742">
        <v>0</v>
      </c>
    </row>
    <row r="743" spans="1:14" x14ac:dyDescent="0.25">
      <c r="A743">
        <v>549.00109299999997</v>
      </c>
      <c r="B743" s="1">
        <f>DATE(2011,11,1) + TIME(0,1,34)</f>
        <v>40848.001087962963</v>
      </c>
      <c r="C743">
        <v>70</v>
      </c>
      <c r="D743">
        <v>69.943946838000002</v>
      </c>
      <c r="E743">
        <v>40</v>
      </c>
      <c r="F743">
        <v>27.484817504999999</v>
      </c>
      <c r="G743">
        <v>1328.9438477000001</v>
      </c>
      <c r="H743">
        <v>1315.1577147999999</v>
      </c>
      <c r="I743">
        <v>1368.4611815999999</v>
      </c>
      <c r="J743">
        <v>1339.5466309000001</v>
      </c>
      <c r="K743">
        <v>0</v>
      </c>
      <c r="L743">
        <v>2400</v>
      </c>
      <c r="M743">
        <v>2400</v>
      </c>
      <c r="N743">
        <v>0</v>
      </c>
    </row>
    <row r="744" spans="1:14" x14ac:dyDescent="0.25">
      <c r="A744">
        <v>549.00328000000002</v>
      </c>
      <c r="B744" s="1">
        <f>DATE(2011,11,1) + TIME(0,4,43)</f>
        <v>40848.003275462965</v>
      </c>
      <c r="C744">
        <v>70</v>
      </c>
      <c r="D744">
        <v>69.942253113000007</v>
      </c>
      <c r="E744">
        <v>40</v>
      </c>
      <c r="F744">
        <v>27.518009186</v>
      </c>
      <c r="G744">
        <v>1320.3112793</v>
      </c>
      <c r="H744">
        <v>1306.4664307</v>
      </c>
      <c r="I744">
        <v>1385.5860596</v>
      </c>
      <c r="J744">
        <v>1356.6787108999999</v>
      </c>
      <c r="K744">
        <v>0</v>
      </c>
      <c r="L744">
        <v>2400</v>
      </c>
      <c r="M744">
        <v>2400</v>
      </c>
      <c r="N744">
        <v>0</v>
      </c>
    </row>
    <row r="745" spans="1:14" x14ac:dyDescent="0.25">
      <c r="A745">
        <v>549.00984100000005</v>
      </c>
      <c r="B745" s="1">
        <f>DATE(2011,11,1) + TIME(0,14,10)</f>
        <v>40848.009837962964</v>
      </c>
      <c r="C745">
        <v>70</v>
      </c>
      <c r="D745">
        <v>69.939460753999995</v>
      </c>
      <c r="E745">
        <v>40</v>
      </c>
      <c r="F745">
        <v>27.613176345999999</v>
      </c>
      <c r="G745">
        <v>1311.2113036999999</v>
      </c>
      <c r="H745">
        <v>1297.2727050999999</v>
      </c>
      <c r="I745">
        <v>1401.5965576000001</v>
      </c>
      <c r="J745">
        <v>1372.6663818</v>
      </c>
      <c r="K745">
        <v>0</v>
      </c>
      <c r="L745">
        <v>2400</v>
      </c>
      <c r="M745">
        <v>2400</v>
      </c>
      <c r="N745">
        <v>0</v>
      </c>
    </row>
    <row r="746" spans="1:14" x14ac:dyDescent="0.25">
      <c r="A746">
        <v>549.02952400000004</v>
      </c>
      <c r="B746" s="1">
        <f>DATE(2011,11,1) + TIME(0,42,30)</f>
        <v>40848.029513888891</v>
      </c>
      <c r="C746">
        <v>70</v>
      </c>
      <c r="D746">
        <v>69.933815002000003</v>
      </c>
      <c r="E746">
        <v>40</v>
      </c>
      <c r="F746">
        <v>27.889379501000001</v>
      </c>
      <c r="G746">
        <v>1303.2749022999999</v>
      </c>
      <c r="H746">
        <v>1289.2824707</v>
      </c>
      <c r="I746">
        <v>1413.1691894999999</v>
      </c>
      <c r="J746">
        <v>1384.3100586</v>
      </c>
      <c r="K746">
        <v>0</v>
      </c>
      <c r="L746">
        <v>2400</v>
      </c>
      <c r="M746">
        <v>2400</v>
      </c>
      <c r="N746">
        <v>0</v>
      </c>
    </row>
    <row r="747" spans="1:14" x14ac:dyDescent="0.25">
      <c r="A747">
        <v>549.08813399999997</v>
      </c>
      <c r="B747" s="1">
        <f>DATE(2011,11,1) + TIME(2,6,54)</f>
        <v>40848.088125000002</v>
      </c>
      <c r="C747">
        <v>70</v>
      </c>
      <c r="D747">
        <v>69.920272827000005</v>
      </c>
      <c r="E747">
        <v>40</v>
      </c>
      <c r="F747">
        <v>28.658901215</v>
      </c>
      <c r="G747">
        <v>1298.9334716999999</v>
      </c>
      <c r="H747">
        <v>1284.9233397999999</v>
      </c>
      <c r="I747">
        <v>1417.6611327999999</v>
      </c>
      <c r="J747">
        <v>1389.2008057</v>
      </c>
      <c r="K747">
        <v>0</v>
      </c>
      <c r="L747">
        <v>2400</v>
      </c>
      <c r="M747">
        <v>2400</v>
      </c>
      <c r="N747">
        <v>0</v>
      </c>
    </row>
    <row r="748" spans="1:14" x14ac:dyDescent="0.25">
      <c r="A748">
        <v>549.15044799999998</v>
      </c>
      <c r="B748" s="1">
        <f>DATE(2011,11,1) + TIME(3,36,38)</f>
        <v>40848.150439814817</v>
      </c>
      <c r="C748">
        <v>70</v>
      </c>
      <c r="D748">
        <v>69.906639099000003</v>
      </c>
      <c r="E748">
        <v>40</v>
      </c>
      <c r="F748">
        <v>29.423482894999999</v>
      </c>
      <c r="G748">
        <v>1297.9396973</v>
      </c>
      <c r="H748">
        <v>1283.9259033000001</v>
      </c>
      <c r="I748">
        <v>1417.8845214999999</v>
      </c>
      <c r="J748">
        <v>1389.8337402</v>
      </c>
      <c r="K748">
        <v>0</v>
      </c>
      <c r="L748">
        <v>2400</v>
      </c>
      <c r="M748">
        <v>2400</v>
      </c>
      <c r="N748">
        <v>0</v>
      </c>
    </row>
    <row r="749" spans="1:14" x14ac:dyDescent="0.25">
      <c r="A749">
        <v>549.21659399999999</v>
      </c>
      <c r="B749" s="1">
        <f>DATE(2011,11,1) + TIME(5,11,53)</f>
        <v>40848.216585648152</v>
      </c>
      <c r="C749">
        <v>70</v>
      </c>
      <c r="D749">
        <v>69.892593383999994</v>
      </c>
      <c r="E749">
        <v>40</v>
      </c>
      <c r="F749">
        <v>30.178892136000002</v>
      </c>
      <c r="G749">
        <v>1297.6905518000001</v>
      </c>
      <c r="H749">
        <v>1283.675293</v>
      </c>
      <c r="I749">
        <v>1417.3846435999999</v>
      </c>
      <c r="J749">
        <v>1389.7337646000001</v>
      </c>
      <c r="K749">
        <v>0</v>
      </c>
      <c r="L749">
        <v>2400</v>
      </c>
      <c r="M749">
        <v>2400</v>
      </c>
      <c r="N749">
        <v>0</v>
      </c>
    </row>
    <row r="750" spans="1:14" x14ac:dyDescent="0.25">
      <c r="A750">
        <v>549.28705400000001</v>
      </c>
      <c r="B750" s="1">
        <f>DATE(2011,11,1) + TIME(6,53,21)</f>
        <v>40848.287048611113</v>
      </c>
      <c r="C750">
        <v>70</v>
      </c>
      <c r="D750">
        <v>69.878005981000001</v>
      </c>
      <c r="E750">
        <v>40</v>
      </c>
      <c r="F750">
        <v>30.924333571999998</v>
      </c>
      <c r="G750">
        <v>1297.6217041</v>
      </c>
      <c r="H750">
        <v>1283.6054687999999</v>
      </c>
      <c r="I750">
        <v>1416.7890625</v>
      </c>
      <c r="J750">
        <v>1389.5230713000001</v>
      </c>
      <c r="K750">
        <v>0</v>
      </c>
      <c r="L750">
        <v>2400</v>
      </c>
      <c r="M750">
        <v>2400</v>
      </c>
      <c r="N750">
        <v>0</v>
      </c>
    </row>
    <row r="751" spans="1:14" x14ac:dyDescent="0.25">
      <c r="A751">
        <v>549.36246500000004</v>
      </c>
      <c r="B751" s="1">
        <f>DATE(2011,11,1) + TIME(8,41,57)</f>
        <v>40848.36246527778</v>
      </c>
      <c r="C751">
        <v>70</v>
      </c>
      <c r="D751">
        <v>69.862762450999995</v>
      </c>
      <c r="E751">
        <v>40</v>
      </c>
      <c r="F751">
        <v>31.659193039000002</v>
      </c>
      <c r="G751">
        <v>1297.6000977000001</v>
      </c>
      <c r="H751">
        <v>1283.5828856999999</v>
      </c>
      <c r="I751">
        <v>1416.2027588000001</v>
      </c>
      <c r="J751">
        <v>1389.3063964999999</v>
      </c>
      <c r="K751">
        <v>0</v>
      </c>
      <c r="L751">
        <v>2400</v>
      </c>
      <c r="M751">
        <v>2400</v>
      </c>
      <c r="N751">
        <v>0</v>
      </c>
    </row>
    <row r="752" spans="1:14" x14ac:dyDescent="0.25">
      <c r="A752">
        <v>549.44360400000005</v>
      </c>
      <c r="B752" s="1">
        <f>DATE(2011,11,1) + TIME(10,38,47)</f>
        <v>40848.443599537037</v>
      </c>
      <c r="C752">
        <v>70</v>
      </c>
      <c r="D752">
        <v>69.846763611</v>
      </c>
      <c r="E752">
        <v>40</v>
      </c>
      <c r="F752">
        <v>32.382785796999997</v>
      </c>
      <c r="G752">
        <v>1297.5914307</v>
      </c>
      <c r="H752">
        <v>1283.5732422000001</v>
      </c>
      <c r="I752">
        <v>1415.6384277</v>
      </c>
      <c r="J752">
        <v>1389.0964355000001</v>
      </c>
      <c r="K752">
        <v>0</v>
      </c>
      <c r="L752">
        <v>2400</v>
      </c>
      <c r="M752">
        <v>2400</v>
      </c>
      <c r="N752">
        <v>0</v>
      </c>
    </row>
    <row r="753" spans="1:14" x14ac:dyDescent="0.25">
      <c r="A753">
        <v>549.53143699999998</v>
      </c>
      <c r="B753" s="1">
        <f>DATE(2011,11,1) + TIME(12,45,16)</f>
        <v>40848.531435185185</v>
      </c>
      <c r="C753">
        <v>70</v>
      </c>
      <c r="D753">
        <v>69.829872131000002</v>
      </c>
      <c r="E753">
        <v>40</v>
      </c>
      <c r="F753">
        <v>33.094303130999997</v>
      </c>
      <c r="G753">
        <v>1297.5864257999999</v>
      </c>
      <c r="H753">
        <v>1283.5672606999999</v>
      </c>
      <c r="I753">
        <v>1415.0948486</v>
      </c>
      <c r="J753">
        <v>1388.8923339999999</v>
      </c>
      <c r="K753">
        <v>0</v>
      </c>
      <c r="L753">
        <v>2400</v>
      </c>
      <c r="M753">
        <v>2400</v>
      </c>
      <c r="N753">
        <v>0</v>
      </c>
    </row>
    <row r="754" spans="1:14" x14ac:dyDescent="0.25">
      <c r="A754">
        <v>549.62717799999996</v>
      </c>
      <c r="B754" s="1">
        <f>DATE(2011,11,1) + TIME(15,3,8)</f>
        <v>40848.627175925925</v>
      </c>
      <c r="C754">
        <v>70</v>
      </c>
      <c r="D754">
        <v>69.811943053999997</v>
      </c>
      <c r="E754">
        <v>40</v>
      </c>
      <c r="F754">
        <v>33.792705536</v>
      </c>
      <c r="G754">
        <v>1297.5822754000001</v>
      </c>
      <c r="H754">
        <v>1283.5621338000001</v>
      </c>
      <c r="I754">
        <v>1414.5697021000001</v>
      </c>
      <c r="J754">
        <v>1388.6921387</v>
      </c>
      <c r="K754">
        <v>0</v>
      </c>
      <c r="L754">
        <v>2400</v>
      </c>
      <c r="M754">
        <v>2400</v>
      </c>
      <c r="N754">
        <v>0</v>
      </c>
    </row>
    <row r="755" spans="1:14" x14ac:dyDescent="0.25">
      <c r="A755">
        <v>549.73239000000001</v>
      </c>
      <c r="B755" s="1">
        <f>DATE(2011,11,1) + TIME(17,34,38)</f>
        <v>40848.73238425926</v>
      </c>
      <c r="C755">
        <v>70</v>
      </c>
      <c r="D755">
        <v>69.792770386000001</v>
      </c>
      <c r="E755">
        <v>40</v>
      </c>
      <c r="F755">
        <v>34.476696013999998</v>
      </c>
      <c r="G755">
        <v>1297.5780029</v>
      </c>
      <c r="H755">
        <v>1283.5568848</v>
      </c>
      <c r="I755">
        <v>1414.0615233999999</v>
      </c>
      <c r="J755">
        <v>1388.4946289</v>
      </c>
      <c r="K755">
        <v>0</v>
      </c>
      <c r="L755">
        <v>2400</v>
      </c>
      <c r="M755">
        <v>2400</v>
      </c>
      <c r="N755">
        <v>0</v>
      </c>
    </row>
    <row r="756" spans="1:14" x14ac:dyDescent="0.25">
      <c r="A756">
        <v>549.84915599999999</v>
      </c>
      <c r="B756" s="1">
        <f>DATE(2011,11,1) + TIME(20,22,47)</f>
        <v>40848.84915509259</v>
      </c>
      <c r="C756">
        <v>70</v>
      </c>
      <c r="D756">
        <v>69.772094726999995</v>
      </c>
      <c r="E756">
        <v>40</v>
      </c>
      <c r="F756">
        <v>35.144851684999999</v>
      </c>
      <c r="G756">
        <v>1297.5734863</v>
      </c>
      <c r="H756">
        <v>1283.5511475000001</v>
      </c>
      <c r="I756">
        <v>1413.5692139</v>
      </c>
      <c r="J756">
        <v>1388.2984618999999</v>
      </c>
      <c r="K756">
        <v>0</v>
      </c>
      <c r="L756">
        <v>2400</v>
      </c>
      <c r="M756">
        <v>2400</v>
      </c>
      <c r="N756">
        <v>0</v>
      </c>
    </row>
    <row r="757" spans="1:14" x14ac:dyDescent="0.25">
      <c r="A757">
        <v>549.98027100000002</v>
      </c>
      <c r="B757" s="1">
        <f>DATE(2011,11,1) + TIME(23,31,35)</f>
        <v>40848.980266203704</v>
      </c>
      <c r="C757">
        <v>70</v>
      </c>
      <c r="D757">
        <v>69.749580382999994</v>
      </c>
      <c r="E757">
        <v>40</v>
      </c>
      <c r="F757">
        <v>35.795223235999998</v>
      </c>
      <c r="G757">
        <v>1297.5684814000001</v>
      </c>
      <c r="H757">
        <v>1283.5449219</v>
      </c>
      <c r="I757">
        <v>1413.0914307</v>
      </c>
      <c r="J757">
        <v>1388.1026611</v>
      </c>
      <c r="K757">
        <v>0</v>
      </c>
      <c r="L757">
        <v>2400</v>
      </c>
      <c r="M757">
        <v>2400</v>
      </c>
      <c r="N757">
        <v>0</v>
      </c>
    </row>
    <row r="758" spans="1:14" x14ac:dyDescent="0.25">
      <c r="A758">
        <v>550.12962200000004</v>
      </c>
      <c r="B758" s="1">
        <f>DATE(2011,11,2) + TIME(3,6,39)</f>
        <v>40849.129618055558</v>
      </c>
      <c r="C758">
        <v>70</v>
      </c>
      <c r="D758">
        <v>69.724769592000001</v>
      </c>
      <c r="E758">
        <v>40</v>
      </c>
      <c r="F758">
        <v>36.425312042000002</v>
      </c>
      <c r="G758">
        <v>1297.5627440999999</v>
      </c>
      <c r="H758">
        <v>1283.5378418</v>
      </c>
      <c r="I758">
        <v>1412.6273193</v>
      </c>
      <c r="J758">
        <v>1387.9057617000001</v>
      </c>
      <c r="K758">
        <v>0</v>
      </c>
      <c r="L758">
        <v>2400</v>
      </c>
      <c r="M758">
        <v>2400</v>
      </c>
      <c r="N758">
        <v>0</v>
      </c>
    </row>
    <row r="759" spans="1:14" x14ac:dyDescent="0.25">
      <c r="A759">
        <v>550.30281600000001</v>
      </c>
      <c r="B759" s="1">
        <f>DATE(2011,11,2) + TIME(7,16,3)</f>
        <v>40849.302812499998</v>
      </c>
      <c r="C759">
        <v>70</v>
      </c>
      <c r="D759">
        <v>69.697006225999999</v>
      </c>
      <c r="E759">
        <v>40</v>
      </c>
      <c r="F759">
        <v>37.031837463000002</v>
      </c>
      <c r="G759">
        <v>1297.5562743999999</v>
      </c>
      <c r="H759">
        <v>1283.5297852000001</v>
      </c>
      <c r="I759">
        <v>1412.1757812000001</v>
      </c>
      <c r="J759">
        <v>1387.7061768000001</v>
      </c>
      <c r="K759">
        <v>0</v>
      </c>
      <c r="L759">
        <v>2400</v>
      </c>
      <c r="M759">
        <v>2400</v>
      </c>
      <c r="N759">
        <v>0</v>
      </c>
    </row>
    <row r="760" spans="1:14" x14ac:dyDescent="0.25">
      <c r="A760">
        <v>550.50830399999995</v>
      </c>
      <c r="B760" s="1">
        <f>DATE(2011,11,2) + TIME(12,11,57)</f>
        <v>40849.508298611108</v>
      </c>
      <c r="C760">
        <v>70</v>
      </c>
      <c r="D760">
        <v>69.665367126000007</v>
      </c>
      <c r="E760">
        <v>40</v>
      </c>
      <c r="F760">
        <v>37.610389709000003</v>
      </c>
      <c r="G760">
        <v>1297.5487060999999</v>
      </c>
      <c r="H760">
        <v>1283.5205077999999</v>
      </c>
      <c r="I760">
        <v>1411.7357178</v>
      </c>
      <c r="J760">
        <v>1387.5019531</v>
      </c>
      <c r="K760">
        <v>0</v>
      </c>
      <c r="L760">
        <v>2400</v>
      </c>
      <c r="M760">
        <v>2400</v>
      </c>
      <c r="N760">
        <v>0</v>
      </c>
    </row>
    <row r="761" spans="1:14" x14ac:dyDescent="0.25">
      <c r="A761">
        <v>550.75743799999998</v>
      </c>
      <c r="B761" s="1">
        <f>DATE(2011,11,2) + TIME(18,10,42)</f>
        <v>40849.757430555554</v>
      </c>
      <c r="C761">
        <v>70</v>
      </c>
      <c r="D761">
        <v>69.628700256000002</v>
      </c>
      <c r="E761">
        <v>40</v>
      </c>
      <c r="F761">
        <v>38.151332855</v>
      </c>
      <c r="G761">
        <v>1297.5396728999999</v>
      </c>
      <c r="H761">
        <v>1283.5096435999999</v>
      </c>
      <c r="I761">
        <v>1411.3083495999999</v>
      </c>
      <c r="J761">
        <v>1387.2910156</v>
      </c>
      <c r="K761">
        <v>0</v>
      </c>
      <c r="L761">
        <v>2400</v>
      </c>
      <c r="M761">
        <v>2400</v>
      </c>
      <c r="N761">
        <v>0</v>
      </c>
    </row>
    <row r="762" spans="1:14" x14ac:dyDescent="0.25">
      <c r="A762">
        <v>551.00681499999996</v>
      </c>
      <c r="B762" s="1">
        <f>DATE(2011,11,3) + TIME(0,9,48)</f>
        <v>40850.006805555553</v>
      </c>
      <c r="C762">
        <v>70</v>
      </c>
      <c r="D762">
        <v>69.591857910000002</v>
      </c>
      <c r="E762">
        <v>40</v>
      </c>
      <c r="F762">
        <v>38.568595885999997</v>
      </c>
      <c r="G762">
        <v>1297.5284423999999</v>
      </c>
      <c r="H762">
        <v>1283.4967041</v>
      </c>
      <c r="I762">
        <v>1410.9450684000001</v>
      </c>
      <c r="J762">
        <v>1387.0898437999999</v>
      </c>
      <c r="K762">
        <v>0</v>
      </c>
      <c r="L762">
        <v>2400</v>
      </c>
      <c r="M762">
        <v>2400</v>
      </c>
      <c r="N762">
        <v>0</v>
      </c>
    </row>
    <row r="763" spans="1:14" x14ac:dyDescent="0.25">
      <c r="A763">
        <v>551.26539200000002</v>
      </c>
      <c r="B763" s="1">
        <f>DATE(2011,11,3) + TIME(6,22,9)</f>
        <v>40850.265381944446</v>
      </c>
      <c r="C763">
        <v>70</v>
      </c>
      <c r="D763">
        <v>69.553955078000001</v>
      </c>
      <c r="E763">
        <v>40</v>
      </c>
      <c r="F763">
        <v>38.899021148999999</v>
      </c>
      <c r="G763">
        <v>1297.5170897999999</v>
      </c>
      <c r="H763">
        <v>1283.4837646000001</v>
      </c>
      <c r="I763">
        <v>1410.6357422000001</v>
      </c>
      <c r="J763">
        <v>1386.9079589999999</v>
      </c>
      <c r="K763">
        <v>0</v>
      </c>
      <c r="L763">
        <v>2400</v>
      </c>
      <c r="M763">
        <v>2400</v>
      </c>
      <c r="N763">
        <v>0</v>
      </c>
    </row>
    <row r="764" spans="1:14" x14ac:dyDescent="0.25">
      <c r="A764">
        <v>551.53652399999999</v>
      </c>
      <c r="B764" s="1">
        <f>DATE(2011,11,3) + TIME(12,52,35)</f>
        <v>40850.536516203705</v>
      </c>
      <c r="C764">
        <v>70</v>
      </c>
      <c r="D764">
        <v>69.514640807999996</v>
      </c>
      <c r="E764">
        <v>40</v>
      </c>
      <c r="F764">
        <v>39.160526275999999</v>
      </c>
      <c r="G764">
        <v>1297.5054932</v>
      </c>
      <c r="H764">
        <v>1283.4703368999999</v>
      </c>
      <c r="I764">
        <v>1410.3660889</v>
      </c>
      <c r="J764">
        <v>1386.7387695</v>
      </c>
      <c r="K764">
        <v>0</v>
      </c>
      <c r="L764">
        <v>2400</v>
      </c>
      <c r="M764">
        <v>2400</v>
      </c>
      <c r="N764">
        <v>0</v>
      </c>
    </row>
    <row r="765" spans="1:14" x14ac:dyDescent="0.25">
      <c r="A765">
        <v>551.82444299999997</v>
      </c>
      <c r="B765" s="1">
        <f>DATE(2011,11,3) + TIME(19,47,11)</f>
        <v>40850.824432870373</v>
      </c>
      <c r="C765">
        <v>70</v>
      </c>
      <c r="D765">
        <v>69.473472595000004</v>
      </c>
      <c r="E765">
        <v>40</v>
      </c>
      <c r="F765">
        <v>39.366958617999998</v>
      </c>
      <c r="G765">
        <v>1297.4932861</v>
      </c>
      <c r="H765">
        <v>1283.4561768000001</v>
      </c>
      <c r="I765">
        <v>1410.1271973</v>
      </c>
      <c r="J765">
        <v>1386.5789795000001</v>
      </c>
      <c r="K765">
        <v>0</v>
      </c>
      <c r="L765">
        <v>2400</v>
      </c>
      <c r="M765">
        <v>2400</v>
      </c>
      <c r="N765">
        <v>0</v>
      </c>
    </row>
    <row r="766" spans="1:14" x14ac:dyDescent="0.25">
      <c r="A766">
        <v>552.13416299999994</v>
      </c>
      <c r="B766" s="1">
        <f>DATE(2011,11,4) + TIME(3,13,11)</f>
        <v>40851.134155092594</v>
      </c>
      <c r="C766">
        <v>70</v>
      </c>
      <c r="D766">
        <v>69.429939270000006</v>
      </c>
      <c r="E766">
        <v>40</v>
      </c>
      <c r="F766">
        <v>39.528900145999998</v>
      </c>
      <c r="G766">
        <v>1297.4804687999999</v>
      </c>
      <c r="H766">
        <v>1283.4412841999999</v>
      </c>
      <c r="I766">
        <v>1409.9116211</v>
      </c>
      <c r="J766">
        <v>1386.4257812000001</v>
      </c>
      <c r="K766">
        <v>0</v>
      </c>
      <c r="L766">
        <v>2400</v>
      </c>
      <c r="M766">
        <v>2400</v>
      </c>
      <c r="N766">
        <v>0</v>
      </c>
    </row>
    <row r="767" spans="1:14" x14ac:dyDescent="0.25">
      <c r="A767">
        <v>552.47187899999994</v>
      </c>
      <c r="B767" s="1">
        <f>DATE(2011,11,4) + TIME(11,19,30)</f>
        <v>40851.471875000003</v>
      </c>
      <c r="C767">
        <v>70</v>
      </c>
      <c r="D767">
        <v>69.383384704999997</v>
      </c>
      <c r="E767">
        <v>40</v>
      </c>
      <c r="F767">
        <v>39.654636383000003</v>
      </c>
      <c r="G767">
        <v>1297.4666748</v>
      </c>
      <c r="H767">
        <v>1283.425293</v>
      </c>
      <c r="I767">
        <v>1409.7136230000001</v>
      </c>
      <c r="J767">
        <v>1386.2766113</v>
      </c>
      <c r="K767">
        <v>0</v>
      </c>
      <c r="L767">
        <v>2400</v>
      </c>
      <c r="M767">
        <v>2400</v>
      </c>
      <c r="N767">
        <v>0</v>
      </c>
    </row>
    <row r="768" spans="1:14" x14ac:dyDescent="0.25">
      <c r="A768">
        <v>552.84570699999995</v>
      </c>
      <c r="B768" s="1">
        <f>DATE(2011,11,4) + TIME(20,17,49)</f>
        <v>40851.845706018517</v>
      </c>
      <c r="C768">
        <v>70</v>
      </c>
      <c r="D768">
        <v>69.332992554</v>
      </c>
      <c r="E768">
        <v>40</v>
      </c>
      <c r="F768">
        <v>39.750843048</v>
      </c>
      <c r="G768">
        <v>1297.4516602000001</v>
      </c>
      <c r="H768">
        <v>1283.4078368999999</v>
      </c>
      <c r="I768">
        <v>1409.5280762</v>
      </c>
      <c r="J768">
        <v>1386.1290283000001</v>
      </c>
      <c r="K768">
        <v>0</v>
      </c>
      <c r="L768">
        <v>2400</v>
      </c>
      <c r="M768">
        <v>2400</v>
      </c>
      <c r="N768">
        <v>0</v>
      </c>
    </row>
    <row r="769" spans="1:14" x14ac:dyDescent="0.25">
      <c r="A769">
        <v>553.26276299999995</v>
      </c>
      <c r="B769" s="1">
        <f>DATE(2011,11,5) + TIME(6,18,22)</f>
        <v>40852.262754629628</v>
      </c>
      <c r="C769">
        <v>70</v>
      </c>
      <c r="D769">
        <v>69.278045653999996</v>
      </c>
      <c r="E769">
        <v>40</v>
      </c>
      <c r="F769">
        <v>39.822559357000003</v>
      </c>
      <c r="G769">
        <v>1297.4349365</v>
      </c>
      <c r="H769">
        <v>1283.3886719</v>
      </c>
      <c r="I769">
        <v>1409.3509521000001</v>
      </c>
      <c r="J769">
        <v>1385.980957</v>
      </c>
      <c r="K769">
        <v>0</v>
      </c>
      <c r="L769">
        <v>2400</v>
      </c>
      <c r="M769">
        <v>2400</v>
      </c>
      <c r="N769">
        <v>0</v>
      </c>
    </row>
    <row r="770" spans="1:14" x14ac:dyDescent="0.25">
      <c r="A770">
        <v>553.72859100000005</v>
      </c>
      <c r="B770" s="1">
        <f>DATE(2011,11,5) + TIME(17,29,10)</f>
        <v>40852.728587962964</v>
      </c>
      <c r="C770">
        <v>70</v>
      </c>
      <c r="D770">
        <v>69.217926024999997</v>
      </c>
      <c r="E770">
        <v>40</v>
      </c>
      <c r="F770">
        <v>39.874183655000003</v>
      </c>
      <c r="G770">
        <v>1297.4163818</v>
      </c>
      <c r="H770">
        <v>1283.3673096</v>
      </c>
      <c r="I770">
        <v>1409.1791992000001</v>
      </c>
      <c r="J770">
        <v>1385.8310547000001</v>
      </c>
      <c r="K770">
        <v>0</v>
      </c>
      <c r="L770">
        <v>2400</v>
      </c>
      <c r="M770">
        <v>2400</v>
      </c>
      <c r="N770">
        <v>0</v>
      </c>
    </row>
    <row r="771" spans="1:14" x14ac:dyDescent="0.25">
      <c r="A771">
        <v>554.24179900000001</v>
      </c>
      <c r="B771" s="1">
        <f>DATE(2011,11,6) + TIME(5,48,11)</f>
        <v>40853.241793981484</v>
      </c>
      <c r="C771">
        <v>70</v>
      </c>
      <c r="D771">
        <v>69.152572632000002</v>
      </c>
      <c r="E771">
        <v>40</v>
      </c>
      <c r="F771">
        <v>39.909656525000003</v>
      </c>
      <c r="G771">
        <v>1297.3956298999999</v>
      </c>
      <c r="H771">
        <v>1283.3435059000001</v>
      </c>
      <c r="I771">
        <v>1409.0111084</v>
      </c>
      <c r="J771">
        <v>1385.6793213000001</v>
      </c>
      <c r="K771">
        <v>0</v>
      </c>
      <c r="L771">
        <v>2400</v>
      </c>
      <c r="M771">
        <v>2400</v>
      </c>
      <c r="N771">
        <v>0</v>
      </c>
    </row>
    <row r="772" spans="1:14" x14ac:dyDescent="0.25">
      <c r="A772">
        <v>554.76224999999999</v>
      </c>
      <c r="B772" s="1">
        <f>DATE(2011,11,6) + TIME(18,17,38)</f>
        <v>40853.762245370373</v>
      </c>
      <c r="C772">
        <v>70</v>
      </c>
      <c r="D772">
        <v>69.085037231000001</v>
      </c>
      <c r="E772">
        <v>40</v>
      </c>
      <c r="F772">
        <v>39.932052612</v>
      </c>
      <c r="G772">
        <v>1297.3725586</v>
      </c>
      <c r="H772">
        <v>1283.3175048999999</v>
      </c>
      <c r="I772">
        <v>1408.8477783000001</v>
      </c>
      <c r="J772">
        <v>1385.527832</v>
      </c>
      <c r="K772">
        <v>0</v>
      </c>
      <c r="L772">
        <v>2400</v>
      </c>
      <c r="M772">
        <v>2400</v>
      </c>
      <c r="N772">
        <v>0</v>
      </c>
    </row>
    <row r="773" spans="1:14" x14ac:dyDescent="0.25">
      <c r="A773">
        <v>555.30083300000001</v>
      </c>
      <c r="B773" s="1">
        <f>DATE(2011,11,7) + TIME(7,13,12)</f>
        <v>40854.300833333335</v>
      </c>
      <c r="C773">
        <v>70</v>
      </c>
      <c r="D773">
        <v>69.015220642000003</v>
      </c>
      <c r="E773">
        <v>40</v>
      </c>
      <c r="F773">
        <v>39.946361541999998</v>
      </c>
      <c r="G773">
        <v>1297.3492432</v>
      </c>
      <c r="H773">
        <v>1283.2910156</v>
      </c>
      <c r="I773">
        <v>1408.6988524999999</v>
      </c>
      <c r="J773">
        <v>1385.3879394999999</v>
      </c>
      <c r="K773">
        <v>0</v>
      </c>
      <c r="L773">
        <v>2400</v>
      </c>
      <c r="M773">
        <v>2400</v>
      </c>
      <c r="N773">
        <v>0</v>
      </c>
    </row>
    <row r="774" spans="1:14" x14ac:dyDescent="0.25">
      <c r="A774">
        <v>555.86833100000001</v>
      </c>
      <c r="B774" s="1">
        <f>DATE(2011,11,7) + TIME(20,50,23)</f>
        <v>40854.868321759262</v>
      </c>
      <c r="C774">
        <v>70</v>
      </c>
      <c r="D774">
        <v>68.942550659000005</v>
      </c>
      <c r="E774">
        <v>40</v>
      </c>
      <c r="F774">
        <v>39.955547332999998</v>
      </c>
      <c r="G774">
        <v>1297.3251952999999</v>
      </c>
      <c r="H774">
        <v>1283.2636719</v>
      </c>
      <c r="I774">
        <v>1408.5589600000001</v>
      </c>
      <c r="J774">
        <v>1385.2553711</v>
      </c>
      <c r="K774">
        <v>0</v>
      </c>
      <c r="L774">
        <v>2400</v>
      </c>
      <c r="M774">
        <v>2400</v>
      </c>
      <c r="N774">
        <v>0</v>
      </c>
    </row>
    <row r="775" spans="1:14" x14ac:dyDescent="0.25">
      <c r="A775">
        <v>556.47482400000001</v>
      </c>
      <c r="B775" s="1">
        <f>DATE(2011,11,8) + TIME(11,23,44)</f>
        <v>40855.474814814814</v>
      </c>
      <c r="C775">
        <v>70</v>
      </c>
      <c r="D775">
        <v>68.866294861</v>
      </c>
      <c r="E775">
        <v>40</v>
      </c>
      <c r="F775">
        <v>39.961425781000003</v>
      </c>
      <c r="G775">
        <v>1297.3000488</v>
      </c>
      <c r="H775">
        <v>1283.2347411999999</v>
      </c>
      <c r="I775">
        <v>1408.4241943</v>
      </c>
      <c r="J775">
        <v>1385.1270752</v>
      </c>
      <c r="K775">
        <v>0</v>
      </c>
      <c r="L775">
        <v>2400</v>
      </c>
      <c r="M775">
        <v>2400</v>
      </c>
      <c r="N775">
        <v>0</v>
      </c>
    </row>
    <row r="776" spans="1:14" x14ac:dyDescent="0.25">
      <c r="A776">
        <v>557.11993500000005</v>
      </c>
      <c r="B776" s="1">
        <f>DATE(2011,11,9) + TIME(2,52,42)</f>
        <v>40856.119930555556</v>
      </c>
      <c r="C776">
        <v>70</v>
      </c>
      <c r="D776">
        <v>68.786308289000004</v>
      </c>
      <c r="E776">
        <v>40</v>
      </c>
      <c r="F776">
        <v>39.965126038000001</v>
      </c>
      <c r="G776">
        <v>1297.2729492000001</v>
      </c>
      <c r="H776">
        <v>1283.2039795000001</v>
      </c>
      <c r="I776">
        <v>1408.2922363</v>
      </c>
      <c r="J776">
        <v>1385.0008545000001</v>
      </c>
      <c r="K776">
        <v>0</v>
      </c>
      <c r="L776">
        <v>2400</v>
      </c>
      <c r="M776">
        <v>2400</v>
      </c>
      <c r="N776">
        <v>0</v>
      </c>
    </row>
    <row r="777" spans="1:14" x14ac:dyDescent="0.25">
      <c r="A777">
        <v>557.81715499999996</v>
      </c>
      <c r="B777" s="1">
        <f>DATE(2011,11,9) + TIME(19,36,42)</f>
        <v>40856.817152777781</v>
      </c>
      <c r="C777">
        <v>70</v>
      </c>
      <c r="D777">
        <v>68.701622009000005</v>
      </c>
      <c r="E777">
        <v>40</v>
      </c>
      <c r="F777">
        <v>39.967453003000003</v>
      </c>
      <c r="G777">
        <v>1297.2442627</v>
      </c>
      <c r="H777">
        <v>1283.1711425999999</v>
      </c>
      <c r="I777">
        <v>1408.1629639</v>
      </c>
      <c r="J777">
        <v>1384.8773193</v>
      </c>
      <c r="K777">
        <v>0</v>
      </c>
      <c r="L777">
        <v>2400</v>
      </c>
      <c r="M777">
        <v>2400</v>
      </c>
      <c r="N777">
        <v>0</v>
      </c>
    </row>
    <row r="778" spans="1:14" x14ac:dyDescent="0.25">
      <c r="A778">
        <v>558.58303100000001</v>
      </c>
      <c r="B778" s="1">
        <f>DATE(2011,11,10) + TIME(13,59,33)</f>
        <v>40857.583020833335</v>
      </c>
      <c r="C778">
        <v>70</v>
      </c>
      <c r="D778">
        <v>68.610900878999999</v>
      </c>
      <c r="E778">
        <v>40</v>
      </c>
      <c r="F778">
        <v>39.968917847</v>
      </c>
      <c r="G778">
        <v>1297.2132568</v>
      </c>
      <c r="H778">
        <v>1283.1357422000001</v>
      </c>
      <c r="I778">
        <v>1408.0343018000001</v>
      </c>
      <c r="J778">
        <v>1384.7542725000001</v>
      </c>
      <c r="K778">
        <v>0</v>
      </c>
      <c r="L778">
        <v>2400</v>
      </c>
      <c r="M778">
        <v>2400</v>
      </c>
      <c r="N778">
        <v>0</v>
      </c>
    </row>
    <row r="779" spans="1:14" x14ac:dyDescent="0.25">
      <c r="A779">
        <v>559.39912700000002</v>
      </c>
      <c r="B779" s="1">
        <f>DATE(2011,11,11) + TIME(9,34,44)</f>
        <v>40858.39912037037</v>
      </c>
      <c r="C779">
        <v>70</v>
      </c>
      <c r="D779">
        <v>68.514732361</v>
      </c>
      <c r="E779">
        <v>40</v>
      </c>
      <c r="F779">
        <v>39.969818115000002</v>
      </c>
      <c r="G779">
        <v>1297.1790771000001</v>
      </c>
      <c r="H779">
        <v>1283.0969238</v>
      </c>
      <c r="I779">
        <v>1407.9038086</v>
      </c>
      <c r="J779">
        <v>1384.6296387</v>
      </c>
      <c r="K779">
        <v>0</v>
      </c>
      <c r="L779">
        <v>2400</v>
      </c>
      <c r="M779">
        <v>2400</v>
      </c>
      <c r="N779">
        <v>0</v>
      </c>
    </row>
    <row r="780" spans="1:14" x14ac:dyDescent="0.25">
      <c r="A780">
        <v>560.23022200000003</v>
      </c>
      <c r="B780" s="1">
        <f>DATE(2011,11,12) + TIME(5,31,31)</f>
        <v>40859.230219907404</v>
      </c>
      <c r="C780">
        <v>70</v>
      </c>
      <c r="D780">
        <v>68.415481567</v>
      </c>
      <c r="E780">
        <v>40</v>
      </c>
      <c r="F780">
        <v>39.970355988000001</v>
      </c>
      <c r="G780">
        <v>1297.1424560999999</v>
      </c>
      <c r="H780">
        <v>1283.0555420000001</v>
      </c>
      <c r="I780">
        <v>1407.7757568</v>
      </c>
      <c r="J780">
        <v>1384.5075684000001</v>
      </c>
      <c r="K780">
        <v>0</v>
      </c>
      <c r="L780">
        <v>2400</v>
      </c>
      <c r="M780">
        <v>2400</v>
      </c>
      <c r="N780">
        <v>0</v>
      </c>
    </row>
    <row r="781" spans="1:14" x14ac:dyDescent="0.25">
      <c r="A781">
        <v>561.09270900000001</v>
      </c>
      <c r="B781" s="1">
        <f>DATE(2011,11,13) + TIME(2,13,30)</f>
        <v>40860.09270833333</v>
      </c>
      <c r="C781">
        <v>70</v>
      </c>
      <c r="D781">
        <v>68.313430785999998</v>
      </c>
      <c r="E781">
        <v>40</v>
      </c>
      <c r="F781">
        <v>39.970695495999998</v>
      </c>
      <c r="G781">
        <v>1297.1051024999999</v>
      </c>
      <c r="H781">
        <v>1283.0131836</v>
      </c>
      <c r="I781">
        <v>1407.6552733999999</v>
      </c>
      <c r="J781">
        <v>1384.3929443</v>
      </c>
      <c r="K781">
        <v>0</v>
      </c>
      <c r="L781">
        <v>2400</v>
      </c>
      <c r="M781">
        <v>2400</v>
      </c>
      <c r="N781">
        <v>0</v>
      </c>
    </row>
    <row r="782" spans="1:14" x14ac:dyDescent="0.25">
      <c r="A782">
        <v>562.00354500000003</v>
      </c>
      <c r="B782" s="1">
        <f>DATE(2011,11,14) + TIME(0,5,6)</f>
        <v>40861.003541666665</v>
      </c>
      <c r="C782">
        <v>70</v>
      </c>
      <c r="D782">
        <v>68.207809448000006</v>
      </c>
      <c r="E782">
        <v>40</v>
      </c>
      <c r="F782">
        <v>39.970916748</v>
      </c>
      <c r="G782">
        <v>1297.0664062000001</v>
      </c>
      <c r="H782">
        <v>1282.9689940999999</v>
      </c>
      <c r="I782">
        <v>1407.5391846</v>
      </c>
      <c r="J782">
        <v>1384.2828368999999</v>
      </c>
      <c r="K782">
        <v>0</v>
      </c>
      <c r="L782">
        <v>2400</v>
      </c>
      <c r="M782">
        <v>2400</v>
      </c>
      <c r="N782">
        <v>0</v>
      </c>
    </row>
    <row r="783" spans="1:14" x14ac:dyDescent="0.25">
      <c r="A783">
        <v>562.97285099999999</v>
      </c>
      <c r="B783" s="1">
        <f>DATE(2011,11,14) + TIME(23,20,54)</f>
        <v>40861.97284722222</v>
      </c>
      <c r="C783">
        <v>70</v>
      </c>
      <c r="D783">
        <v>68.097763061999999</v>
      </c>
      <c r="E783">
        <v>40</v>
      </c>
      <c r="F783">
        <v>39.971069335999999</v>
      </c>
      <c r="G783">
        <v>1297.0253906</v>
      </c>
      <c r="H783">
        <v>1282.9223632999999</v>
      </c>
      <c r="I783">
        <v>1407.425293</v>
      </c>
      <c r="J783">
        <v>1384.1749268000001</v>
      </c>
      <c r="K783">
        <v>0</v>
      </c>
      <c r="L783">
        <v>2400</v>
      </c>
      <c r="M783">
        <v>2400</v>
      </c>
      <c r="N783">
        <v>0</v>
      </c>
    </row>
    <row r="784" spans="1:14" x14ac:dyDescent="0.25">
      <c r="A784">
        <v>563.99630500000001</v>
      </c>
      <c r="B784" s="1">
        <f>DATE(2011,11,15) + TIME(23,54,40)</f>
        <v>40862.996296296296</v>
      </c>
      <c r="C784">
        <v>70</v>
      </c>
      <c r="D784">
        <v>67.983085631999998</v>
      </c>
      <c r="E784">
        <v>40</v>
      </c>
      <c r="F784">
        <v>39.971176147000001</v>
      </c>
      <c r="G784">
        <v>1296.9816894999999</v>
      </c>
      <c r="H784">
        <v>1282.8725586</v>
      </c>
      <c r="I784">
        <v>1407.3123779</v>
      </c>
      <c r="J784">
        <v>1384.0681152</v>
      </c>
      <c r="K784">
        <v>0</v>
      </c>
      <c r="L784">
        <v>2400</v>
      </c>
      <c r="M784">
        <v>2400</v>
      </c>
      <c r="N784">
        <v>0</v>
      </c>
    </row>
    <row r="785" spans="1:14" x14ac:dyDescent="0.25">
      <c r="A785">
        <v>565.09517600000004</v>
      </c>
      <c r="B785" s="1">
        <f>DATE(2011,11,17) + TIME(2,17,3)</f>
        <v>40864.095173611109</v>
      </c>
      <c r="C785">
        <v>70</v>
      </c>
      <c r="D785">
        <v>67.862785338999998</v>
      </c>
      <c r="E785">
        <v>40</v>
      </c>
      <c r="F785">
        <v>39.971260071000003</v>
      </c>
      <c r="G785">
        <v>1296.9353027</v>
      </c>
      <c r="H785">
        <v>1282.8197021000001</v>
      </c>
      <c r="I785">
        <v>1407.2011719</v>
      </c>
      <c r="J785">
        <v>1383.9633789</v>
      </c>
      <c r="K785">
        <v>0</v>
      </c>
      <c r="L785">
        <v>2400</v>
      </c>
      <c r="M785">
        <v>2400</v>
      </c>
      <c r="N785">
        <v>0</v>
      </c>
    </row>
    <row r="786" spans="1:14" x14ac:dyDescent="0.25">
      <c r="A786">
        <v>566.218479</v>
      </c>
      <c r="B786" s="1">
        <f>DATE(2011,11,18) + TIME(5,14,36)</f>
        <v>40865.218472222223</v>
      </c>
      <c r="C786">
        <v>70</v>
      </c>
      <c r="D786">
        <v>67.738655089999995</v>
      </c>
      <c r="E786">
        <v>40</v>
      </c>
      <c r="F786">
        <v>39.971321105999998</v>
      </c>
      <c r="G786">
        <v>1296.8851318</v>
      </c>
      <c r="H786">
        <v>1282.7629394999999</v>
      </c>
      <c r="I786">
        <v>1407.0898437999999</v>
      </c>
      <c r="J786">
        <v>1383.8586425999999</v>
      </c>
      <c r="K786">
        <v>0</v>
      </c>
      <c r="L786">
        <v>2400</v>
      </c>
      <c r="M786">
        <v>2400</v>
      </c>
      <c r="N786">
        <v>0</v>
      </c>
    </row>
    <row r="787" spans="1:14" x14ac:dyDescent="0.25">
      <c r="A787">
        <v>567.38248499999997</v>
      </c>
      <c r="B787" s="1">
        <f>DATE(2011,11,19) + TIME(9,10,46)</f>
        <v>40866.382476851853</v>
      </c>
      <c r="C787">
        <v>70</v>
      </c>
      <c r="D787">
        <v>67.611572265999996</v>
      </c>
      <c r="E787">
        <v>40</v>
      </c>
      <c r="F787">
        <v>39.971374511999997</v>
      </c>
      <c r="G787">
        <v>1296.8336182</v>
      </c>
      <c r="H787">
        <v>1282.7042236</v>
      </c>
      <c r="I787">
        <v>1406.9837646000001</v>
      </c>
      <c r="J787">
        <v>1383.7589111</v>
      </c>
      <c r="K787">
        <v>0</v>
      </c>
      <c r="L787">
        <v>2400</v>
      </c>
      <c r="M787">
        <v>2400</v>
      </c>
      <c r="N787">
        <v>0</v>
      </c>
    </row>
    <row r="788" spans="1:14" x14ac:dyDescent="0.25">
      <c r="A788">
        <v>568.61129600000004</v>
      </c>
      <c r="B788" s="1">
        <f>DATE(2011,11,20) + TIME(14,40,16)</f>
        <v>40867.611296296294</v>
      </c>
      <c r="C788">
        <v>70</v>
      </c>
      <c r="D788">
        <v>67.480674743999998</v>
      </c>
      <c r="E788">
        <v>40</v>
      </c>
      <c r="F788">
        <v>39.971424102999997</v>
      </c>
      <c r="G788">
        <v>1296.7800293</v>
      </c>
      <c r="H788">
        <v>1282.6430664</v>
      </c>
      <c r="I788">
        <v>1406.8808594</v>
      </c>
      <c r="J788">
        <v>1383.6624756000001</v>
      </c>
      <c r="K788">
        <v>0</v>
      </c>
      <c r="L788">
        <v>2400</v>
      </c>
      <c r="M788">
        <v>2400</v>
      </c>
      <c r="N788">
        <v>0</v>
      </c>
    </row>
    <row r="789" spans="1:14" x14ac:dyDescent="0.25">
      <c r="A789">
        <v>569.92931699999997</v>
      </c>
      <c r="B789" s="1">
        <f>DATE(2011,11,21) + TIME(22,18,13)</f>
        <v>40868.92931712963</v>
      </c>
      <c r="C789">
        <v>70</v>
      </c>
      <c r="D789">
        <v>67.344261169000006</v>
      </c>
      <c r="E789">
        <v>40</v>
      </c>
      <c r="F789">
        <v>39.971473693999997</v>
      </c>
      <c r="G789">
        <v>1296.7231445</v>
      </c>
      <c r="H789">
        <v>1282.5780029</v>
      </c>
      <c r="I789">
        <v>1406.7789307</v>
      </c>
      <c r="J789">
        <v>1383.5671387</v>
      </c>
      <c r="K789">
        <v>0</v>
      </c>
      <c r="L789">
        <v>2400</v>
      </c>
      <c r="M789">
        <v>2400</v>
      </c>
      <c r="N789">
        <v>0</v>
      </c>
    </row>
    <row r="790" spans="1:14" x14ac:dyDescent="0.25">
      <c r="A790">
        <v>571.29970900000001</v>
      </c>
      <c r="B790" s="1">
        <f>DATE(2011,11,23) + TIME(7,11,34)</f>
        <v>40870.299699074072</v>
      </c>
      <c r="C790">
        <v>70</v>
      </c>
      <c r="D790">
        <v>67.202743530000006</v>
      </c>
      <c r="E790">
        <v>40</v>
      </c>
      <c r="F790">
        <v>39.971519469999997</v>
      </c>
      <c r="G790">
        <v>1296.6613769999999</v>
      </c>
      <c r="H790">
        <v>1282.5076904</v>
      </c>
      <c r="I790">
        <v>1406.6765137</v>
      </c>
      <c r="J790">
        <v>1383.4714355000001</v>
      </c>
      <c r="K790">
        <v>0</v>
      </c>
      <c r="L790">
        <v>2400</v>
      </c>
      <c r="M790">
        <v>2400</v>
      </c>
      <c r="N790">
        <v>0</v>
      </c>
    </row>
    <row r="791" spans="1:14" x14ac:dyDescent="0.25">
      <c r="A791">
        <v>572.74975600000005</v>
      </c>
      <c r="B791" s="1">
        <f>DATE(2011,11,24) + TIME(17,59,38)</f>
        <v>40871.749745370369</v>
      </c>
      <c r="C791">
        <v>70</v>
      </c>
      <c r="D791">
        <v>67.056190490999995</v>
      </c>
      <c r="E791">
        <v>40</v>
      </c>
      <c r="F791">
        <v>39.971565247000001</v>
      </c>
      <c r="G791">
        <v>1296.5968018000001</v>
      </c>
      <c r="H791">
        <v>1282.4337158000001</v>
      </c>
      <c r="I791">
        <v>1406.5766602000001</v>
      </c>
      <c r="J791">
        <v>1383.3782959</v>
      </c>
      <c r="K791">
        <v>0</v>
      </c>
      <c r="L791">
        <v>2400</v>
      </c>
      <c r="M791">
        <v>2400</v>
      </c>
      <c r="N791">
        <v>0</v>
      </c>
    </row>
    <row r="792" spans="1:14" x14ac:dyDescent="0.25">
      <c r="A792">
        <v>574.24404400000003</v>
      </c>
      <c r="B792" s="1">
        <f>DATE(2011,11,26) + TIME(5,51,25)</f>
        <v>40873.244039351855</v>
      </c>
      <c r="C792">
        <v>70</v>
      </c>
      <c r="D792">
        <v>66.905441284000005</v>
      </c>
      <c r="E792">
        <v>40</v>
      </c>
      <c r="F792">
        <v>39.971614838000001</v>
      </c>
      <c r="G792">
        <v>1296.5275879000001</v>
      </c>
      <c r="H792">
        <v>1282.3546143000001</v>
      </c>
      <c r="I792">
        <v>1406.4774170000001</v>
      </c>
      <c r="J792">
        <v>1383.2858887</v>
      </c>
      <c r="K792">
        <v>0</v>
      </c>
      <c r="L792">
        <v>2400</v>
      </c>
      <c r="M792">
        <v>2400</v>
      </c>
      <c r="N792">
        <v>0</v>
      </c>
    </row>
    <row r="793" spans="1:14" x14ac:dyDescent="0.25">
      <c r="A793">
        <v>575.78826900000001</v>
      </c>
      <c r="B793" s="1">
        <f>DATE(2011,11,27) + TIME(18,55,6)</f>
        <v>40874.788263888891</v>
      </c>
      <c r="C793">
        <v>70</v>
      </c>
      <c r="D793">
        <v>66.751655579000001</v>
      </c>
      <c r="E793">
        <v>40</v>
      </c>
      <c r="F793">
        <v>39.971664429</v>
      </c>
      <c r="G793">
        <v>1296.4554443</v>
      </c>
      <c r="H793">
        <v>1282.2719727000001</v>
      </c>
      <c r="I793">
        <v>1406.3813477000001</v>
      </c>
      <c r="J793">
        <v>1383.1966553</v>
      </c>
      <c r="K793">
        <v>0</v>
      </c>
      <c r="L793">
        <v>2400</v>
      </c>
      <c r="M793">
        <v>2400</v>
      </c>
      <c r="N793">
        <v>0</v>
      </c>
    </row>
    <row r="794" spans="1:14" x14ac:dyDescent="0.25">
      <c r="A794">
        <v>577.40961400000003</v>
      </c>
      <c r="B794" s="1">
        <f>DATE(2011,11,29) + TIME(9,49,50)</f>
        <v>40876.40960648148</v>
      </c>
      <c r="C794">
        <v>70</v>
      </c>
      <c r="D794">
        <v>66.594268799000005</v>
      </c>
      <c r="E794">
        <v>40</v>
      </c>
      <c r="F794">
        <v>39.97171402</v>
      </c>
      <c r="G794">
        <v>1296.3801269999999</v>
      </c>
      <c r="H794">
        <v>1282.1851807</v>
      </c>
      <c r="I794">
        <v>1406.2879639</v>
      </c>
      <c r="J794">
        <v>1383.1099853999999</v>
      </c>
      <c r="K794">
        <v>0</v>
      </c>
      <c r="L794">
        <v>2400</v>
      </c>
      <c r="M794">
        <v>2400</v>
      </c>
      <c r="N794">
        <v>0</v>
      </c>
    </row>
    <row r="795" spans="1:14" x14ac:dyDescent="0.25">
      <c r="A795">
        <v>579</v>
      </c>
      <c r="B795" s="1">
        <f>DATE(2011,12,1) + TIME(0,0,0)</f>
        <v>40878</v>
      </c>
      <c r="C795">
        <v>70</v>
      </c>
      <c r="D795">
        <v>66.436103821000003</v>
      </c>
      <c r="E795">
        <v>40</v>
      </c>
      <c r="F795">
        <v>39.971763611</v>
      </c>
      <c r="G795">
        <v>1296.2996826000001</v>
      </c>
      <c r="H795">
        <v>1282.0928954999999</v>
      </c>
      <c r="I795">
        <v>1406.1955565999999</v>
      </c>
      <c r="J795">
        <v>1383.0241699000001</v>
      </c>
      <c r="K795">
        <v>0</v>
      </c>
      <c r="L795">
        <v>2400</v>
      </c>
      <c r="M795">
        <v>2400</v>
      </c>
      <c r="N795">
        <v>0</v>
      </c>
    </row>
    <row r="796" spans="1:14" x14ac:dyDescent="0.25">
      <c r="A796">
        <v>580.73335399999996</v>
      </c>
      <c r="B796" s="1">
        <f>DATE(2011,12,2) + TIME(17,36,1)</f>
        <v>40879.733344907407</v>
      </c>
      <c r="C796">
        <v>70</v>
      </c>
      <c r="D796">
        <v>66.275550842000001</v>
      </c>
      <c r="E796">
        <v>40</v>
      </c>
      <c r="F796">
        <v>39.971817016999999</v>
      </c>
      <c r="G796">
        <v>1296.2200928</v>
      </c>
      <c r="H796">
        <v>1282</v>
      </c>
      <c r="I796">
        <v>1406.1099853999999</v>
      </c>
      <c r="J796">
        <v>1382.9449463000001</v>
      </c>
      <c r="K796">
        <v>0</v>
      </c>
      <c r="L796">
        <v>2400</v>
      </c>
      <c r="M796">
        <v>2400</v>
      </c>
      <c r="N796">
        <v>0</v>
      </c>
    </row>
    <row r="797" spans="1:14" x14ac:dyDescent="0.25">
      <c r="A797">
        <v>582.55764099999999</v>
      </c>
      <c r="B797" s="1">
        <f>DATE(2011,12,4) + TIME(13,23,0)</f>
        <v>40881.557638888888</v>
      </c>
      <c r="C797">
        <v>70</v>
      </c>
      <c r="D797">
        <v>66.108734131000006</v>
      </c>
      <c r="E797">
        <v>40</v>
      </c>
      <c r="F797">
        <v>39.971874237000002</v>
      </c>
      <c r="G797">
        <v>1296.1317139</v>
      </c>
      <c r="H797">
        <v>1281.8974608999999</v>
      </c>
      <c r="I797">
        <v>1406.0218506000001</v>
      </c>
      <c r="J797">
        <v>1382.8634033000001</v>
      </c>
      <c r="K797">
        <v>0</v>
      </c>
      <c r="L797">
        <v>2400</v>
      </c>
      <c r="M797">
        <v>2400</v>
      </c>
      <c r="N797">
        <v>0</v>
      </c>
    </row>
    <row r="798" spans="1:14" x14ac:dyDescent="0.25">
      <c r="A798">
        <v>584.44060100000002</v>
      </c>
      <c r="B798" s="1">
        <f>DATE(2011,12,6) + TIME(10,34,27)</f>
        <v>40883.44059027778</v>
      </c>
      <c r="C798">
        <v>70</v>
      </c>
      <c r="D798">
        <v>65.937011718999997</v>
      </c>
      <c r="E798">
        <v>40</v>
      </c>
      <c r="F798">
        <v>39.971931458</v>
      </c>
      <c r="G798">
        <v>1296.0368652</v>
      </c>
      <c r="H798">
        <v>1281.7872314000001</v>
      </c>
      <c r="I798">
        <v>1405.934082</v>
      </c>
      <c r="J798">
        <v>1382.7822266000001</v>
      </c>
      <c r="K798">
        <v>0</v>
      </c>
      <c r="L798">
        <v>2400</v>
      </c>
      <c r="M798">
        <v>2400</v>
      </c>
      <c r="N798">
        <v>0</v>
      </c>
    </row>
    <row r="799" spans="1:14" x14ac:dyDescent="0.25">
      <c r="A799">
        <v>586.42193499999996</v>
      </c>
      <c r="B799" s="1">
        <f>DATE(2011,12,8) + TIME(10,7,35)</f>
        <v>40885.421932870369</v>
      </c>
      <c r="C799">
        <v>70</v>
      </c>
      <c r="D799">
        <v>65.760955811000002</v>
      </c>
      <c r="E799">
        <v>40</v>
      </c>
      <c r="F799">
        <v>39.971992493000002</v>
      </c>
      <c r="G799">
        <v>1295.9371338000001</v>
      </c>
      <c r="H799">
        <v>1281.6704102000001</v>
      </c>
      <c r="I799">
        <v>1405.8483887</v>
      </c>
      <c r="J799">
        <v>1382.703125</v>
      </c>
      <c r="K799">
        <v>0</v>
      </c>
      <c r="L799">
        <v>2400</v>
      </c>
      <c r="M799">
        <v>2400</v>
      </c>
      <c r="N799">
        <v>0</v>
      </c>
    </row>
    <row r="800" spans="1:14" x14ac:dyDescent="0.25">
      <c r="A800">
        <v>588.54677600000002</v>
      </c>
      <c r="B800" s="1">
        <f>DATE(2011,12,10) + TIME(13,7,21)</f>
        <v>40887.546770833331</v>
      </c>
      <c r="C800">
        <v>70</v>
      </c>
      <c r="D800">
        <v>65.578399657999995</v>
      </c>
      <c r="E800">
        <v>40</v>
      </c>
      <c r="F800">
        <v>39.972061156999999</v>
      </c>
      <c r="G800">
        <v>1295.8300781</v>
      </c>
      <c r="H800">
        <v>1281.5443115</v>
      </c>
      <c r="I800">
        <v>1405.7631836</v>
      </c>
      <c r="J800">
        <v>1382.6243896000001</v>
      </c>
      <c r="K800">
        <v>0</v>
      </c>
      <c r="L800">
        <v>2400</v>
      </c>
      <c r="M800">
        <v>2400</v>
      </c>
      <c r="N800">
        <v>0</v>
      </c>
    </row>
    <row r="801" spans="1:14" x14ac:dyDescent="0.25">
      <c r="A801">
        <v>590.72995700000001</v>
      </c>
      <c r="B801" s="1">
        <f>DATE(2011,12,12) + TIME(17,31,8)</f>
        <v>40889.729953703703</v>
      </c>
      <c r="C801">
        <v>70</v>
      </c>
      <c r="D801">
        <v>65.389343261999997</v>
      </c>
      <c r="E801">
        <v>40</v>
      </c>
      <c r="F801">
        <v>39.972126007</v>
      </c>
      <c r="G801">
        <v>1295.7124022999999</v>
      </c>
      <c r="H801">
        <v>1281.4056396000001</v>
      </c>
      <c r="I801">
        <v>1405.6765137</v>
      </c>
      <c r="J801">
        <v>1382.5445557</v>
      </c>
      <c r="K801">
        <v>0</v>
      </c>
      <c r="L801">
        <v>2400</v>
      </c>
      <c r="M801">
        <v>2400</v>
      </c>
      <c r="N801">
        <v>0</v>
      </c>
    </row>
    <row r="802" spans="1:14" x14ac:dyDescent="0.25">
      <c r="A802">
        <v>592.95574999999997</v>
      </c>
      <c r="B802" s="1">
        <f>DATE(2011,12,14) + TIME(22,56,16)</f>
        <v>40891.955740740741</v>
      </c>
      <c r="C802">
        <v>70</v>
      </c>
      <c r="D802">
        <v>65.197502135999997</v>
      </c>
      <c r="E802">
        <v>40</v>
      </c>
      <c r="F802">
        <v>39.972194672000001</v>
      </c>
      <c r="G802">
        <v>1295.5883789</v>
      </c>
      <c r="H802">
        <v>1281.2584228999999</v>
      </c>
      <c r="I802">
        <v>1405.5924072</v>
      </c>
      <c r="J802">
        <v>1382.4669189000001</v>
      </c>
      <c r="K802">
        <v>0</v>
      </c>
      <c r="L802">
        <v>2400</v>
      </c>
      <c r="M802">
        <v>2400</v>
      </c>
      <c r="N802">
        <v>0</v>
      </c>
    </row>
    <row r="803" spans="1:14" x14ac:dyDescent="0.25">
      <c r="A803">
        <v>595.24366999999995</v>
      </c>
      <c r="B803" s="1">
        <f>DATE(2011,12,17) + TIME(5,50,53)</f>
        <v>40894.243668981479</v>
      </c>
      <c r="C803">
        <v>70</v>
      </c>
      <c r="D803">
        <v>65.004074097</v>
      </c>
      <c r="E803">
        <v>40</v>
      </c>
      <c r="F803">
        <v>39.972267150999997</v>
      </c>
      <c r="G803">
        <v>1295.458374</v>
      </c>
      <c r="H803">
        <v>1281.1030272999999</v>
      </c>
      <c r="I803">
        <v>1405.5111084</v>
      </c>
      <c r="J803">
        <v>1382.3919678</v>
      </c>
      <c r="K803">
        <v>0</v>
      </c>
      <c r="L803">
        <v>2400</v>
      </c>
      <c r="M803">
        <v>2400</v>
      </c>
      <c r="N803">
        <v>0</v>
      </c>
    </row>
    <row r="804" spans="1:14" x14ac:dyDescent="0.25">
      <c r="A804">
        <v>597.55942900000002</v>
      </c>
      <c r="B804" s="1">
        <f>DATE(2011,12,19) + TIME(13,25,34)</f>
        <v>40896.559421296297</v>
      </c>
      <c r="C804">
        <v>70</v>
      </c>
      <c r="D804">
        <v>64.809478760000005</v>
      </c>
      <c r="E804">
        <v>40</v>
      </c>
      <c r="F804">
        <v>39.972335815000001</v>
      </c>
      <c r="G804">
        <v>1295.3209228999999</v>
      </c>
      <c r="H804">
        <v>1280.9378661999999</v>
      </c>
      <c r="I804">
        <v>1405.4317627</v>
      </c>
      <c r="J804">
        <v>1382.3189697</v>
      </c>
      <c r="K804">
        <v>0</v>
      </c>
      <c r="L804">
        <v>2400</v>
      </c>
      <c r="M804">
        <v>2400</v>
      </c>
      <c r="N804">
        <v>0</v>
      </c>
    </row>
    <row r="805" spans="1:14" x14ac:dyDescent="0.25">
      <c r="A805">
        <v>599.90957800000001</v>
      </c>
      <c r="B805" s="1">
        <f>DATE(2011,12,21) + TIME(21,49,47)</f>
        <v>40898.909571759257</v>
      </c>
      <c r="C805">
        <v>70</v>
      </c>
      <c r="D805">
        <v>64.614868164000001</v>
      </c>
      <c r="E805">
        <v>40</v>
      </c>
      <c r="F805">
        <v>39.972408295000001</v>
      </c>
      <c r="G805">
        <v>1295.1776123</v>
      </c>
      <c r="H805">
        <v>1280.7642822</v>
      </c>
      <c r="I805">
        <v>1405.3553466999999</v>
      </c>
      <c r="J805">
        <v>1382.2486572</v>
      </c>
      <c r="K805">
        <v>0</v>
      </c>
      <c r="L805">
        <v>2400</v>
      </c>
      <c r="M805">
        <v>2400</v>
      </c>
      <c r="N805">
        <v>0</v>
      </c>
    </row>
    <row r="806" spans="1:14" x14ac:dyDescent="0.25">
      <c r="A806">
        <v>602.30010800000002</v>
      </c>
      <c r="B806" s="1">
        <f>DATE(2011,12,24) + TIME(7,12,9)</f>
        <v>40901.300104166665</v>
      </c>
      <c r="C806">
        <v>70</v>
      </c>
      <c r="D806">
        <v>64.420074463000006</v>
      </c>
      <c r="E806">
        <v>40</v>
      </c>
      <c r="F806">
        <v>39.972480773999997</v>
      </c>
      <c r="G806">
        <v>1295.0275879000001</v>
      </c>
      <c r="H806">
        <v>1280.5814209</v>
      </c>
      <c r="I806">
        <v>1405.2816161999999</v>
      </c>
      <c r="J806">
        <v>1382.1806641000001</v>
      </c>
      <c r="K806">
        <v>0</v>
      </c>
      <c r="L806">
        <v>2400</v>
      </c>
      <c r="M806">
        <v>2400</v>
      </c>
      <c r="N806">
        <v>0</v>
      </c>
    </row>
    <row r="807" spans="1:14" x14ac:dyDescent="0.25">
      <c r="A807">
        <v>604.71688800000004</v>
      </c>
      <c r="B807" s="1">
        <f>DATE(2011,12,26) + TIME(17,12,19)</f>
        <v>40903.716886574075</v>
      </c>
      <c r="C807">
        <v>70</v>
      </c>
      <c r="D807">
        <v>64.224983214999995</v>
      </c>
      <c r="E807">
        <v>40</v>
      </c>
      <c r="F807">
        <v>39.972553253000001</v>
      </c>
      <c r="G807">
        <v>1294.8701172000001</v>
      </c>
      <c r="H807">
        <v>1280.3883057</v>
      </c>
      <c r="I807">
        <v>1405.2100829999999</v>
      </c>
      <c r="J807">
        <v>1382.1148682</v>
      </c>
      <c r="K807">
        <v>0</v>
      </c>
      <c r="L807">
        <v>2400</v>
      </c>
      <c r="M807">
        <v>2400</v>
      </c>
      <c r="N807">
        <v>0</v>
      </c>
    </row>
    <row r="808" spans="1:14" x14ac:dyDescent="0.25">
      <c r="A808">
        <v>607.16113600000006</v>
      </c>
      <c r="B808" s="1">
        <f>DATE(2011,12,29) + TIME(3,52,2)</f>
        <v>40906.161134259259</v>
      </c>
      <c r="C808">
        <v>70</v>
      </c>
      <c r="D808">
        <v>64.029907226999995</v>
      </c>
      <c r="E808">
        <v>40</v>
      </c>
      <c r="F808">
        <v>39.972629546999997</v>
      </c>
      <c r="G808">
        <v>1294.7058105000001</v>
      </c>
      <c r="H808">
        <v>1280.1853027</v>
      </c>
      <c r="I808">
        <v>1405.1408690999999</v>
      </c>
      <c r="J808">
        <v>1382.0512695</v>
      </c>
      <c r="K808">
        <v>0</v>
      </c>
      <c r="L808">
        <v>2400</v>
      </c>
      <c r="M808">
        <v>2400</v>
      </c>
      <c r="N808">
        <v>0</v>
      </c>
    </row>
    <row r="809" spans="1:14" x14ac:dyDescent="0.25">
      <c r="A809">
        <v>609.63949100000002</v>
      </c>
      <c r="B809" s="1">
        <f>DATE(2011,12,31) + TIME(15,20,52)</f>
        <v>40908.639490740738</v>
      </c>
      <c r="C809">
        <v>70</v>
      </c>
      <c r="D809">
        <v>63.834529877000001</v>
      </c>
      <c r="E809">
        <v>40</v>
      </c>
      <c r="F809">
        <v>39.972702026</v>
      </c>
      <c r="G809">
        <v>1294.5339355000001</v>
      </c>
      <c r="H809">
        <v>1279.9715576000001</v>
      </c>
      <c r="I809">
        <v>1405.0740966999999</v>
      </c>
      <c r="J809">
        <v>1381.989624</v>
      </c>
      <c r="K809">
        <v>0</v>
      </c>
      <c r="L809">
        <v>2400</v>
      </c>
      <c r="M809">
        <v>2400</v>
      </c>
      <c r="N809">
        <v>0</v>
      </c>
    </row>
    <row r="810" spans="1:14" x14ac:dyDescent="0.25">
      <c r="A810">
        <v>610</v>
      </c>
      <c r="B810" s="1">
        <f>DATE(2012,1,1) + TIME(0,0,0)</f>
        <v>40909</v>
      </c>
      <c r="C810">
        <v>70</v>
      </c>
      <c r="D810">
        <v>63.757621765000003</v>
      </c>
      <c r="E810">
        <v>40</v>
      </c>
      <c r="F810">
        <v>39.972705841</v>
      </c>
      <c r="G810">
        <v>1294.3575439000001</v>
      </c>
      <c r="H810">
        <v>1279.7725829999999</v>
      </c>
      <c r="I810">
        <v>1405.0086670000001</v>
      </c>
      <c r="J810">
        <v>1381.9294434000001</v>
      </c>
      <c r="K810">
        <v>0</v>
      </c>
      <c r="L810">
        <v>2400</v>
      </c>
      <c r="M810">
        <v>2400</v>
      </c>
      <c r="N810">
        <v>0</v>
      </c>
    </row>
    <row r="811" spans="1:14" x14ac:dyDescent="0.25">
      <c r="A811">
        <v>612.503691</v>
      </c>
      <c r="B811" s="1">
        <f>DATE(2012,1,3) + TIME(12,5,18)</f>
        <v>40911.503680555557</v>
      </c>
      <c r="C811">
        <v>70</v>
      </c>
      <c r="D811">
        <v>63.597457886000001</v>
      </c>
      <c r="E811">
        <v>40</v>
      </c>
      <c r="F811">
        <v>39.972789763999998</v>
      </c>
      <c r="G811">
        <v>1294.3238524999999</v>
      </c>
      <c r="H811">
        <v>1279.7047118999999</v>
      </c>
      <c r="I811">
        <v>1404.9998779</v>
      </c>
      <c r="J811">
        <v>1381.9213867000001</v>
      </c>
      <c r="K811">
        <v>0</v>
      </c>
      <c r="L811">
        <v>2400</v>
      </c>
      <c r="M811">
        <v>2400</v>
      </c>
      <c r="N811">
        <v>0</v>
      </c>
    </row>
    <row r="812" spans="1:14" x14ac:dyDescent="0.25">
      <c r="A812">
        <v>615.04481799999996</v>
      </c>
      <c r="B812" s="1">
        <f>DATE(2012,1,6) + TIME(1,4,32)</f>
        <v>40914.044814814813</v>
      </c>
      <c r="C812">
        <v>70</v>
      </c>
      <c r="D812">
        <v>63.409915924000003</v>
      </c>
      <c r="E812">
        <v>40</v>
      </c>
      <c r="F812">
        <v>39.972866058000001</v>
      </c>
      <c r="G812">
        <v>1294.1374512</v>
      </c>
      <c r="H812">
        <v>1279.4719238</v>
      </c>
      <c r="I812">
        <v>1404.9373779</v>
      </c>
      <c r="J812">
        <v>1381.8638916</v>
      </c>
      <c r="K812">
        <v>0</v>
      </c>
      <c r="L812">
        <v>2400</v>
      </c>
      <c r="M812">
        <v>2400</v>
      </c>
      <c r="N812">
        <v>0</v>
      </c>
    </row>
    <row r="813" spans="1:14" x14ac:dyDescent="0.25">
      <c r="A813">
        <v>617.61788999999999</v>
      </c>
      <c r="B813" s="1">
        <f>DATE(2012,1,8) + TIME(14,49,45)</f>
        <v>40916.617881944447</v>
      </c>
      <c r="C813">
        <v>70</v>
      </c>
      <c r="D813">
        <v>63.213844299000002</v>
      </c>
      <c r="E813">
        <v>40</v>
      </c>
      <c r="F813">
        <v>39.972938538000001</v>
      </c>
      <c r="G813">
        <v>1293.9398193</v>
      </c>
      <c r="H813">
        <v>1279.2216797000001</v>
      </c>
      <c r="I813">
        <v>1404.8764647999999</v>
      </c>
      <c r="J813">
        <v>1381.8077393000001</v>
      </c>
      <c r="K813">
        <v>0</v>
      </c>
      <c r="L813">
        <v>2400</v>
      </c>
      <c r="M813">
        <v>2400</v>
      </c>
      <c r="N813">
        <v>0</v>
      </c>
    </row>
    <row r="814" spans="1:14" x14ac:dyDescent="0.25">
      <c r="A814">
        <v>620.21444899999995</v>
      </c>
      <c r="B814" s="1">
        <f>DATE(2012,1,11) + TIME(5,8,48)</f>
        <v>40919.214444444442</v>
      </c>
      <c r="C814">
        <v>70</v>
      </c>
      <c r="D814">
        <v>63.014228821000003</v>
      </c>
      <c r="E814">
        <v>40</v>
      </c>
      <c r="F814">
        <v>39.973018646</v>
      </c>
      <c r="G814">
        <v>1293.7326660000001</v>
      </c>
      <c r="H814">
        <v>1278.9567870999999</v>
      </c>
      <c r="I814">
        <v>1404.8170166</v>
      </c>
      <c r="J814">
        <v>1381.7530518000001</v>
      </c>
      <c r="K814">
        <v>0</v>
      </c>
      <c r="L814">
        <v>2400</v>
      </c>
      <c r="M814">
        <v>2400</v>
      </c>
      <c r="N814">
        <v>0</v>
      </c>
    </row>
    <row r="815" spans="1:14" x14ac:dyDescent="0.25">
      <c r="A815">
        <v>622.84100799999999</v>
      </c>
      <c r="B815" s="1">
        <f>DATE(2012,1,13) + TIME(20,11,3)</f>
        <v>40921.841006944444</v>
      </c>
      <c r="C815">
        <v>70</v>
      </c>
      <c r="D815">
        <v>62.812225341999998</v>
      </c>
      <c r="E815">
        <v>40</v>
      </c>
      <c r="F815">
        <v>39.973094940000003</v>
      </c>
      <c r="G815">
        <v>1293.5163574000001</v>
      </c>
      <c r="H815">
        <v>1278.6783447</v>
      </c>
      <c r="I815">
        <v>1404.7593993999999</v>
      </c>
      <c r="J815">
        <v>1381.6998291</v>
      </c>
      <c r="K815">
        <v>0</v>
      </c>
      <c r="L815">
        <v>2400</v>
      </c>
      <c r="M815">
        <v>2400</v>
      </c>
      <c r="N815">
        <v>0</v>
      </c>
    </row>
    <row r="816" spans="1:14" x14ac:dyDescent="0.25">
      <c r="A816">
        <v>625.50455599999998</v>
      </c>
      <c r="B816" s="1">
        <f>DATE(2012,1,16) + TIME(12,6,33)</f>
        <v>40924.504548611112</v>
      </c>
      <c r="C816">
        <v>70</v>
      </c>
      <c r="D816">
        <v>62.607387543000002</v>
      </c>
      <c r="E816">
        <v>40</v>
      </c>
      <c r="F816">
        <v>39.973171233999999</v>
      </c>
      <c r="G816">
        <v>1293.2902832</v>
      </c>
      <c r="H816">
        <v>1278.3854980000001</v>
      </c>
      <c r="I816">
        <v>1404.703125</v>
      </c>
      <c r="J816">
        <v>1381.6480713000001</v>
      </c>
      <c r="K816">
        <v>0</v>
      </c>
      <c r="L816">
        <v>2400</v>
      </c>
      <c r="M816">
        <v>2400</v>
      </c>
      <c r="N816">
        <v>0</v>
      </c>
    </row>
    <row r="817" spans="1:14" x14ac:dyDescent="0.25">
      <c r="A817">
        <v>628.202088</v>
      </c>
      <c r="B817" s="1">
        <f>DATE(2012,1,19) + TIME(4,51,0)</f>
        <v>40927.20208333333</v>
      </c>
      <c r="C817">
        <v>70</v>
      </c>
      <c r="D817">
        <v>62.399005889999998</v>
      </c>
      <c r="E817">
        <v>40</v>
      </c>
      <c r="F817">
        <v>39.973251343000001</v>
      </c>
      <c r="G817">
        <v>1293.0535889</v>
      </c>
      <c r="H817">
        <v>1278.0769043</v>
      </c>
      <c r="I817">
        <v>1404.6481934000001</v>
      </c>
      <c r="J817">
        <v>1381.5974120999999</v>
      </c>
      <c r="K817">
        <v>0</v>
      </c>
      <c r="L817">
        <v>2400</v>
      </c>
      <c r="M817">
        <v>2400</v>
      </c>
      <c r="N817">
        <v>0</v>
      </c>
    </row>
    <row r="818" spans="1:14" x14ac:dyDescent="0.25">
      <c r="A818">
        <v>630.92819899999995</v>
      </c>
      <c r="B818" s="1">
        <f>DATE(2012,1,21) + TIME(22,16,36)</f>
        <v>40929.928194444445</v>
      </c>
      <c r="C818">
        <v>70</v>
      </c>
      <c r="D818">
        <v>62.186683655000003</v>
      </c>
      <c r="E818">
        <v>40</v>
      </c>
      <c r="F818">
        <v>39.973327636999997</v>
      </c>
      <c r="G818">
        <v>1292.8060303</v>
      </c>
      <c r="H818">
        <v>1277.7521973</v>
      </c>
      <c r="I818">
        <v>1404.5943603999999</v>
      </c>
      <c r="J818">
        <v>1381.5478516000001</v>
      </c>
      <c r="K818">
        <v>0</v>
      </c>
      <c r="L818">
        <v>2400</v>
      </c>
      <c r="M818">
        <v>2400</v>
      </c>
      <c r="N818">
        <v>0</v>
      </c>
    </row>
    <row r="819" spans="1:14" x14ac:dyDescent="0.25">
      <c r="A819">
        <v>633.67679099999998</v>
      </c>
      <c r="B819" s="1">
        <f>DATE(2012,1,24) + TIME(16,14,34)</f>
        <v>40932.676782407405</v>
      </c>
      <c r="C819">
        <v>70</v>
      </c>
      <c r="D819">
        <v>61.970195769999997</v>
      </c>
      <c r="E819">
        <v>40</v>
      </c>
      <c r="F819">
        <v>39.973407745000003</v>
      </c>
      <c r="G819">
        <v>1292.5479736</v>
      </c>
      <c r="H819">
        <v>1277.4116211</v>
      </c>
      <c r="I819">
        <v>1404.5418701000001</v>
      </c>
      <c r="J819">
        <v>1381.4993896000001</v>
      </c>
      <c r="K819">
        <v>0</v>
      </c>
      <c r="L819">
        <v>2400</v>
      </c>
      <c r="M819">
        <v>2400</v>
      </c>
      <c r="N819">
        <v>0</v>
      </c>
    </row>
    <row r="820" spans="1:14" x14ac:dyDescent="0.25">
      <c r="A820">
        <v>636.45382300000006</v>
      </c>
      <c r="B820" s="1">
        <f>DATE(2012,1,27) + TIME(10,53,30)</f>
        <v>40935.453819444447</v>
      </c>
      <c r="C820">
        <v>70</v>
      </c>
      <c r="D820">
        <v>61.749145507999998</v>
      </c>
      <c r="E820">
        <v>40</v>
      </c>
      <c r="F820">
        <v>39.973484038999999</v>
      </c>
      <c r="G820">
        <v>1292.2795410000001</v>
      </c>
      <c r="H820">
        <v>1277.0552978999999</v>
      </c>
      <c r="I820">
        <v>1404.4906006000001</v>
      </c>
      <c r="J820">
        <v>1381.4521483999999</v>
      </c>
      <c r="K820">
        <v>0</v>
      </c>
      <c r="L820">
        <v>2400</v>
      </c>
      <c r="M820">
        <v>2400</v>
      </c>
      <c r="N820">
        <v>0</v>
      </c>
    </row>
    <row r="821" spans="1:14" x14ac:dyDescent="0.25">
      <c r="A821">
        <v>639.26680799999997</v>
      </c>
      <c r="B821" s="1">
        <f>DATE(2012,1,30) + TIME(6,24,12)</f>
        <v>40938.266805555555</v>
      </c>
      <c r="C821">
        <v>70</v>
      </c>
      <c r="D821">
        <v>61.522533416999998</v>
      </c>
      <c r="E821">
        <v>40</v>
      </c>
      <c r="F821">
        <v>39.973564148000001</v>
      </c>
      <c r="G821">
        <v>1292.0002440999999</v>
      </c>
      <c r="H821">
        <v>1276.682251</v>
      </c>
      <c r="I821">
        <v>1404.4404297000001</v>
      </c>
      <c r="J821">
        <v>1381.4058838000001</v>
      </c>
      <c r="K821">
        <v>0</v>
      </c>
      <c r="L821">
        <v>2400</v>
      </c>
      <c r="M821">
        <v>2400</v>
      </c>
      <c r="N821">
        <v>0</v>
      </c>
    </row>
    <row r="822" spans="1:14" x14ac:dyDescent="0.25">
      <c r="A822">
        <v>641</v>
      </c>
      <c r="B822" s="1">
        <f>DATE(2012,2,1) + TIME(0,0,0)</f>
        <v>40940</v>
      </c>
      <c r="C822">
        <v>70</v>
      </c>
      <c r="D822">
        <v>61.319751740000001</v>
      </c>
      <c r="E822">
        <v>40</v>
      </c>
      <c r="F822">
        <v>39.973613739000001</v>
      </c>
      <c r="G822">
        <v>1291.7120361</v>
      </c>
      <c r="H822">
        <v>1276.3031006000001</v>
      </c>
      <c r="I822">
        <v>1404.3907471</v>
      </c>
      <c r="J822">
        <v>1381.3599853999999</v>
      </c>
      <c r="K822">
        <v>0</v>
      </c>
      <c r="L822">
        <v>2400</v>
      </c>
      <c r="M822">
        <v>2400</v>
      </c>
      <c r="N822">
        <v>0</v>
      </c>
    </row>
    <row r="823" spans="1:14" x14ac:dyDescent="0.25">
      <c r="A823">
        <v>643.84578199999999</v>
      </c>
      <c r="B823" s="1">
        <f>DATE(2012,2,3) + TIME(20,17,55)</f>
        <v>40942.845775462964</v>
      </c>
      <c r="C823">
        <v>70</v>
      </c>
      <c r="D823">
        <v>61.128742217999999</v>
      </c>
      <c r="E823">
        <v>40</v>
      </c>
      <c r="F823">
        <v>39.973693848000003</v>
      </c>
      <c r="G823">
        <v>1291.5164795000001</v>
      </c>
      <c r="H823">
        <v>1276.0257568</v>
      </c>
      <c r="I823">
        <v>1404.3616943</v>
      </c>
      <c r="J823">
        <v>1381.3331298999999</v>
      </c>
      <c r="K823">
        <v>0</v>
      </c>
      <c r="L823">
        <v>2400</v>
      </c>
      <c r="M823">
        <v>2400</v>
      </c>
      <c r="N823">
        <v>0</v>
      </c>
    </row>
    <row r="824" spans="1:14" x14ac:dyDescent="0.25">
      <c r="A824">
        <v>646.74354200000005</v>
      </c>
      <c r="B824" s="1">
        <f>DATE(2012,2,6) + TIME(17,50,42)</f>
        <v>40945.743541666663</v>
      </c>
      <c r="C824">
        <v>70</v>
      </c>
      <c r="D824">
        <v>60.895160675</v>
      </c>
      <c r="E824">
        <v>40</v>
      </c>
      <c r="F824">
        <v>39.973773956000002</v>
      </c>
      <c r="G824">
        <v>1291.2143555</v>
      </c>
      <c r="H824">
        <v>1275.6206055</v>
      </c>
      <c r="I824">
        <v>1404.3142089999999</v>
      </c>
      <c r="J824">
        <v>1381.2893065999999</v>
      </c>
      <c r="K824">
        <v>0</v>
      </c>
      <c r="L824">
        <v>2400</v>
      </c>
      <c r="M824">
        <v>2400</v>
      </c>
      <c r="N824">
        <v>0</v>
      </c>
    </row>
    <row r="825" spans="1:14" x14ac:dyDescent="0.25">
      <c r="A825">
        <v>649.67067699999996</v>
      </c>
      <c r="B825" s="1">
        <f>DATE(2012,2,9) + TIME(16,5,46)</f>
        <v>40948.670671296299</v>
      </c>
      <c r="C825">
        <v>70</v>
      </c>
      <c r="D825">
        <v>60.643962860000002</v>
      </c>
      <c r="E825">
        <v>40</v>
      </c>
      <c r="F825">
        <v>39.973854064999998</v>
      </c>
      <c r="G825">
        <v>1290.8935547000001</v>
      </c>
      <c r="H825">
        <v>1275.1846923999999</v>
      </c>
      <c r="I825">
        <v>1404.2672118999999</v>
      </c>
      <c r="J825">
        <v>1381.2459716999999</v>
      </c>
      <c r="K825">
        <v>0</v>
      </c>
      <c r="L825">
        <v>2400</v>
      </c>
      <c r="M825">
        <v>2400</v>
      </c>
      <c r="N825">
        <v>0</v>
      </c>
    </row>
    <row r="826" spans="1:14" x14ac:dyDescent="0.25">
      <c r="A826">
        <v>652.618922</v>
      </c>
      <c r="B826" s="1">
        <f>DATE(2012,2,12) + TIME(14,51,14)</f>
        <v>40951.61891203704</v>
      </c>
      <c r="C826">
        <v>70</v>
      </c>
      <c r="D826">
        <v>60.381668091000002</v>
      </c>
      <c r="E826">
        <v>40</v>
      </c>
      <c r="F826">
        <v>39.973934174</v>
      </c>
      <c r="G826">
        <v>1290.5596923999999</v>
      </c>
      <c r="H826">
        <v>1274.7279053</v>
      </c>
      <c r="I826">
        <v>1404.2210693</v>
      </c>
      <c r="J826">
        <v>1381.2032471</v>
      </c>
      <c r="K826">
        <v>0</v>
      </c>
      <c r="L826">
        <v>2400</v>
      </c>
      <c r="M826">
        <v>2400</v>
      </c>
      <c r="N826">
        <v>0</v>
      </c>
    </row>
    <row r="827" spans="1:14" x14ac:dyDescent="0.25">
      <c r="A827">
        <v>655.59458199999995</v>
      </c>
      <c r="B827" s="1">
        <f>DATE(2012,2,15) + TIME(14,16,11)</f>
        <v>40954.594571759262</v>
      </c>
      <c r="C827">
        <v>70</v>
      </c>
      <c r="D827">
        <v>60.109477996999999</v>
      </c>
      <c r="E827">
        <v>40</v>
      </c>
      <c r="F827">
        <v>39.974018096999998</v>
      </c>
      <c r="G827">
        <v>1290.2145995999999</v>
      </c>
      <c r="H827">
        <v>1274.2529297000001</v>
      </c>
      <c r="I827">
        <v>1404.1757812000001</v>
      </c>
      <c r="J827">
        <v>1381.1613769999999</v>
      </c>
      <c r="K827">
        <v>0</v>
      </c>
      <c r="L827">
        <v>2400</v>
      </c>
      <c r="M827">
        <v>2400</v>
      </c>
      <c r="N827">
        <v>0</v>
      </c>
    </row>
    <row r="828" spans="1:14" x14ac:dyDescent="0.25">
      <c r="A828">
        <v>658.605457</v>
      </c>
      <c r="B828" s="1">
        <f>DATE(2012,2,18) + TIME(14,31,51)</f>
        <v>40957.605451388888</v>
      </c>
      <c r="C828">
        <v>70</v>
      </c>
      <c r="D828">
        <v>59.826629638999997</v>
      </c>
      <c r="E828">
        <v>40</v>
      </c>
      <c r="F828">
        <v>39.974098206000001</v>
      </c>
      <c r="G828">
        <v>1289.8579102000001</v>
      </c>
      <c r="H828">
        <v>1273.7593993999999</v>
      </c>
      <c r="I828">
        <v>1404.1312256000001</v>
      </c>
      <c r="J828">
        <v>1381.1201172000001</v>
      </c>
      <c r="K828">
        <v>0</v>
      </c>
      <c r="L828">
        <v>2400</v>
      </c>
      <c r="M828">
        <v>2400</v>
      </c>
      <c r="N828">
        <v>0</v>
      </c>
    </row>
    <row r="829" spans="1:14" x14ac:dyDescent="0.25">
      <c r="A829">
        <v>661.65117399999997</v>
      </c>
      <c r="B829" s="1">
        <f>DATE(2012,2,21) + TIME(15,37,41)</f>
        <v>40960.65116898148</v>
      </c>
      <c r="C829">
        <v>70</v>
      </c>
      <c r="D829">
        <v>59.531562805</v>
      </c>
      <c r="E829">
        <v>40</v>
      </c>
      <c r="F829">
        <v>39.974178314</v>
      </c>
      <c r="G829">
        <v>1289.4888916</v>
      </c>
      <c r="H829">
        <v>1273.2463379000001</v>
      </c>
      <c r="I829">
        <v>1404.0871582</v>
      </c>
      <c r="J829">
        <v>1381.0794678</v>
      </c>
      <c r="K829">
        <v>0</v>
      </c>
      <c r="L829">
        <v>2400</v>
      </c>
      <c r="M829">
        <v>2400</v>
      </c>
      <c r="N829">
        <v>0</v>
      </c>
    </row>
    <row r="830" spans="1:14" x14ac:dyDescent="0.25">
      <c r="A830">
        <v>664.73254899999995</v>
      </c>
      <c r="B830" s="1">
        <f>DATE(2012,2,24) + TIME(17,34,52)</f>
        <v>40963.732546296298</v>
      </c>
      <c r="C830">
        <v>70</v>
      </c>
      <c r="D830">
        <v>59.22328186</v>
      </c>
      <c r="E830">
        <v>40</v>
      </c>
      <c r="F830">
        <v>39.974262238000001</v>
      </c>
      <c r="G830">
        <v>1289.1074219</v>
      </c>
      <c r="H830">
        <v>1272.7132568</v>
      </c>
      <c r="I830">
        <v>1404.0437012</v>
      </c>
      <c r="J830">
        <v>1381.0391846</v>
      </c>
      <c r="K830">
        <v>0</v>
      </c>
      <c r="L830">
        <v>2400</v>
      </c>
      <c r="M830">
        <v>2400</v>
      </c>
      <c r="N830">
        <v>0</v>
      </c>
    </row>
    <row r="831" spans="1:14" x14ac:dyDescent="0.25">
      <c r="A831">
        <v>667.85010599999998</v>
      </c>
      <c r="B831" s="1">
        <f>DATE(2012,2,27) + TIME(20,24,9)</f>
        <v>40966.850104166668</v>
      </c>
      <c r="C831">
        <v>70</v>
      </c>
      <c r="D831">
        <v>58.900829315000003</v>
      </c>
      <c r="E831">
        <v>40</v>
      </c>
      <c r="F831">
        <v>39.974342346</v>
      </c>
      <c r="G831">
        <v>1288.7136230000001</v>
      </c>
      <c r="H831">
        <v>1272.1602783000001</v>
      </c>
      <c r="I831">
        <v>1404.0006103999999</v>
      </c>
      <c r="J831">
        <v>1380.9992675999999</v>
      </c>
      <c r="K831">
        <v>0</v>
      </c>
      <c r="L831">
        <v>2400</v>
      </c>
      <c r="M831">
        <v>2400</v>
      </c>
      <c r="N831">
        <v>0</v>
      </c>
    </row>
    <row r="832" spans="1:14" x14ac:dyDescent="0.25">
      <c r="A832">
        <v>670</v>
      </c>
      <c r="B832" s="1">
        <f>DATE(2012,3,1) + TIME(0,0,0)</f>
        <v>40969</v>
      </c>
      <c r="C832">
        <v>70</v>
      </c>
      <c r="D832">
        <v>58.593376159999998</v>
      </c>
      <c r="E832">
        <v>40</v>
      </c>
      <c r="F832">
        <v>39.974399566999999</v>
      </c>
      <c r="G832">
        <v>1288.3112793</v>
      </c>
      <c r="H832">
        <v>1271.6013184000001</v>
      </c>
      <c r="I832">
        <v>1403.9575195</v>
      </c>
      <c r="J832">
        <v>1380.9593506000001</v>
      </c>
      <c r="K832">
        <v>0</v>
      </c>
      <c r="L832">
        <v>2400</v>
      </c>
      <c r="M832">
        <v>2400</v>
      </c>
      <c r="N832">
        <v>0</v>
      </c>
    </row>
    <row r="833" spans="1:14" x14ac:dyDescent="0.25">
      <c r="A833">
        <v>673.14543200000003</v>
      </c>
      <c r="B833" s="1">
        <f>DATE(2012,3,4) + TIME(3,29,25)</f>
        <v>40972.145428240743</v>
      </c>
      <c r="C833">
        <v>70</v>
      </c>
      <c r="D833">
        <v>58.306545258</v>
      </c>
      <c r="E833">
        <v>40</v>
      </c>
      <c r="F833">
        <v>39.974479674999998</v>
      </c>
      <c r="G833">
        <v>1288.0115966999999</v>
      </c>
      <c r="H833">
        <v>1271.1608887</v>
      </c>
      <c r="I833">
        <v>1403.9288329999999</v>
      </c>
      <c r="J833">
        <v>1380.9327393000001</v>
      </c>
      <c r="K833">
        <v>0</v>
      </c>
      <c r="L833">
        <v>2400</v>
      </c>
      <c r="M833">
        <v>2400</v>
      </c>
      <c r="N833">
        <v>0</v>
      </c>
    </row>
    <row r="834" spans="1:14" x14ac:dyDescent="0.25">
      <c r="A834">
        <v>676.35225200000002</v>
      </c>
      <c r="B834" s="1">
        <f>DATE(2012,3,7) + TIME(8,27,14)</f>
        <v>40975.35224537037</v>
      </c>
      <c r="C834">
        <v>70</v>
      </c>
      <c r="D834">
        <v>57.957088470000002</v>
      </c>
      <c r="E834">
        <v>40</v>
      </c>
      <c r="F834">
        <v>39.974563599</v>
      </c>
      <c r="G834">
        <v>1287.5980225000001</v>
      </c>
      <c r="H834">
        <v>1270.5775146000001</v>
      </c>
      <c r="I834">
        <v>1403.8870850000001</v>
      </c>
      <c r="J834">
        <v>1380.894043</v>
      </c>
      <c r="K834">
        <v>0</v>
      </c>
      <c r="L834">
        <v>2400</v>
      </c>
      <c r="M834">
        <v>2400</v>
      </c>
      <c r="N834">
        <v>0</v>
      </c>
    </row>
    <row r="835" spans="1:14" x14ac:dyDescent="0.25">
      <c r="A835">
        <v>679.59723899999995</v>
      </c>
      <c r="B835" s="1">
        <f>DATE(2012,3,10) + TIME(14,20,1)</f>
        <v>40978.597233796296</v>
      </c>
      <c r="C835">
        <v>70</v>
      </c>
      <c r="D835">
        <v>57.578769684000001</v>
      </c>
      <c r="E835">
        <v>40</v>
      </c>
      <c r="F835">
        <v>39.974647521999998</v>
      </c>
      <c r="G835">
        <v>1287.1628418</v>
      </c>
      <c r="H835">
        <v>1269.9566649999999</v>
      </c>
      <c r="I835">
        <v>1403.8452147999999</v>
      </c>
      <c r="J835">
        <v>1380.8552245999999</v>
      </c>
      <c r="K835">
        <v>0</v>
      </c>
      <c r="L835">
        <v>2400</v>
      </c>
      <c r="M835">
        <v>2400</v>
      </c>
      <c r="N835">
        <v>0</v>
      </c>
    </row>
    <row r="836" spans="1:14" x14ac:dyDescent="0.25">
      <c r="A836">
        <v>682.87821599999995</v>
      </c>
      <c r="B836" s="1">
        <f>DATE(2012,3,13) + TIME(21,4,37)</f>
        <v>40981.878206018519</v>
      </c>
      <c r="C836">
        <v>70</v>
      </c>
      <c r="D836">
        <v>57.180000305</v>
      </c>
      <c r="E836">
        <v>40</v>
      </c>
      <c r="F836">
        <v>39.974731445000003</v>
      </c>
      <c r="G836">
        <v>1286.7143555</v>
      </c>
      <c r="H836">
        <v>1269.3126221</v>
      </c>
      <c r="I836">
        <v>1403.8034668</v>
      </c>
      <c r="J836">
        <v>1380.8165283000001</v>
      </c>
      <c r="K836">
        <v>0</v>
      </c>
      <c r="L836">
        <v>2400</v>
      </c>
      <c r="M836">
        <v>2400</v>
      </c>
      <c r="N836">
        <v>0</v>
      </c>
    </row>
    <row r="837" spans="1:14" x14ac:dyDescent="0.25">
      <c r="A837">
        <v>686.19093099999998</v>
      </c>
      <c r="B837" s="1">
        <f>DATE(2012,3,17) + TIME(4,34,56)</f>
        <v>40985.190925925926</v>
      </c>
      <c r="C837">
        <v>70</v>
      </c>
      <c r="D837">
        <v>56.762245178000001</v>
      </c>
      <c r="E837">
        <v>40</v>
      </c>
      <c r="F837">
        <v>39.974811553999999</v>
      </c>
      <c r="G837">
        <v>1286.2545166</v>
      </c>
      <c r="H837">
        <v>1268.6488036999999</v>
      </c>
      <c r="I837">
        <v>1403.7619629000001</v>
      </c>
      <c r="J837">
        <v>1380.7779541</v>
      </c>
      <c r="K837">
        <v>0</v>
      </c>
      <c r="L837">
        <v>2400</v>
      </c>
      <c r="M837">
        <v>2400</v>
      </c>
      <c r="N837">
        <v>0</v>
      </c>
    </row>
    <row r="838" spans="1:14" x14ac:dyDescent="0.25">
      <c r="A838">
        <v>689.54068299999994</v>
      </c>
      <c r="B838" s="1">
        <f>DATE(2012,3,20) + TIME(12,58,35)</f>
        <v>40988.540682870371</v>
      </c>
      <c r="C838">
        <v>70</v>
      </c>
      <c r="D838">
        <v>56.325645446999999</v>
      </c>
      <c r="E838">
        <v>40</v>
      </c>
      <c r="F838">
        <v>39.974895476999997</v>
      </c>
      <c r="G838">
        <v>1285.7843018000001</v>
      </c>
      <c r="H838">
        <v>1267.9666748</v>
      </c>
      <c r="I838">
        <v>1403.7205810999999</v>
      </c>
      <c r="J838">
        <v>1380.7395019999999</v>
      </c>
      <c r="K838">
        <v>0</v>
      </c>
      <c r="L838">
        <v>2400</v>
      </c>
      <c r="M838">
        <v>2400</v>
      </c>
      <c r="N838">
        <v>0</v>
      </c>
    </row>
    <row r="839" spans="1:14" x14ac:dyDescent="0.25">
      <c r="A839">
        <v>692.93579899999997</v>
      </c>
      <c r="B839" s="1">
        <f>DATE(2012,3,23) + TIME(22,27,33)</f>
        <v>40991.935798611114</v>
      </c>
      <c r="C839">
        <v>70</v>
      </c>
      <c r="D839">
        <v>55.869297027999998</v>
      </c>
      <c r="E839">
        <v>40</v>
      </c>
      <c r="F839">
        <v>39.974979400999999</v>
      </c>
      <c r="G839">
        <v>1285.3038329999999</v>
      </c>
      <c r="H839">
        <v>1267.2661132999999</v>
      </c>
      <c r="I839">
        <v>1403.6791992000001</v>
      </c>
      <c r="J839">
        <v>1380.7010498</v>
      </c>
      <c r="K839">
        <v>0</v>
      </c>
      <c r="L839">
        <v>2400</v>
      </c>
      <c r="M839">
        <v>2400</v>
      </c>
      <c r="N839">
        <v>0</v>
      </c>
    </row>
    <row r="840" spans="1:14" x14ac:dyDescent="0.25">
      <c r="A840">
        <v>696.37435800000003</v>
      </c>
      <c r="B840" s="1">
        <f>DATE(2012,3,27) + TIME(8,59,4)</f>
        <v>40995.374351851853</v>
      </c>
      <c r="C840">
        <v>70</v>
      </c>
      <c r="D840">
        <v>55.392127991000002</v>
      </c>
      <c r="E840">
        <v>40</v>
      </c>
      <c r="F840">
        <v>39.975063323999997</v>
      </c>
      <c r="G840">
        <v>1284.8123779</v>
      </c>
      <c r="H840">
        <v>1266.5462646000001</v>
      </c>
      <c r="I840">
        <v>1403.6376952999999</v>
      </c>
      <c r="J840">
        <v>1380.6624756000001</v>
      </c>
      <c r="K840">
        <v>0</v>
      </c>
      <c r="L840">
        <v>2400</v>
      </c>
      <c r="M840">
        <v>2400</v>
      </c>
      <c r="N840">
        <v>0</v>
      </c>
    </row>
    <row r="841" spans="1:14" x14ac:dyDescent="0.25">
      <c r="A841">
        <v>699.85372600000005</v>
      </c>
      <c r="B841" s="1">
        <f>DATE(2012,3,30) + TIME(20,29,21)</f>
        <v>40998.853715277779</v>
      </c>
      <c r="C841">
        <v>70</v>
      </c>
      <c r="D841">
        <v>54.894012451000002</v>
      </c>
      <c r="E841">
        <v>40</v>
      </c>
      <c r="F841">
        <v>39.975147247000002</v>
      </c>
      <c r="G841">
        <v>1284.3105469</v>
      </c>
      <c r="H841">
        <v>1265.8077393000001</v>
      </c>
      <c r="I841">
        <v>1403.5960693</v>
      </c>
      <c r="J841">
        <v>1380.6236572</v>
      </c>
      <c r="K841">
        <v>0</v>
      </c>
      <c r="L841">
        <v>2400</v>
      </c>
      <c r="M841">
        <v>2400</v>
      </c>
      <c r="N841">
        <v>0</v>
      </c>
    </row>
    <row r="842" spans="1:14" x14ac:dyDescent="0.25">
      <c r="A842">
        <v>701</v>
      </c>
      <c r="B842" s="1">
        <f>DATE(2012,4,1) + TIME(0,0,0)</f>
        <v>41000</v>
      </c>
      <c r="C842">
        <v>70</v>
      </c>
      <c r="D842">
        <v>54.518512725999997</v>
      </c>
      <c r="E842">
        <v>40</v>
      </c>
      <c r="F842">
        <v>39.975173949999999</v>
      </c>
      <c r="G842">
        <v>1283.8138428</v>
      </c>
      <c r="H842">
        <v>1265.119751</v>
      </c>
      <c r="I842">
        <v>1403.5535889</v>
      </c>
      <c r="J842">
        <v>1380.5839844</v>
      </c>
      <c r="K842">
        <v>0</v>
      </c>
      <c r="L842">
        <v>2400</v>
      </c>
      <c r="M842">
        <v>2400</v>
      </c>
      <c r="N842">
        <v>0</v>
      </c>
    </row>
    <row r="843" spans="1:14" x14ac:dyDescent="0.25">
      <c r="A843">
        <v>704.52947500000005</v>
      </c>
      <c r="B843" s="1">
        <f>DATE(2012,4,4) + TIME(12,42,26)</f>
        <v>41003.529467592591</v>
      </c>
      <c r="C843">
        <v>70</v>
      </c>
      <c r="D843">
        <v>54.161197661999999</v>
      </c>
      <c r="E843">
        <v>40</v>
      </c>
      <c r="F843">
        <v>39.975261688000003</v>
      </c>
      <c r="G843">
        <v>1283.6087646000001</v>
      </c>
      <c r="H843">
        <v>1264.7518310999999</v>
      </c>
      <c r="I843">
        <v>1403.5406493999999</v>
      </c>
      <c r="J843">
        <v>1380.5718993999999</v>
      </c>
      <c r="K843">
        <v>0</v>
      </c>
      <c r="L843">
        <v>2400</v>
      </c>
      <c r="M843">
        <v>2400</v>
      </c>
      <c r="N843">
        <v>0</v>
      </c>
    </row>
    <row r="844" spans="1:14" x14ac:dyDescent="0.25">
      <c r="A844">
        <v>708.11684500000001</v>
      </c>
      <c r="B844" s="1">
        <f>DATE(2012,4,8) + TIME(2,48,15)</f>
        <v>41007.116840277777</v>
      </c>
      <c r="C844">
        <v>70</v>
      </c>
      <c r="D844">
        <v>53.646347046000002</v>
      </c>
      <c r="E844">
        <v>40</v>
      </c>
      <c r="F844">
        <v>39.975345611999998</v>
      </c>
      <c r="G844">
        <v>1283.1051024999999</v>
      </c>
      <c r="H844">
        <v>1264.0148925999999</v>
      </c>
      <c r="I844">
        <v>1403.4986572</v>
      </c>
      <c r="J844">
        <v>1380.5327147999999</v>
      </c>
      <c r="K844">
        <v>0</v>
      </c>
      <c r="L844">
        <v>2400</v>
      </c>
      <c r="M844">
        <v>2400</v>
      </c>
      <c r="N844">
        <v>0</v>
      </c>
    </row>
    <row r="845" spans="1:14" x14ac:dyDescent="0.25">
      <c r="A845">
        <v>711.754007</v>
      </c>
      <c r="B845" s="1">
        <f>DATE(2012,4,11) + TIME(18,5,46)</f>
        <v>41010.754004629627</v>
      </c>
      <c r="C845">
        <v>70</v>
      </c>
      <c r="D845">
        <v>53.083847046000002</v>
      </c>
      <c r="E845">
        <v>40</v>
      </c>
      <c r="F845">
        <v>39.975429535000004</v>
      </c>
      <c r="G845">
        <v>1282.5769043</v>
      </c>
      <c r="H845">
        <v>1263.2268065999999</v>
      </c>
      <c r="I845">
        <v>1403.4561768000001</v>
      </c>
      <c r="J845">
        <v>1380.4930420000001</v>
      </c>
      <c r="K845">
        <v>0</v>
      </c>
      <c r="L845">
        <v>2400</v>
      </c>
      <c r="M845">
        <v>2400</v>
      </c>
      <c r="N845">
        <v>0</v>
      </c>
    </row>
    <row r="846" spans="1:14" x14ac:dyDescent="0.25">
      <c r="A846">
        <v>715.45110499999998</v>
      </c>
      <c r="B846" s="1">
        <f>DATE(2012,4,15) + TIME(10,49,35)</f>
        <v>41014.451099537036</v>
      </c>
      <c r="C846">
        <v>70</v>
      </c>
      <c r="D846">
        <v>52.495574951000002</v>
      </c>
      <c r="E846">
        <v>40</v>
      </c>
      <c r="F846">
        <v>39.975517273000001</v>
      </c>
      <c r="G846">
        <v>1282.0378418</v>
      </c>
      <c r="H846">
        <v>1262.4160156</v>
      </c>
      <c r="I846">
        <v>1403.4133300999999</v>
      </c>
      <c r="J846">
        <v>1380.4530029</v>
      </c>
      <c r="K846">
        <v>0</v>
      </c>
      <c r="L846">
        <v>2400</v>
      </c>
      <c r="M846">
        <v>2400</v>
      </c>
      <c r="N846">
        <v>0</v>
      </c>
    </row>
    <row r="847" spans="1:14" x14ac:dyDescent="0.25">
      <c r="A847">
        <v>719.20115499999997</v>
      </c>
      <c r="B847" s="1">
        <f>DATE(2012,4,19) + TIME(4,49,39)</f>
        <v>41018.201145833336</v>
      </c>
      <c r="C847">
        <v>70</v>
      </c>
      <c r="D847">
        <v>51.884998322000001</v>
      </c>
      <c r="E847">
        <v>40</v>
      </c>
      <c r="F847">
        <v>39.975605010999999</v>
      </c>
      <c r="G847">
        <v>1281.4895019999999</v>
      </c>
      <c r="H847">
        <v>1261.5870361</v>
      </c>
      <c r="I847">
        <v>1403.3699951000001</v>
      </c>
      <c r="J847">
        <v>1380.4123535000001</v>
      </c>
      <c r="K847">
        <v>0</v>
      </c>
      <c r="L847">
        <v>2400</v>
      </c>
      <c r="M847">
        <v>2400</v>
      </c>
      <c r="N847">
        <v>0</v>
      </c>
    </row>
    <row r="848" spans="1:14" x14ac:dyDescent="0.25">
      <c r="A848">
        <v>723.01052400000003</v>
      </c>
      <c r="B848" s="1">
        <f>DATE(2012,4,23) + TIME(0,15,9)</f>
        <v>41022.010520833333</v>
      </c>
      <c r="C848">
        <v>70</v>
      </c>
      <c r="D848">
        <v>51.254230499000002</v>
      </c>
      <c r="E848">
        <v>40</v>
      </c>
      <c r="F848">
        <v>39.975688933999997</v>
      </c>
      <c r="G848">
        <v>1280.9343262</v>
      </c>
      <c r="H848">
        <v>1260.7430420000001</v>
      </c>
      <c r="I848">
        <v>1403.3260498</v>
      </c>
      <c r="J848">
        <v>1380.3712158000001</v>
      </c>
      <c r="K848">
        <v>0</v>
      </c>
      <c r="L848">
        <v>2400</v>
      </c>
      <c r="M848">
        <v>2400</v>
      </c>
      <c r="N848">
        <v>0</v>
      </c>
    </row>
    <row r="849" spans="1:14" x14ac:dyDescent="0.25">
      <c r="A849">
        <v>726.88496599999996</v>
      </c>
      <c r="B849" s="1">
        <f>DATE(2012,4,26) + TIME(21,14,21)</f>
        <v>41025.884965277779</v>
      </c>
      <c r="C849">
        <v>70</v>
      </c>
      <c r="D849">
        <v>50.603843689000001</v>
      </c>
      <c r="E849">
        <v>40</v>
      </c>
      <c r="F849">
        <v>39.975776672000002</v>
      </c>
      <c r="G849">
        <v>1280.3725586</v>
      </c>
      <c r="H849">
        <v>1259.8847656</v>
      </c>
      <c r="I849">
        <v>1403.2816161999999</v>
      </c>
      <c r="J849">
        <v>1380.3294678</v>
      </c>
      <c r="K849">
        <v>0</v>
      </c>
      <c r="L849">
        <v>2400</v>
      </c>
      <c r="M849">
        <v>2400</v>
      </c>
      <c r="N849">
        <v>0</v>
      </c>
    </row>
    <row r="850" spans="1:14" x14ac:dyDescent="0.25">
      <c r="A850">
        <v>728.94248300000004</v>
      </c>
      <c r="B850" s="1">
        <f>DATE(2012,4,28) + TIME(22,37,10)</f>
        <v>41027.942476851851</v>
      </c>
      <c r="C850">
        <v>70</v>
      </c>
      <c r="D850">
        <v>50.022182465</v>
      </c>
      <c r="E850">
        <v>40</v>
      </c>
      <c r="F850">
        <v>39.975822448999999</v>
      </c>
      <c r="G850">
        <v>1279.8100586</v>
      </c>
      <c r="H850">
        <v>1259.0529785000001</v>
      </c>
      <c r="I850">
        <v>1403.2359618999999</v>
      </c>
      <c r="J850">
        <v>1380.2866211</v>
      </c>
      <c r="K850">
        <v>0</v>
      </c>
      <c r="L850">
        <v>2400</v>
      </c>
      <c r="M850">
        <v>2400</v>
      </c>
      <c r="N850">
        <v>0</v>
      </c>
    </row>
    <row r="851" spans="1:14" x14ac:dyDescent="0.25">
      <c r="A851">
        <v>731</v>
      </c>
      <c r="B851" s="1">
        <f>DATE(2012,5,1) + TIME(0,0,0)</f>
        <v>41030</v>
      </c>
      <c r="C851">
        <v>70</v>
      </c>
      <c r="D851">
        <v>49.600727081000002</v>
      </c>
      <c r="E851">
        <v>40</v>
      </c>
      <c r="F851">
        <v>39.975868224999999</v>
      </c>
      <c r="G851">
        <v>1279.4907227000001</v>
      </c>
      <c r="H851">
        <v>1258.5339355000001</v>
      </c>
      <c r="I851">
        <v>1403.2119141000001</v>
      </c>
      <c r="J851">
        <v>1380.2639160000001</v>
      </c>
      <c r="K851">
        <v>0</v>
      </c>
      <c r="L851">
        <v>2400</v>
      </c>
      <c r="M851">
        <v>2400</v>
      </c>
      <c r="N851">
        <v>0</v>
      </c>
    </row>
    <row r="852" spans="1:14" x14ac:dyDescent="0.25">
      <c r="A852">
        <v>731.000001</v>
      </c>
      <c r="B852" s="1">
        <f>DATE(2012,5,1) + TIME(0,0,0)</f>
        <v>41030</v>
      </c>
      <c r="C852">
        <v>70</v>
      </c>
      <c r="D852">
        <v>49.600875854000002</v>
      </c>
      <c r="E852">
        <v>40</v>
      </c>
      <c r="F852">
        <v>39.975765228</v>
      </c>
      <c r="G852">
        <v>1302.0357666</v>
      </c>
      <c r="H852">
        <v>1280.4548339999999</v>
      </c>
      <c r="I852">
        <v>1379.3890381000001</v>
      </c>
      <c r="J852">
        <v>1356.78125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731.00000399999999</v>
      </c>
      <c r="B853" s="1">
        <f>DATE(2012,5,1) + TIME(0,0,0)</f>
        <v>41030</v>
      </c>
      <c r="C853">
        <v>70</v>
      </c>
      <c r="D853">
        <v>49.601276398000003</v>
      </c>
      <c r="E853">
        <v>40</v>
      </c>
      <c r="F853">
        <v>39.975479126000003</v>
      </c>
      <c r="G853">
        <v>1304.4215088000001</v>
      </c>
      <c r="H853">
        <v>1283.0200195</v>
      </c>
      <c r="I853">
        <v>1377.0141602000001</v>
      </c>
      <c r="J853">
        <v>1354.4053954999999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731.00001299999997</v>
      </c>
      <c r="B854" s="1">
        <f>DATE(2012,5,1) + TIME(0,0,1)</f>
        <v>41030.000011574077</v>
      </c>
      <c r="C854">
        <v>70</v>
      </c>
      <c r="D854">
        <v>49.602237701</v>
      </c>
      <c r="E854">
        <v>40</v>
      </c>
      <c r="F854">
        <v>39.974815368999998</v>
      </c>
      <c r="G854">
        <v>1309.8833007999999</v>
      </c>
      <c r="H854">
        <v>1288.7531738</v>
      </c>
      <c r="I854">
        <v>1371.4848632999999</v>
      </c>
      <c r="J854">
        <v>1348.8748779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731.00004000000001</v>
      </c>
      <c r="B855" s="1">
        <f>DATE(2012,5,1) + TIME(0,0,3)</f>
        <v>41030.000034722223</v>
      </c>
      <c r="C855">
        <v>70</v>
      </c>
      <c r="D855">
        <v>49.604156494000001</v>
      </c>
      <c r="E855">
        <v>40</v>
      </c>
      <c r="F855">
        <v>39.973644256999997</v>
      </c>
      <c r="G855">
        <v>1319.2998047000001</v>
      </c>
      <c r="H855">
        <v>1298.3254394999999</v>
      </c>
      <c r="I855">
        <v>1361.7290039</v>
      </c>
      <c r="J855">
        <v>1339.1191406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731.00012100000004</v>
      </c>
      <c r="B856" s="1">
        <f>DATE(2012,5,1) + TIME(0,0,10)</f>
        <v>41030.000115740739</v>
      </c>
      <c r="C856">
        <v>70</v>
      </c>
      <c r="D856">
        <v>49.607791900999999</v>
      </c>
      <c r="E856">
        <v>40</v>
      </c>
      <c r="F856">
        <v>39.972141266000001</v>
      </c>
      <c r="G856">
        <v>1331.1394043</v>
      </c>
      <c r="H856">
        <v>1310.1088867000001</v>
      </c>
      <c r="I856">
        <v>1349.2655029</v>
      </c>
      <c r="J856">
        <v>1326.6606445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731.00036399999999</v>
      </c>
      <c r="B857" s="1">
        <f>DATE(2012,5,1) + TIME(0,0,31)</f>
        <v>41030.000358796293</v>
      </c>
      <c r="C857">
        <v>70</v>
      </c>
      <c r="D857">
        <v>49.615837096999996</v>
      </c>
      <c r="E857">
        <v>40</v>
      </c>
      <c r="F857">
        <v>39.970554352000001</v>
      </c>
      <c r="G857">
        <v>1343.5795897999999</v>
      </c>
      <c r="H857">
        <v>1322.4466553</v>
      </c>
      <c r="I857">
        <v>1336.2233887</v>
      </c>
      <c r="J857">
        <v>1313.6297606999999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731.00109299999997</v>
      </c>
      <c r="B858" s="1">
        <f>DATE(2012,5,1) + TIME(0,1,34)</f>
        <v>41030.001087962963</v>
      </c>
      <c r="C858">
        <v>70</v>
      </c>
      <c r="D858">
        <v>49.636997223000002</v>
      </c>
      <c r="E858">
        <v>40</v>
      </c>
      <c r="F858">
        <v>39.968914032000001</v>
      </c>
      <c r="G858">
        <v>1356.3885498</v>
      </c>
      <c r="H858">
        <v>1335.1525879000001</v>
      </c>
      <c r="I858">
        <v>1323.1793213000001</v>
      </c>
      <c r="J858">
        <v>1300.6018065999999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731.00328000000002</v>
      </c>
      <c r="B859" s="1">
        <f>DATE(2012,5,1) + TIME(0,4,43)</f>
        <v>41030.003275462965</v>
      </c>
      <c r="C859">
        <v>70</v>
      </c>
      <c r="D859">
        <v>49.697559357000003</v>
      </c>
      <c r="E859">
        <v>40</v>
      </c>
      <c r="F859">
        <v>39.967105865000001</v>
      </c>
      <c r="G859">
        <v>1369.9875488</v>
      </c>
      <c r="H859">
        <v>1348.6436768000001</v>
      </c>
      <c r="I859">
        <v>1310.0440673999999</v>
      </c>
      <c r="J859">
        <v>1287.4727783000001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731.00984100000005</v>
      </c>
      <c r="B860" s="1">
        <f>DATE(2012,5,1) + TIME(0,14,10)</f>
        <v>41030.009837962964</v>
      </c>
      <c r="C860">
        <v>70</v>
      </c>
      <c r="D860">
        <v>49.875396729000002</v>
      </c>
      <c r="E860">
        <v>40</v>
      </c>
      <c r="F860">
        <v>39.964851379000002</v>
      </c>
      <c r="G860">
        <v>1383.8955077999999</v>
      </c>
      <c r="H860">
        <v>1362.4869385</v>
      </c>
      <c r="I860">
        <v>1297.0778809000001</v>
      </c>
      <c r="J860">
        <v>1274.4822998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731.02952400000004</v>
      </c>
      <c r="B861" s="1">
        <f>DATE(2012,5,1) + TIME(0,42,30)</f>
        <v>41030.029513888891</v>
      </c>
      <c r="C861">
        <v>70</v>
      </c>
      <c r="D861">
        <v>50.393424988</v>
      </c>
      <c r="E861">
        <v>40</v>
      </c>
      <c r="F861">
        <v>39.961517334</v>
      </c>
      <c r="G861">
        <v>1395.2416992000001</v>
      </c>
      <c r="H861">
        <v>1373.9316406</v>
      </c>
      <c r="I861">
        <v>1286.5664062000001</v>
      </c>
      <c r="J861">
        <v>1263.9407959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731.05837699999995</v>
      </c>
      <c r="B862" s="1">
        <f>DATE(2012,5,1) + TIME(1,24,3)</f>
        <v>41030.058368055557</v>
      </c>
      <c r="C862">
        <v>70</v>
      </c>
      <c r="D862">
        <v>51.124351501</v>
      </c>
      <c r="E862">
        <v>40</v>
      </c>
      <c r="F862">
        <v>39.958000183000003</v>
      </c>
      <c r="G862">
        <v>1399.9665527</v>
      </c>
      <c r="H862">
        <v>1378.8769531</v>
      </c>
      <c r="I862">
        <v>1282.3612060999999</v>
      </c>
      <c r="J862">
        <v>1259.7241211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731.08801000000005</v>
      </c>
      <c r="B863" s="1">
        <f>DATE(2012,5,1) + TIME(2,6,44)</f>
        <v>41030.088009259256</v>
      </c>
      <c r="C863">
        <v>70</v>
      </c>
      <c r="D863">
        <v>51.846954345999997</v>
      </c>
      <c r="E863">
        <v>40</v>
      </c>
      <c r="F863">
        <v>39.954772949000002</v>
      </c>
      <c r="G863">
        <v>1401.4819336</v>
      </c>
      <c r="H863">
        <v>1380.6171875</v>
      </c>
      <c r="I863">
        <v>1281.1136475000001</v>
      </c>
      <c r="J863">
        <v>1258.4730225000001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731.11839499999996</v>
      </c>
      <c r="B864" s="1">
        <f>DATE(2012,5,1) + TIME(2,50,29)</f>
        <v>41030.118391203701</v>
      </c>
      <c r="C864">
        <v>70</v>
      </c>
      <c r="D864">
        <v>52.559505463000001</v>
      </c>
      <c r="E864">
        <v>40</v>
      </c>
      <c r="F864">
        <v>39.951610565000003</v>
      </c>
      <c r="G864">
        <v>1401.8879394999999</v>
      </c>
      <c r="H864">
        <v>1381.2453613</v>
      </c>
      <c r="I864">
        <v>1280.7753906</v>
      </c>
      <c r="J864">
        <v>1258.1333007999999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731.14955399999997</v>
      </c>
      <c r="B865" s="1">
        <f>DATE(2012,5,1) + TIME(3,35,21)</f>
        <v>41030.149548611109</v>
      </c>
      <c r="C865">
        <v>70</v>
      </c>
      <c r="D865">
        <v>53.261508941999999</v>
      </c>
      <c r="E865">
        <v>40</v>
      </c>
      <c r="F865">
        <v>39.948429107999999</v>
      </c>
      <c r="G865">
        <v>1401.8728027</v>
      </c>
      <c r="H865">
        <v>1381.4460449000001</v>
      </c>
      <c r="I865">
        <v>1280.7122803</v>
      </c>
      <c r="J865">
        <v>1258.0694579999999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731.18152699999996</v>
      </c>
      <c r="B866" s="1">
        <f>DATE(2012,5,1) + TIME(4,21,23)</f>
        <v>41030.181516203702</v>
      </c>
      <c r="C866">
        <v>70</v>
      </c>
      <c r="D866">
        <v>53.952812195</v>
      </c>
      <c r="E866">
        <v>40</v>
      </c>
      <c r="F866">
        <v>39.945209503000001</v>
      </c>
      <c r="G866">
        <v>1401.6895752</v>
      </c>
      <c r="H866">
        <v>1381.4714355000001</v>
      </c>
      <c r="I866">
        <v>1280.7219238</v>
      </c>
      <c r="J866">
        <v>1258.0786132999999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731.21436200000005</v>
      </c>
      <c r="B867" s="1">
        <f>DATE(2012,5,1) + TIME(5,8,40)</f>
        <v>41030.21435185185</v>
      </c>
      <c r="C867">
        <v>70</v>
      </c>
      <c r="D867">
        <v>54.633346558</v>
      </c>
      <c r="E867">
        <v>40</v>
      </c>
      <c r="F867">
        <v>39.941940308</v>
      </c>
      <c r="G867">
        <v>1401.4387207</v>
      </c>
      <c r="H867">
        <v>1381.4217529</v>
      </c>
      <c r="I867">
        <v>1280.7430420000001</v>
      </c>
      <c r="J867">
        <v>1258.0992432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731.24811499999998</v>
      </c>
      <c r="B868" s="1">
        <f>DATE(2012,5,1) + TIME(5,57,17)</f>
        <v>41030.248113425929</v>
      </c>
      <c r="C868">
        <v>70</v>
      </c>
      <c r="D868">
        <v>55.303073883000003</v>
      </c>
      <c r="E868">
        <v>40</v>
      </c>
      <c r="F868">
        <v>39.938613891999999</v>
      </c>
      <c r="G868">
        <v>1401.1622314000001</v>
      </c>
      <c r="H868">
        <v>1381.3392334</v>
      </c>
      <c r="I868">
        <v>1280.7600098</v>
      </c>
      <c r="J868">
        <v>1258.1158447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731.28284399999995</v>
      </c>
      <c r="B869" s="1">
        <f>DATE(2012,5,1) + TIME(6,47,17)</f>
        <v>41030.282835648148</v>
      </c>
      <c r="C869">
        <v>70</v>
      </c>
      <c r="D869">
        <v>55.961956024000003</v>
      </c>
      <c r="E869">
        <v>40</v>
      </c>
      <c r="F869">
        <v>39.935226440000001</v>
      </c>
      <c r="G869">
        <v>1400.878418</v>
      </c>
      <c r="H869">
        <v>1381.2425536999999</v>
      </c>
      <c r="I869">
        <v>1280.7709961</v>
      </c>
      <c r="J869">
        <v>1258.1264647999999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731.31861400000003</v>
      </c>
      <c r="B870" s="1">
        <f>DATE(2012,5,1) + TIME(7,38,48)</f>
        <v>41030.318611111114</v>
      </c>
      <c r="C870">
        <v>70</v>
      </c>
      <c r="D870">
        <v>56.609901428000001</v>
      </c>
      <c r="E870">
        <v>40</v>
      </c>
      <c r="F870">
        <v>39.931777953999998</v>
      </c>
      <c r="G870">
        <v>1400.5958252</v>
      </c>
      <c r="H870">
        <v>1381.1403809000001</v>
      </c>
      <c r="I870">
        <v>1280.7774658000001</v>
      </c>
      <c r="J870">
        <v>1258.1325684000001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731.35549300000002</v>
      </c>
      <c r="B871" s="1">
        <f>DATE(2012,5,1) + TIME(8,31,54)</f>
        <v>41030.355486111112</v>
      </c>
      <c r="C871">
        <v>70</v>
      </c>
      <c r="D871">
        <v>57.246772765999999</v>
      </c>
      <c r="E871">
        <v>40</v>
      </c>
      <c r="F871">
        <v>39.928256988999998</v>
      </c>
      <c r="G871">
        <v>1400.3182373</v>
      </c>
      <c r="H871">
        <v>1381.0367432</v>
      </c>
      <c r="I871">
        <v>1280.7810059000001</v>
      </c>
      <c r="J871">
        <v>1258.1356201000001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731.39356699999996</v>
      </c>
      <c r="B872" s="1">
        <f>DATE(2012,5,1) + TIME(9,26,44)</f>
        <v>41030.393564814818</v>
      </c>
      <c r="C872">
        <v>70</v>
      </c>
      <c r="D872">
        <v>57.872600554999998</v>
      </c>
      <c r="E872">
        <v>40</v>
      </c>
      <c r="F872">
        <v>39.924663543999998</v>
      </c>
      <c r="G872">
        <v>1400.0471190999999</v>
      </c>
      <c r="H872">
        <v>1380.9333495999999</v>
      </c>
      <c r="I872">
        <v>1280.7827147999999</v>
      </c>
      <c r="J872">
        <v>1258.1369629000001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731.43292399999996</v>
      </c>
      <c r="B873" s="1">
        <f>DATE(2012,5,1) + TIME(10,23,24)</f>
        <v>41030.432916666665</v>
      </c>
      <c r="C873">
        <v>70</v>
      </c>
      <c r="D873">
        <v>58.487277984999999</v>
      </c>
      <c r="E873">
        <v>40</v>
      </c>
      <c r="F873">
        <v>39.920986176</v>
      </c>
      <c r="G873">
        <v>1399.7833252</v>
      </c>
      <c r="H873">
        <v>1380.8312988</v>
      </c>
      <c r="I873">
        <v>1280.7835693</v>
      </c>
      <c r="J873">
        <v>1258.1373291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731.47366</v>
      </c>
      <c r="B874" s="1">
        <f>DATE(2012,5,1) + TIME(11,22,4)</f>
        <v>41030.473657407405</v>
      </c>
      <c r="C874">
        <v>70</v>
      </c>
      <c r="D874">
        <v>59.090698242000002</v>
      </c>
      <c r="E874">
        <v>40</v>
      </c>
      <c r="F874">
        <v>39.917224883999999</v>
      </c>
      <c r="G874">
        <v>1399.5268555</v>
      </c>
      <c r="H874">
        <v>1380.730957</v>
      </c>
      <c r="I874">
        <v>1280.7838135</v>
      </c>
      <c r="J874">
        <v>1258.1370850000001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731.51588500000003</v>
      </c>
      <c r="B875" s="1">
        <f>DATE(2012,5,1) + TIME(12,22,52)</f>
        <v>41030.515879629631</v>
      </c>
      <c r="C875">
        <v>70</v>
      </c>
      <c r="D875">
        <v>59.682723998999997</v>
      </c>
      <c r="E875">
        <v>40</v>
      </c>
      <c r="F875">
        <v>39.913372039999999</v>
      </c>
      <c r="G875">
        <v>1399.2777100000001</v>
      </c>
      <c r="H875">
        <v>1380.6322021000001</v>
      </c>
      <c r="I875">
        <v>1280.7836914</v>
      </c>
      <c r="J875">
        <v>1258.1365966999999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731.55971999999997</v>
      </c>
      <c r="B876" s="1">
        <f>DATE(2012,5,1) + TIME(13,25,59)</f>
        <v>41030.559710648151</v>
      </c>
      <c r="C876">
        <v>70</v>
      </c>
      <c r="D876">
        <v>60.263004303000002</v>
      </c>
      <c r="E876">
        <v>40</v>
      </c>
      <c r="F876">
        <v>39.909412383999999</v>
      </c>
      <c r="G876">
        <v>1399.0354004000001</v>
      </c>
      <c r="H876">
        <v>1380.5351562000001</v>
      </c>
      <c r="I876">
        <v>1280.7833252</v>
      </c>
      <c r="J876">
        <v>1258.1358643000001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731.60530000000006</v>
      </c>
      <c r="B877" s="1">
        <f>DATE(2012,5,1) + TIME(14,31,37)</f>
        <v>41030.60528935185</v>
      </c>
      <c r="C877">
        <v>70</v>
      </c>
      <c r="D877">
        <v>60.831321715999998</v>
      </c>
      <c r="E877">
        <v>40</v>
      </c>
      <c r="F877">
        <v>39.905345916999998</v>
      </c>
      <c r="G877">
        <v>1398.7999268000001</v>
      </c>
      <c r="H877">
        <v>1380.4396973</v>
      </c>
      <c r="I877">
        <v>1280.7829589999999</v>
      </c>
      <c r="J877">
        <v>1258.1348877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731.65277700000001</v>
      </c>
      <c r="B878" s="1">
        <f>DATE(2012,5,1) + TIME(15,39,59)</f>
        <v>41030.652766203704</v>
      </c>
      <c r="C878">
        <v>70</v>
      </c>
      <c r="D878">
        <v>61.387702941999997</v>
      </c>
      <c r="E878">
        <v>40</v>
      </c>
      <c r="F878">
        <v>39.901157378999997</v>
      </c>
      <c r="G878">
        <v>1398.5708007999999</v>
      </c>
      <c r="H878">
        <v>1380.3455810999999</v>
      </c>
      <c r="I878">
        <v>1280.7824707</v>
      </c>
      <c r="J878">
        <v>1258.1339111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731.70232399999998</v>
      </c>
      <c r="B879" s="1">
        <f>DATE(2012,5,1) + TIME(16,51,20)</f>
        <v>41030.702314814815</v>
      </c>
      <c r="C879">
        <v>70</v>
      </c>
      <c r="D879">
        <v>61.931922913000001</v>
      </c>
      <c r="E879">
        <v>40</v>
      </c>
      <c r="F879">
        <v>39.896839141999997</v>
      </c>
      <c r="G879">
        <v>1398.3477783000001</v>
      </c>
      <c r="H879">
        <v>1380.2526855000001</v>
      </c>
      <c r="I879">
        <v>1280.7818603999999</v>
      </c>
      <c r="J879">
        <v>1258.1328125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731.75413800000001</v>
      </c>
      <c r="B880" s="1">
        <f>DATE(2012,5,1) + TIME(18,5,57)</f>
        <v>41030.754131944443</v>
      </c>
      <c r="C880">
        <v>70</v>
      </c>
      <c r="D880">
        <v>62.463745117000002</v>
      </c>
      <c r="E880">
        <v>40</v>
      </c>
      <c r="F880">
        <v>39.892372131000002</v>
      </c>
      <c r="G880">
        <v>1398.130249</v>
      </c>
      <c r="H880">
        <v>1380.1606445</v>
      </c>
      <c r="I880">
        <v>1280.7811279</v>
      </c>
      <c r="J880">
        <v>1258.1317139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731.80846499999996</v>
      </c>
      <c r="B881" s="1">
        <f>DATE(2012,5,1) + TIME(19,24,11)</f>
        <v>41030.80846064815</v>
      </c>
      <c r="C881">
        <v>70</v>
      </c>
      <c r="D881">
        <v>62.983104705999999</v>
      </c>
      <c r="E881">
        <v>40</v>
      </c>
      <c r="F881">
        <v>39.887748717999997</v>
      </c>
      <c r="G881">
        <v>1397.9180908000001</v>
      </c>
      <c r="H881">
        <v>1380.0694579999999</v>
      </c>
      <c r="I881">
        <v>1280.7805175999999</v>
      </c>
      <c r="J881">
        <v>1258.1303711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731.86554699999999</v>
      </c>
      <c r="B882" s="1">
        <f>DATE(2012,5,1) + TIME(20,46,23)</f>
        <v>41030.865543981483</v>
      </c>
      <c r="C882">
        <v>70</v>
      </c>
      <c r="D882">
        <v>63.489517212000003</v>
      </c>
      <c r="E882">
        <v>40</v>
      </c>
      <c r="F882">
        <v>39.882946013999998</v>
      </c>
      <c r="G882">
        <v>1397.7109375</v>
      </c>
      <c r="H882">
        <v>1379.9788818</v>
      </c>
      <c r="I882">
        <v>1280.7796631000001</v>
      </c>
      <c r="J882">
        <v>1258.1290283000001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731.92568100000005</v>
      </c>
      <c r="B883" s="1">
        <f>DATE(2012,5,1) + TIME(22,12,58)</f>
        <v>41030.925671296296</v>
      </c>
      <c r="C883">
        <v>70</v>
      </c>
      <c r="D883">
        <v>63.982624053999999</v>
      </c>
      <c r="E883">
        <v>40</v>
      </c>
      <c r="F883">
        <v>39.877952575999998</v>
      </c>
      <c r="G883">
        <v>1397.5083007999999</v>
      </c>
      <c r="H883">
        <v>1379.8885498</v>
      </c>
      <c r="I883">
        <v>1280.7788086</v>
      </c>
      <c r="J883">
        <v>1258.1276855000001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731.98921600000006</v>
      </c>
      <c r="B884" s="1">
        <f>DATE(2012,5,1) + TIME(23,44,28)</f>
        <v>41030.989212962966</v>
      </c>
      <c r="C884">
        <v>70</v>
      </c>
      <c r="D884">
        <v>64.462066649999997</v>
      </c>
      <c r="E884">
        <v>40</v>
      </c>
      <c r="F884">
        <v>39.872741699000002</v>
      </c>
      <c r="G884">
        <v>1397.3099365</v>
      </c>
      <c r="H884">
        <v>1379.7982178</v>
      </c>
      <c r="I884">
        <v>1280.7779541</v>
      </c>
      <c r="J884">
        <v>1258.1260986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732.05656199999999</v>
      </c>
      <c r="B885" s="1">
        <f>DATE(2012,5,2) + TIME(1,21,26)</f>
        <v>41031.056550925925</v>
      </c>
      <c r="C885">
        <v>70</v>
      </c>
      <c r="D885">
        <v>64.927429199000002</v>
      </c>
      <c r="E885">
        <v>40</v>
      </c>
      <c r="F885">
        <v>39.867290496999999</v>
      </c>
      <c r="G885">
        <v>1397.1154785000001</v>
      </c>
      <c r="H885">
        <v>1379.7078856999999</v>
      </c>
      <c r="I885">
        <v>1280.7768555</v>
      </c>
      <c r="J885">
        <v>1258.1245117000001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732.12820599999998</v>
      </c>
      <c r="B886" s="1">
        <f>DATE(2012,5,2) + TIME(3,4,37)</f>
        <v>41031.128206018519</v>
      </c>
      <c r="C886">
        <v>70</v>
      </c>
      <c r="D886">
        <v>65.378356933999996</v>
      </c>
      <c r="E886">
        <v>40</v>
      </c>
      <c r="F886">
        <v>39.861568450999997</v>
      </c>
      <c r="G886">
        <v>1396.9245605000001</v>
      </c>
      <c r="H886">
        <v>1379.6169434000001</v>
      </c>
      <c r="I886">
        <v>1280.7758789</v>
      </c>
      <c r="J886">
        <v>1258.1228027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732.20473400000003</v>
      </c>
      <c r="B887" s="1">
        <f>DATE(2012,5,2) + TIME(4,54,48)</f>
        <v>41031.204722222225</v>
      </c>
      <c r="C887">
        <v>70</v>
      </c>
      <c r="D887">
        <v>65.814292907999999</v>
      </c>
      <c r="E887">
        <v>40</v>
      </c>
      <c r="F887">
        <v>39.855537415000001</v>
      </c>
      <c r="G887">
        <v>1396.7368164</v>
      </c>
      <c r="H887">
        <v>1379.5252685999999</v>
      </c>
      <c r="I887">
        <v>1280.7746582</v>
      </c>
      <c r="J887">
        <v>1258.1209716999999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732.28684999999996</v>
      </c>
      <c r="B888" s="1">
        <f>DATE(2012,5,2) + TIME(6,53,3)</f>
        <v>41031.286840277775</v>
      </c>
      <c r="C888">
        <v>70</v>
      </c>
      <c r="D888">
        <v>66.234649657999995</v>
      </c>
      <c r="E888">
        <v>40</v>
      </c>
      <c r="F888">
        <v>39.849155426000003</v>
      </c>
      <c r="G888">
        <v>1396.5517577999999</v>
      </c>
      <c r="H888">
        <v>1379.4323730000001</v>
      </c>
      <c r="I888">
        <v>1280.7734375</v>
      </c>
      <c r="J888">
        <v>1258.1190185999999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732.37542499999995</v>
      </c>
      <c r="B889" s="1">
        <f>DATE(2012,5,2) + TIME(9,0,36)</f>
        <v>41031.375416666669</v>
      </c>
      <c r="C889">
        <v>70</v>
      </c>
      <c r="D889">
        <v>66.638824463000006</v>
      </c>
      <c r="E889">
        <v>40</v>
      </c>
      <c r="F889">
        <v>39.842372894</v>
      </c>
      <c r="G889">
        <v>1396.3690185999999</v>
      </c>
      <c r="H889">
        <v>1379.3381348</v>
      </c>
      <c r="I889">
        <v>1280.7720947</v>
      </c>
      <c r="J889">
        <v>1258.1169434000001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732.47153600000001</v>
      </c>
      <c r="B890" s="1">
        <f>DATE(2012,5,2) + TIME(11,19,0)</f>
        <v>41031.47152777778</v>
      </c>
      <c r="C890">
        <v>70</v>
      </c>
      <c r="D890">
        <v>67.026123046999999</v>
      </c>
      <c r="E890">
        <v>40</v>
      </c>
      <c r="F890">
        <v>39.835121155000003</v>
      </c>
      <c r="G890">
        <v>1396.1879882999999</v>
      </c>
      <c r="H890">
        <v>1379.2418213000001</v>
      </c>
      <c r="I890">
        <v>1280.7706298999999</v>
      </c>
      <c r="J890">
        <v>1258.114624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732.57656999999995</v>
      </c>
      <c r="B891" s="1">
        <f>DATE(2012,5,2) + TIME(13,50,15)</f>
        <v>41031.576562499999</v>
      </c>
      <c r="C891">
        <v>70</v>
      </c>
      <c r="D891">
        <v>67.395820618000002</v>
      </c>
      <c r="E891">
        <v>40</v>
      </c>
      <c r="F891">
        <v>39.827327728</v>
      </c>
      <c r="G891">
        <v>1396.0080565999999</v>
      </c>
      <c r="H891">
        <v>1379.1429443</v>
      </c>
      <c r="I891">
        <v>1280.769043</v>
      </c>
      <c r="J891">
        <v>1258.1121826000001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732.69233599999995</v>
      </c>
      <c r="B892" s="1">
        <f>DATE(2012,5,2) + TIME(16,36,57)</f>
        <v>41031.692326388889</v>
      </c>
      <c r="C892">
        <v>70</v>
      </c>
      <c r="D892">
        <v>67.747146606000001</v>
      </c>
      <c r="E892">
        <v>40</v>
      </c>
      <c r="F892">
        <v>39.818878173999998</v>
      </c>
      <c r="G892">
        <v>1395.8286132999999</v>
      </c>
      <c r="H892">
        <v>1379.0410156</v>
      </c>
      <c r="I892">
        <v>1280.7673339999999</v>
      </c>
      <c r="J892">
        <v>1258.1096190999999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732.81684099999995</v>
      </c>
      <c r="B893" s="1">
        <f>DATE(2012,5,2) + TIME(19,36,15)</f>
        <v>41031.816840277781</v>
      </c>
      <c r="C893">
        <v>70</v>
      </c>
      <c r="D893">
        <v>68.069557189999998</v>
      </c>
      <c r="E893">
        <v>40</v>
      </c>
      <c r="F893">
        <v>39.80991745</v>
      </c>
      <c r="G893">
        <v>1395.6534423999999</v>
      </c>
      <c r="H893">
        <v>1378.9371338000001</v>
      </c>
      <c r="I893">
        <v>1280.7653809000001</v>
      </c>
      <c r="J893">
        <v>1258.1066894999999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732.94144300000005</v>
      </c>
      <c r="B894" s="1">
        <f>DATE(2012,5,2) + TIME(22,35,40)</f>
        <v>41031.941435185188</v>
      </c>
      <c r="C894">
        <v>70</v>
      </c>
      <c r="D894">
        <v>68.344825744999994</v>
      </c>
      <c r="E894">
        <v>40</v>
      </c>
      <c r="F894">
        <v>39.800983428999999</v>
      </c>
      <c r="G894">
        <v>1395.4913329999999</v>
      </c>
      <c r="H894">
        <v>1378.8359375</v>
      </c>
      <c r="I894">
        <v>1280.7631836</v>
      </c>
      <c r="J894">
        <v>1258.1036377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733.06709000000001</v>
      </c>
      <c r="B895" s="1">
        <f>DATE(2012,5,3) + TIME(1,36,36)</f>
        <v>41032.067083333335</v>
      </c>
      <c r="C895">
        <v>70</v>
      </c>
      <c r="D895">
        <v>68.581336974999999</v>
      </c>
      <c r="E895">
        <v>40</v>
      </c>
      <c r="F895">
        <v>39.792022705000001</v>
      </c>
      <c r="G895">
        <v>1395.3411865</v>
      </c>
      <c r="H895">
        <v>1378.7393798999999</v>
      </c>
      <c r="I895">
        <v>1280.7609863</v>
      </c>
      <c r="J895">
        <v>1258.1004639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733.19422499999996</v>
      </c>
      <c r="B896" s="1">
        <f>DATE(2012,5,3) + TIME(4,39,41)</f>
        <v>41032.194224537037</v>
      </c>
      <c r="C896">
        <v>70</v>
      </c>
      <c r="D896">
        <v>68.784873962000006</v>
      </c>
      <c r="E896">
        <v>40</v>
      </c>
      <c r="F896">
        <v>39.783000946000001</v>
      </c>
      <c r="G896">
        <v>1395.2011719</v>
      </c>
      <c r="H896">
        <v>1378.6466064000001</v>
      </c>
      <c r="I896">
        <v>1280.7586670000001</v>
      </c>
      <c r="J896">
        <v>1258.0974120999999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733.32329400000003</v>
      </c>
      <c r="B897" s="1">
        <f>DATE(2012,5,3) + TIME(7,45,32)</f>
        <v>41032.323287037034</v>
      </c>
      <c r="C897">
        <v>70</v>
      </c>
      <c r="D897">
        <v>68.960227966000005</v>
      </c>
      <c r="E897">
        <v>40</v>
      </c>
      <c r="F897">
        <v>39.773895263999997</v>
      </c>
      <c r="G897">
        <v>1395.0698242000001</v>
      </c>
      <c r="H897">
        <v>1378.5570068</v>
      </c>
      <c r="I897">
        <v>1280.7564697</v>
      </c>
      <c r="J897">
        <v>1258.0942382999999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733.45473800000002</v>
      </c>
      <c r="B898" s="1">
        <f>DATE(2012,5,3) + TIME(10,54,49)</f>
        <v>41032.454733796294</v>
      </c>
      <c r="C898">
        <v>70</v>
      </c>
      <c r="D898">
        <v>69.111358643000003</v>
      </c>
      <c r="E898">
        <v>40</v>
      </c>
      <c r="F898">
        <v>39.764675140000001</v>
      </c>
      <c r="G898">
        <v>1394.9456786999999</v>
      </c>
      <c r="H898">
        <v>1378.4699707</v>
      </c>
      <c r="I898">
        <v>1280.7541504000001</v>
      </c>
      <c r="J898">
        <v>1258.0910644999999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733.58900000000006</v>
      </c>
      <c r="B899" s="1">
        <f>DATE(2012,5,3) + TIME(14,8,9)</f>
        <v>41032.588993055557</v>
      </c>
      <c r="C899">
        <v>70</v>
      </c>
      <c r="D899">
        <v>69.241592406999999</v>
      </c>
      <c r="E899">
        <v>40</v>
      </c>
      <c r="F899">
        <v>39.755317687999998</v>
      </c>
      <c r="G899">
        <v>1394.8276367000001</v>
      </c>
      <c r="H899">
        <v>1378.385376</v>
      </c>
      <c r="I899">
        <v>1280.7518310999999</v>
      </c>
      <c r="J899">
        <v>1258.0877685999999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733.72654399999999</v>
      </c>
      <c r="B900" s="1">
        <f>DATE(2012,5,3) + TIME(17,26,13)</f>
        <v>41032.726539351854</v>
      </c>
      <c r="C900">
        <v>70</v>
      </c>
      <c r="D900">
        <v>69.353736877000003</v>
      </c>
      <c r="E900">
        <v>40</v>
      </c>
      <c r="F900">
        <v>39.745792389000002</v>
      </c>
      <c r="G900">
        <v>1394.7148437999999</v>
      </c>
      <c r="H900">
        <v>1378.3026123</v>
      </c>
      <c r="I900">
        <v>1280.7493896000001</v>
      </c>
      <c r="J900">
        <v>1258.0844727000001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733.86785499999996</v>
      </c>
      <c r="B901" s="1">
        <f>DATE(2012,5,3) + TIME(20,49,42)</f>
        <v>41032.867847222224</v>
      </c>
      <c r="C901">
        <v>70</v>
      </c>
      <c r="D901">
        <v>69.450164795000006</v>
      </c>
      <c r="E901">
        <v>40</v>
      </c>
      <c r="F901">
        <v>39.736068725999999</v>
      </c>
      <c r="G901">
        <v>1394.6065673999999</v>
      </c>
      <c r="H901">
        <v>1378.2213135</v>
      </c>
      <c r="I901">
        <v>1280.7469481999999</v>
      </c>
      <c r="J901">
        <v>1258.0809326000001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734.01346100000001</v>
      </c>
      <c r="B902" s="1">
        <f>DATE(2012,5,4) + TIME(0,19,22)</f>
        <v>41033.013449074075</v>
      </c>
      <c r="C902">
        <v>70</v>
      </c>
      <c r="D902">
        <v>69.532951354999994</v>
      </c>
      <c r="E902">
        <v>40</v>
      </c>
      <c r="F902">
        <v>39.726116179999998</v>
      </c>
      <c r="G902">
        <v>1394.5020752</v>
      </c>
      <c r="H902">
        <v>1378.1413574000001</v>
      </c>
      <c r="I902">
        <v>1280.7443848</v>
      </c>
      <c r="J902">
        <v>1258.0775146000001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734.16394600000001</v>
      </c>
      <c r="B903" s="1">
        <f>DATE(2012,5,4) + TIME(3,56,4)</f>
        <v>41033.163935185185</v>
      </c>
      <c r="C903">
        <v>70</v>
      </c>
      <c r="D903">
        <v>69.603843689000001</v>
      </c>
      <c r="E903">
        <v>40</v>
      </c>
      <c r="F903">
        <v>39.715900421000001</v>
      </c>
      <c r="G903">
        <v>1394.4006348</v>
      </c>
      <c r="H903">
        <v>1378.0623779</v>
      </c>
      <c r="I903">
        <v>1280.7416992000001</v>
      </c>
      <c r="J903">
        <v>1258.0738524999999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734.31999199999996</v>
      </c>
      <c r="B904" s="1">
        <f>DATE(2012,5,4) + TIME(7,40,47)</f>
        <v>41033.319988425923</v>
      </c>
      <c r="C904">
        <v>70</v>
      </c>
      <c r="D904">
        <v>69.664413452000005</v>
      </c>
      <c r="E904">
        <v>40</v>
      </c>
      <c r="F904">
        <v>39.705383300999998</v>
      </c>
      <c r="G904">
        <v>1394.3016356999999</v>
      </c>
      <c r="H904">
        <v>1377.9840088000001</v>
      </c>
      <c r="I904">
        <v>1280.7390137</v>
      </c>
      <c r="J904">
        <v>1258.0700684000001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734.482259</v>
      </c>
      <c r="B905" s="1">
        <f>DATE(2012,5,4) + TIME(11,34,27)</f>
        <v>41033.482256944444</v>
      </c>
      <c r="C905">
        <v>70</v>
      </c>
      <c r="D905">
        <v>69.715950011999993</v>
      </c>
      <c r="E905">
        <v>40</v>
      </c>
      <c r="F905">
        <v>39.694526672000002</v>
      </c>
      <c r="G905">
        <v>1394.2047118999999</v>
      </c>
      <c r="H905">
        <v>1377.9061279</v>
      </c>
      <c r="I905">
        <v>1280.7360839999999</v>
      </c>
      <c r="J905">
        <v>1258.0661620999999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734.65156100000002</v>
      </c>
      <c r="B906" s="1">
        <f>DATE(2012,5,4) + TIME(15,38,14)</f>
        <v>41033.651550925926</v>
      </c>
      <c r="C906">
        <v>70</v>
      </c>
      <c r="D906">
        <v>69.759635924999998</v>
      </c>
      <c r="E906">
        <v>40</v>
      </c>
      <c r="F906">
        <v>39.683288574000002</v>
      </c>
      <c r="G906">
        <v>1394.1092529</v>
      </c>
      <c r="H906">
        <v>1377.8283690999999</v>
      </c>
      <c r="I906">
        <v>1280.7331543</v>
      </c>
      <c r="J906">
        <v>1258.0620117000001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734.82882900000004</v>
      </c>
      <c r="B907" s="1">
        <f>DATE(2012,5,4) + TIME(19,53,30)</f>
        <v>41033.828819444447</v>
      </c>
      <c r="C907">
        <v>70</v>
      </c>
      <c r="D907">
        <v>69.796493530000006</v>
      </c>
      <c r="E907">
        <v>40</v>
      </c>
      <c r="F907">
        <v>39.671611786</v>
      </c>
      <c r="G907">
        <v>1394.0147704999999</v>
      </c>
      <c r="H907">
        <v>1377.7504882999999</v>
      </c>
      <c r="I907">
        <v>1280.7301024999999</v>
      </c>
      <c r="J907">
        <v>1258.0578613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735.01514199999997</v>
      </c>
      <c r="B908" s="1">
        <f>DATE(2012,5,5) + TIME(0,21,48)</f>
        <v>41034.015138888892</v>
      </c>
      <c r="C908">
        <v>70</v>
      </c>
      <c r="D908">
        <v>69.827430724999999</v>
      </c>
      <c r="E908">
        <v>40</v>
      </c>
      <c r="F908">
        <v>39.659439087000003</v>
      </c>
      <c r="G908">
        <v>1393.9208983999999</v>
      </c>
      <c r="H908">
        <v>1377.6721190999999</v>
      </c>
      <c r="I908">
        <v>1280.7268065999999</v>
      </c>
      <c r="J908">
        <v>1258.0533447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735.211769</v>
      </c>
      <c r="B909" s="1">
        <f>DATE(2012,5,5) + TIME(5,4,56)</f>
        <v>41034.211759259262</v>
      </c>
      <c r="C909">
        <v>70</v>
      </c>
      <c r="D909">
        <v>69.853240967000005</v>
      </c>
      <c r="E909">
        <v>40</v>
      </c>
      <c r="F909">
        <v>39.646701813</v>
      </c>
      <c r="G909">
        <v>1393.8271483999999</v>
      </c>
      <c r="H909">
        <v>1377.5932617000001</v>
      </c>
      <c r="I909">
        <v>1280.7233887</v>
      </c>
      <c r="J909">
        <v>1258.0487060999999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735.41826500000002</v>
      </c>
      <c r="B910" s="1">
        <f>DATE(2012,5,5) + TIME(10,2,18)</f>
        <v>41034.418263888889</v>
      </c>
      <c r="C910">
        <v>70</v>
      </c>
      <c r="D910">
        <v>69.874465942</v>
      </c>
      <c r="E910">
        <v>40</v>
      </c>
      <c r="F910">
        <v>39.633419037000003</v>
      </c>
      <c r="G910">
        <v>1393.7330322</v>
      </c>
      <c r="H910">
        <v>1377.5133057</v>
      </c>
      <c r="I910">
        <v>1280.7197266000001</v>
      </c>
      <c r="J910">
        <v>1258.0437012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735.63483599999995</v>
      </c>
      <c r="B911" s="1">
        <f>DATE(2012,5,5) + TIME(15,14,9)</f>
        <v>41034.634826388887</v>
      </c>
      <c r="C911">
        <v>70</v>
      </c>
      <c r="D911">
        <v>69.891738892000006</v>
      </c>
      <c r="E911">
        <v>40</v>
      </c>
      <c r="F911">
        <v>39.619583130000002</v>
      </c>
      <c r="G911">
        <v>1393.6387939000001</v>
      </c>
      <c r="H911">
        <v>1377.4328613</v>
      </c>
      <c r="I911">
        <v>1280.7159423999999</v>
      </c>
      <c r="J911">
        <v>1258.0385742000001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735.86286399999995</v>
      </c>
      <c r="B912" s="1">
        <f>DATE(2012,5,5) + TIME(20,42,31)</f>
        <v>41034.862858796296</v>
      </c>
      <c r="C912">
        <v>70</v>
      </c>
      <c r="D912">
        <v>69.905715942</v>
      </c>
      <c r="E912">
        <v>40</v>
      </c>
      <c r="F912">
        <v>39.605117798000002</v>
      </c>
      <c r="G912">
        <v>1393.5444336</v>
      </c>
      <c r="H912">
        <v>1377.3518065999999</v>
      </c>
      <c r="I912">
        <v>1280.7119141000001</v>
      </c>
      <c r="J912">
        <v>1258.0330810999999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736.10390600000005</v>
      </c>
      <c r="B913" s="1">
        <f>DATE(2012,5,6) + TIME(2,29,37)</f>
        <v>41035.103900462964</v>
      </c>
      <c r="C913">
        <v>70</v>
      </c>
      <c r="D913">
        <v>69.916946410999998</v>
      </c>
      <c r="E913">
        <v>40</v>
      </c>
      <c r="F913">
        <v>39.589946746999999</v>
      </c>
      <c r="G913">
        <v>1393.4495850000001</v>
      </c>
      <c r="H913">
        <v>1377.2700195</v>
      </c>
      <c r="I913">
        <v>1280.7076416</v>
      </c>
      <c r="J913">
        <v>1258.0273437999999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736.35974199999998</v>
      </c>
      <c r="B914" s="1">
        <f>DATE(2012,5,6) + TIME(8,38,1)</f>
        <v>41035.359733796293</v>
      </c>
      <c r="C914">
        <v>70</v>
      </c>
      <c r="D914">
        <v>69.925903320000003</v>
      </c>
      <c r="E914">
        <v>40</v>
      </c>
      <c r="F914">
        <v>39.573978424000003</v>
      </c>
      <c r="G914">
        <v>1393.3537598</v>
      </c>
      <c r="H914">
        <v>1377.1870117000001</v>
      </c>
      <c r="I914">
        <v>1280.703125</v>
      </c>
      <c r="J914">
        <v>1258.0212402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736.61623799999995</v>
      </c>
      <c r="B915" s="1">
        <f>DATE(2012,5,6) + TIME(14,47,22)</f>
        <v>41035.616226851853</v>
      </c>
      <c r="C915">
        <v>70</v>
      </c>
      <c r="D915">
        <v>69.932655334000003</v>
      </c>
      <c r="E915">
        <v>40</v>
      </c>
      <c r="F915">
        <v>39.557880402000002</v>
      </c>
      <c r="G915">
        <v>1393.2565918</v>
      </c>
      <c r="H915">
        <v>1377.1025391000001</v>
      </c>
      <c r="I915">
        <v>1280.6982422000001</v>
      </c>
      <c r="J915">
        <v>1258.0147704999999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736.87448300000005</v>
      </c>
      <c r="B916" s="1">
        <f>DATE(2012,5,6) + TIME(20,59,15)</f>
        <v>41035.874479166669</v>
      </c>
      <c r="C916">
        <v>70</v>
      </c>
      <c r="D916">
        <v>69.937789917000003</v>
      </c>
      <c r="E916">
        <v>40</v>
      </c>
      <c r="F916">
        <v>39.541641235</v>
      </c>
      <c r="G916">
        <v>1393.1632079999999</v>
      </c>
      <c r="H916">
        <v>1377.0212402</v>
      </c>
      <c r="I916">
        <v>1280.6933594</v>
      </c>
      <c r="J916">
        <v>1258.0084228999999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737.13552700000002</v>
      </c>
      <c r="B917" s="1">
        <f>DATE(2012,5,7) + TIME(3,15,9)</f>
        <v>41036.135520833333</v>
      </c>
      <c r="C917">
        <v>70</v>
      </c>
      <c r="D917">
        <v>69.941711425999998</v>
      </c>
      <c r="E917">
        <v>40</v>
      </c>
      <c r="F917">
        <v>39.525226592999999</v>
      </c>
      <c r="G917">
        <v>1393.072876</v>
      </c>
      <c r="H917">
        <v>1376.9426269999999</v>
      </c>
      <c r="I917">
        <v>1280.6883545000001</v>
      </c>
      <c r="J917">
        <v>1258.0018310999999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737.40037700000005</v>
      </c>
      <c r="B918" s="1">
        <f>DATE(2012,5,7) + TIME(9,36,32)</f>
        <v>41036.400370370371</v>
      </c>
      <c r="C918">
        <v>70</v>
      </c>
      <c r="D918">
        <v>69.944717406999999</v>
      </c>
      <c r="E918">
        <v>40</v>
      </c>
      <c r="F918">
        <v>39.508613586000003</v>
      </c>
      <c r="G918">
        <v>1392.9848632999999</v>
      </c>
      <c r="H918">
        <v>1376.8659668</v>
      </c>
      <c r="I918">
        <v>1280.6834716999999</v>
      </c>
      <c r="J918">
        <v>1257.9952393000001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737.67003499999998</v>
      </c>
      <c r="B919" s="1">
        <f>DATE(2012,5,7) + TIME(16,4,51)</f>
        <v>41036.670034722221</v>
      </c>
      <c r="C919">
        <v>70</v>
      </c>
      <c r="D919">
        <v>69.947036742999998</v>
      </c>
      <c r="E919">
        <v>40</v>
      </c>
      <c r="F919">
        <v>39.491756439</v>
      </c>
      <c r="G919">
        <v>1392.8988036999999</v>
      </c>
      <c r="H919">
        <v>1376.7910156</v>
      </c>
      <c r="I919">
        <v>1280.6783447</v>
      </c>
      <c r="J919">
        <v>1257.9885254000001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737.94552499999998</v>
      </c>
      <c r="B920" s="1">
        <f>DATE(2012,5,7) + TIME(22,41,33)</f>
        <v>41036.945520833331</v>
      </c>
      <c r="C920">
        <v>70</v>
      </c>
      <c r="D920">
        <v>69.948829650999997</v>
      </c>
      <c r="E920">
        <v>40</v>
      </c>
      <c r="F920">
        <v>39.474617004000002</v>
      </c>
      <c r="G920">
        <v>1392.8142089999999</v>
      </c>
      <c r="H920">
        <v>1376.7174072</v>
      </c>
      <c r="I920">
        <v>1280.6732178</v>
      </c>
      <c r="J920">
        <v>1257.9816894999999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738.22796900000003</v>
      </c>
      <c r="B921" s="1">
        <f>DATE(2012,5,8) + TIME(5,28,16)</f>
        <v>41037.227962962963</v>
      </c>
      <c r="C921">
        <v>70</v>
      </c>
      <c r="D921">
        <v>69.950225829999994</v>
      </c>
      <c r="E921">
        <v>40</v>
      </c>
      <c r="F921">
        <v>39.457145691000001</v>
      </c>
      <c r="G921">
        <v>1392.7307129000001</v>
      </c>
      <c r="H921">
        <v>1376.6446533000001</v>
      </c>
      <c r="I921">
        <v>1280.6679687999999</v>
      </c>
      <c r="J921">
        <v>1257.9747314000001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738.51856899999996</v>
      </c>
      <c r="B922" s="1">
        <f>DATE(2012,5,8) + TIME(12,26,44)</f>
        <v>41037.518564814818</v>
      </c>
      <c r="C922">
        <v>70</v>
      </c>
      <c r="D922">
        <v>69.951316833000007</v>
      </c>
      <c r="E922">
        <v>40</v>
      </c>
      <c r="F922">
        <v>39.439277648999997</v>
      </c>
      <c r="G922">
        <v>1392.6479492000001</v>
      </c>
      <c r="H922">
        <v>1376.5726318</v>
      </c>
      <c r="I922">
        <v>1280.6625977000001</v>
      </c>
      <c r="J922">
        <v>1257.9676514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738.81852000000003</v>
      </c>
      <c r="B923" s="1">
        <f>DATE(2012,5,8) + TIME(19,38,40)</f>
        <v>41037.818518518521</v>
      </c>
      <c r="C923">
        <v>70</v>
      </c>
      <c r="D923">
        <v>69.952171325999998</v>
      </c>
      <c r="E923">
        <v>40</v>
      </c>
      <c r="F923">
        <v>39.420959473000003</v>
      </c>
      <c r="G923">
        <v>1392.5655518000001</v>
      </c>
      <c r="H923">
        <v>1376.5009766000001</v>
      </c>
      <c r="I923">
        <v>1280.6571045000001</v>
      </c>
      <c r="J923">
        <v>1257.9602050999999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739.12924099999998</v>
      </c>
      <c r="B924" s="1">
        <f>DATE(2012,5,9) + TIME(3,6,6)</f>
        <v>41038.129236111112</v>
      </c>
      <c r="C924">
        <v>70</v>
      </c>
      <c r="D924">
        <v>69.952842712000006</v>
      </c>
      <c r="E924">
        <v>40</v>
      </c>
      <c r="F924">
        <v>39.402118682999998</v>
      </c>
      <c r="G924">
        <v>1392.4831543</v>
      </c>
      <c r="H924">
        <v>1376.4294434000001</v>
      </c>
      <c r="I924">
        <v>1280.6513672000001</v>
      </c>
      <c r="J924">
        <v>1257.9526367000001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739.45234300000004</v>
      </c>
      <c r="B925" s="1">
        <f>DATE(2012,5,9) + TIME(10,51,22)</f>
        <v>41038.452337962961</v>
      </c>
      <c r="C925">
        <v>70</v>
      </c>
      <c r="D925">
        <v>69.953384399000001</v>
      </c>
      <c r="E925">
        <v>40</v>
      </c>
      <c r="F925">
        <v>39.382678986000002</v>
      </c>
      <c r="G925">
        <v>1392.4005127</v>
      </c>
      <c r="H925">
        <v>1376.3577881000001</v>
      </c>
      <c r="I925">
        <v>1280.6453856999999</v>
      </c>
      <c r="J925">
        <v>1257.9447021000001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739.78676399999995</v>
      </c>
      <c r="B926" s="1">
        <f>DATE(2012,5,9) + TIME(18,52,56)</f>
        <v>41038.786759259259</v>
      </c>
      <c r="C926">
        <v>70</v>
      </c>
      <c r="D926">
        <v>69.953804016000007</v>
      </c>
      <c r="E926">
        <v>40</v>
      </c>
      <c r="F926">
        <v>39.362674712999997</v>
      </c>
      <c r="G926">
        <v>1392.3172606999999</v>
      </c>
      <c r="H926">
        <v>1376.2855225000001</v>
      </c>
      <c r="I926">
        <v>1280.6391602000001</v>
      </c>
      <c r="J926">
        <v>1257.9365233999999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740.13228000000004</v>
      </c>
      <c r="B927" s="1">
        <f>DATE(2012,5,10) + TIME(3,10,28)</f>
        <v>41039.132268518515</v>
      </c>
      <c r="C927">
        <v>70</v>
      </c>
      <c r="D927">
        <v>69.954139709000003</v>
      </c>
      <c r="E927">
        <v>40</v>
      </c>
      <c r="F927">
        <v>39.342105865000001</v>
      </c>
      <c r="G927">
        <v>1392.2337646000001</v>
      </c>
      <c r="H927">
        <v>1376.2132568</v>
      </c>
      <c r="I927">
        <v>1280.6326904</v>
      </c>
      <c r="J927">
        <v>1257.9279785000001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740.49049000000002</v>
      </c>
      <c r="B928" s="1">
        <f>DATE(2012,5,10) + TIME(11,46,18)</f>
        <v>41039.490486111114</v>
      </c>
      <c r="C928">
        <v>70</v>
      </c>
      <c r="D928">
        <v>69.954406738000003</v>
      </c>
      <c r="E928">
        <v>40</v>
      </c>
      <c r="F928">
        <v>39.320911406999997</v>
      </c>
      <c r="G928">
        <v>1392.1501464999999</v>
      </c>
      <c r="H928">
        <v>1376.1408690999999</v>
      </c>
      <c r="I928">
        <v>1280.6260986</v>
      </c>
      <c r="J928">
        <v>1257.9191894999999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740.86317199999996</v>
      </c>
      <c r="B929" s="1">
        <f>DATE(2012,5,10) + TIME(20,42,58)</f>
        <v>41039.863171296296</v>
      </c>
      <c r="C929">
        <v>70</v>
      </c>
      <c r="D929">
        <v>69.954627990999995</v>
      </c>
      <c r="E929">
        <v>40</v>
      </c>
      <c r="F929">
        <v>39.299007416000002</v>
      </c>
      <c r="G929">
        <v>1392.0660399999999</v>
      </c>
      <c r="H929">
        <v>1376.0682373</v>
      </c>
      <c r="I929">
        <v>1280.6191406</v>
      </c>
      <c r="J929">
        <v>1257.9100341999999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741.25237300000003</v>
      </c>
      <c r="B930" s="1">
        <f>DATE(2012,5,11) + TIME(6,3,25)</f>
        <v>41040.252372685187</v>
      </c>
      <c r="C930">
        <v>70</v>
      </c>
      <c r="D930">
        <v>69.954795837000006</v>
      </c>
      <c r="E930">
        <v>40</v>
      </c>
      <c r="F930">
        <v>39.276302338000001</v>
      </c>
      <c r="G930">
        <v>1391.9813231999999</v>
      </c>
      <c r="H930">
        <v>1375.9951172000001</v>
      </c>
      <c r="I930">
        <v>1280.6119385</v>
      </c>
      <c r="J930">
        <v>1257.9005127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741.65863400000001</v>
      </c>
      <c r="B931" s="1">
        <f>DATE(2012,5,11) + TIME(15,48,25)</f>
        <v>41040.658622685187</v>
      </c>
      <c r="C931">
        <v>70</v>
      </c>
      <c r="D931">
        <v>69.954940796000002</v>
      </c>
      <c r="E931">
        <v>40</v>
      </c>
      <c r="F931">
        <v>39.252761841000002</v>
      </c>
      <c r="G931">
        <v>1391.8956298999999</v>
      </c>
      <c r="H931">
        <v>1375.9210204999999</v>
      </c>
      <c r="I931">
        <v>1280.6043701000001</v>
      </c>
      <c r="J931">
        <v>1257.890625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742.06708800000001</v>
      </c>
      <c r="B932" s="1">
        <f>DATE(2012,5,12) + TIME(1,36,36)</f>
        <v>41041.067083333335</v>
      </c>
      <c r="C932">
        <v>70</v>
      </c>
      <c r="D932">
        <v>69.955047606999997</v>
      </c>
      <c r="E932">
        <v>40</v>
      </c>
      <c r="F932">
        <v>39.228954315000003</v>
      </c>
      <c r="G932">
        <v>1391.8088379000001</v>
      </c>
      <c r="H932">
        <v>1375.8463135</v>
      </c>
      <c r="I932">
        <v>1280.5964355000001</v>
      </c>
      <c r="J932">
        <v>1257.880249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742.479465</v>
      </c>
      <c r="B933" s="1">
        <f>DATE(2012,5,12) + TIME(11,30,25)</f>
        <v>41041.479456018518</v>
      </c>
      <c r="C933">
        <v>70</v>
      </c>
      <c r="D933">
        <v>69.955131531000006</v>
      </c>
      <c r="E933">
        <v>40</v>
      </c>
      <c r="F933">
        <v>39.204891205000003</v>
      </c>
      <c r="G933">
        <v>1391.7242432</v>
      </c>
      <c r="H933">
        <v>1375.7734375</v>
      </c>
      <c r="I933">
        <v>1280.5883789</v>
      </c>
      <c r="J933">
        <v>1257.869751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742.89743999999996</v>
      </c>
      <c r="B934" s="1">
        <f>DATE(2012,5,12) + TIME(21,32,18)</f>
        <v>41041.897430555553</v>
      </c>
      <c r="C934">
        <v>70</v>
      </c>
      <c r="D934">
        <v>69.955200195000003</v>
      </c>
      <c r="E934">
        <v>40</v>
      </c>
      <c r="F934">
        <v>39.180549622000001</v>
      </c>
      <c r="G934">
        <v>1391.6413574000001</v>
      </c>
      <c r="H934">
        <v>1375.7020264</v>
      </c>
      <c r="I934">
        <v>1280.5803223</v>
      </c>
      <c r="J934">
        <v>1257.8592529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743.32269699999995</v>
      </c>
      <c r="B935" s="1">
        <f>DATE(2012,5,13) + TIME(7,44,41)</f>
        <v>41042.322696759256</v>
      </c>
      <c r="C935">
        <v>70</v>
      </c>
      <c r="D935">
        <v>69.955245972</v>
      </c>
      <c r="E935">
        <v>40</v>
      </c>
      <c r="F935">
        <v>39.155891418000003</v>
      </c>
      <c r="G935">
        <v>1391.5596923999999</v>
      </c>
      <c r="H935">
        <v>1375.6319579999999</v>
      </c>
      <c r="I935">
        <v>1280.5721435999999</v>
      </c>
      <c r="J935">
        <v>1257.8485106999999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743.75632099999996</v>
      </c>
      <c r="B936" s="1">
        <f>DATE(2012,5,13) + TIME(18,9,6)</f>
        <v>41042.756319444445</v>
      </c>
      <c r="C936">
        <v>70</v>
      </c>
      <c r="D936">
        <v>69.955291747999993</v>
      </c>
      <c r="E936">
        <v>40</v>
      </c>
      <c r="F936">
        <v>39.130874634000001</v>
      </c>
      <c r="G936">
        <v>1391.4790039</v>
      </c>
      <c r="H936">
        <v>1375.5626221</v>
      </c>
      <c r="I936">
        <v>1280.5637207</v>
      </c>
      <c r="J936">
        <v>1257.8375243999999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744.19944299999997</v>
      </c>
      <c r="B937" s="1">
        <f>DATE(2012,5,14) + TIME(4,47,11)</f>
        <v>41043.199432870373</v>
      </c>
      <c r="C937">
        <v>70</v>
      </c>
      <c r="D937">
        <v>69.955322265999996</v>
      </c>
      <c r="E937">
        <v>40</v>
      </c>
      <c r="F937">
        <v>39.105461120999998</v>
      </c>
      <c r="G937">
        <v>1391.3990478999999</v>
      </c>
      <c r="H937">
        <v>1375.4938964999999</v>
      </c>
      <c r="I937">
        <v>1280.5551757999999</v>
      </c>
      <c r="J937">
        <v>1257.8264160000001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744.65403200000003</v>
      </c>
      <c r="B938" s="1">
        <f>DATE(2012,5,14) + TIME(15,41,48)</f>
        <v>41043.654027777775</v>
      </c>
      <c r="C938">
        <v>70</v>
      </c>
      <c r="D938">
        <v>69.955345154</v>
      </c>
      <c r="E938">
        <v>40</v>
      </c>
      <c r="F938">
        <v>39.079563141000001</v>
      </c>
      <c r="G938">
        <v>1391.3194579999999</v>
      </c>
      <c r="H938">
        <v>1375.4256591999999</v>
      </c>
      <c r="I938">
        <v>1280.5465088000001</v>
      </c>
      <c r="J938">
        <v>1257.8149414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745.12192900000002</v>
      </c>
      <c r="B939" s="1">
        <f>DATE(2012,5,15) + TIME(2,55,34)</f>
        <v>41044.121921296297</v>
      </c>
      <c r="C939">
        <v>70</v>
      </c>
      <c r="D939">
        <v>69.955360412999994</v>
      </c>
      <c r="E939">
        <v>40</v>
      </c>
      <c r="F939">
        <v>39.053104400999999</v>
      </c>
      <c r="G939">
        <v>1391.2401123</v>
      </c>
      <c r="H939">
        <v>1375.3575439000001</v>
      </c>
      <c r="I939">
        <v>1280.5374756000001</v>
      </c>
      <c r="J939">
        <v>1257.8031006000001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745.60526400000003</v>
      </c>
      <c r="B940" s="1">
        <f>DATE(2012,5,15) + TIME(14,31,34)</f>
        <v>41044.605254629627</v>
      </c>
      <c r="C940">
        <v>70</v>
      </c>
      <c r="D940">
        <v>69.955375670999999</v>
      </c>
      <c r="E940">
        <v>40</v>
      </c>
      <c r="F940">
        <v>39.025989531999997</v>
      </c>
      <c r="G940">
        <v>1391.1605225000001</v>
      </c>
      <c r="H940">
        <v>1375.2894286999999</v>
      </c>
      <c r="I940">
        <v>1280.5281981999999</v>
      </c>
      <c r="J940">
        <v>1257.7910156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746.10647700000004</v>
      </c>
      <c r="B941" s="1">
        <f>DATE(2012,5,16) + TIME(2,33,19)</f>
        <v>41045.106469907405</v>
      </c>
      <c r="C941">
        <v>70</v>
      </c>
      <c r="D941">
        <v>69.955383300999998</v>
      </c>
      <c r="E941">
        <v>40</v>
      </c>
      <c r="F941">
        <v>38.998100280999999</v>
      </c>
      <c r="G941">
        <v>1391.0805664</v>
      </c>
      <c r="H941">
        <v>1375.2208252</v>
      </c>
      <c r="I941">
        <v>1280.5186768000001</v>
      </c>
      <c r="J941">
        <v>1257.7784423999999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746.62177199999996</v>
      </c>
      <c r="B942" s="1">
        <f>DATE(2012,5,16) + TIME(14,55,21)</f>
        <v>41045.621770833335</v>
      </c>
      <c r="C942">
        <v>70</v>
      </c>
      <c r="D942">
        <v>69.955390929999993</v>
      </c>
      <c r="E942">
        <v>40</v>
      </c>
      <c r="F942">
        <v>38.969547272</v>
      </c>
      <c r="G942">
        <v>1390.9997559000001</v>
      </c>
      <c r="H942">
        <v>1375.1517334</v>
      </c>
      <c r="I942">
        <v>1280.5086670000001</v>
      </c>
      <c r="J942">
        <v>1257.7653809000001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747.14937199999997</v>
      </c>
      <c r="B943" s="1">
        <f>DATE(2012,5,17) + TIME(3,35,5)</f>
        <v>41046.149363425924</v>
      </c>
      <c r="C943">
        <v>70</v>
      </c>
      <c r="D943">
        <v>69.955390929999993</v>
      </c>
      <c r="E943">
        <v>40</v>
      </c>
      <c r="F943">
        <v>38.940391540999997</v>
      </c>
      <c r="G943">
        <v>1390.9189452999999</v>
      </c>
      <c r="H943">
        <v>1375.0825195</v>
      </c>
      <c r="I943">
        <v>1280.4982910000001</v>
      </c>
      <c r="J943">
        <v>1257.7519531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747.69158500000003</v>
      </c>
      <c r="B944" s="1">
        <f>DATE(2012,5,17) + TIME(16,35,52)</f>
        <v>41046.691574074073</v>
      </c>
      <c r="C944">
        <v>70</v>
      </c>
      <c r="D944">
        <v>69.955390929999993</v>
      </c>
      <c r="E944">
        <v>40</v>
      </c>
      <c r="F944">
        <v>38.910579681000002</v>
      </c>
      <c r="G944">
        <v>1390.8382568</v>
      </c>
      <c r="H944">
        <v>1375.0135498</v>
      </c>
      <c r="I944">
        <v>1280.4876709</v>
      </c>
      <c r="J944">
        <v>1257.7381591999999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748.24843599999997</v>
      </c>
      <c r="B945" s="1">
        <f>DATE(2012,5,18) + TIME(5,57,44)</f>
        <v>41047.248425925929</v>
      </c>
      <c r="C945">
        <v>70</v>
      </c>
      <c r="D945">
        <v>69.955390929999993</v>
      </c>
      <c r="E945">
        <v>40</v>
      </c>
      <c r="F945">
        <v>38.880115508999999</v>
      </c>
      <c r="G945">
        <v>1390.7574463000001</v>
      </c>
      <c r="H945">
        <v>1374.9444579999999</v>
      </c>
      <c r="I945">
        <v>1280.4768065999999</v>
      </c>
      <c r="J945">
        <v>1257.7238769999999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748.80928900000004</v>
      </c>
      <c r="B946" s="1">
        <f>DATE(2012,5,18) + TIME(19,25,22)</f>
        <v>41047.809282407405</v>
      </c>
      <c r="C946">
        <v>70</v>
      </c>
      <c r="D946">
        <v>69.955383300999998</v>
      </c>
      <c r="E946">
        <v>40</v>
      </c>
      <c r="F946">
        <v>38.849349975999999</v>
      </c>
      <c r="G946">
        <v>1390.6766356999999</v>
      </c>
      <c r="H946">
        <v>1374.8754882999999</v>
      </c>
      <c r="I946">
        <v>1280.4654541</v>
      </c>
      <c r="J946">
        <v>1257.7093506000001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749.37555199999997</v>
      </c>
      <c r="B947" s="1">
        <f>DATE(2012,5,19) + TIME(9,0,47)</f>
        <v>41048.375543981485</v>
      </c>
      <c r="C947">
        <v>70</v>
      </c>
      <c r="D947">
        <v>69.955383300999998</v>
      </c>
      <c r="E947">
        <v>40</v>
      </c>
      <c r="F947">
        <v>38.818325043000002</v>
      </c>
      <c r="G947">
        <v>1390.5972899999999</v>
      </c>
      <c r="H947">
        <v>1374.8076172000001</v>
      </c>
      <c r="I947">
        <v>1280.4541016000001</v>
      </c>
      <c r="J947">
        <v>1257.6944579999999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749.94939899999997</v>
      </c>
      <c r="B948" s="1">
        <f>DATE(2012,5,19) + TIME(22,47,8)</f>
        <v>41048.94939814815</v>
      </c>
      <c r="C948">
        <v>70</v>
      </c>
      <c r="D948">
        <v>69.955375670999999</v>
      </c>
      <c r="E948">
        <v>40</v>
      </c>
      <c r="F948">
        <v>38.787017822000003</v>
      </c>
      <c r="G948">
        <v>1390.5191649999999</v>
      </c>
      <c r="H948">
        <v>1374.7409668</v>
      </c>
      <c r="I948">
        <v>1280.4425048999999</v>
      </c>
      <c r="J948">
        <v>1257.6794434000001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750.53304300000002</v>
      </c>
      <c r="B949" s="1">
        <f>DATE(2012,5,20) + TIME(12,47,34)</f>
        <v>41049.533032407409</v>
      </c>
      <c r="C949">
        <v>70</v>
      </c>
      <c r="D949">
        <v>69.955375670999999</v>
      </c>
      <c r="E949">
        <v>40</v>
      </c>
      <c r="F949">
        <v>38.755367278999998</v>
      </c>
      <c r="G949">
        <v>1390.4420166</v>
      </c>
      <c r="H949">
        <v>1374.6749268000001</v>
      </c>
      <c r="I949">
        <v>1280.4307861</v>
      </c>
      <c r="J949">
        <v>1257.6641846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751.12888799999996</v>
      </c>
      <c r="B950" s="1">
        <f>DATE(2012,5,21) + TIME(3,5,35)</f>
        <v>41050.128877314812</v>
      </c>
      <c r="C950">
        <v>70</v>
      </c>
      <c r="D950">
        <v>69.955368042000003</v>
      </c>
      <c r="E950">
        <v>40</v>
      </c>
      <c r="F950">
        <v>38.72328186</v>
      </c>
      <c r="G950">
        <v>1390.3652344</v>
      </c>
      <c r="H950">
        <v>1374.609375</v>
      </c>
      <c r="I950">
        <v>1280.4188231999999</v>
      </c>
      <c r="J950">
        <v>1257.6485596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751.739508</v>
      </c>
      <c r="B951" s="1">
        <f>DATE(2012,5,21) + TIME(17,44,53)</f>
        <v>41050.739502314813</v>
      </c>
      <c r="C951">
        <v>70</v>
      </c>
      <c r="D951">
        <v>69.955368042000003</v>
      </c>
      <c r="E951">
        <v>40</v>
      </c>
      <c r="F951">
        <v>38.690658569</v>
      </c>
      <c r="G951">
        <v>1390.2888184000001</v>
      </c>
      <c r="H951">
        <v>1374.5441894999999</v>
      </c>
      <c r="I951">
        <v>1280.4064940999999</v>
      </c>
      <c r="J951">
        <v>1257.6325684000001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752.36746600000004</v>
      </c>
      <c r="B952" s="1">
        <f>DATE(2012,5,22) + TIME(8,49,9)</f>
        <v>41051.367465277777</v>
      </c>
      <c r="C952">
        <v>70</v>
      </c>
      <c r="D952">
        <v>69.955360412999994</v>
      </c>
      <c r="E952">
        <v>40</v>
      </c>
      <c r="F952">
        <v>38.657382964999996</v>
      </c>
      <c r="G952">
        <v>1390.2122803</v>
      </c>
      <c r="H952">
        <v>1374.4787598</v>
      </c>
      <c r="I952">
        <v>1280.3937988</v>
      </c>
      <c r="J952">
        <v>1257.6160889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753.01579100000004</v>
      </c>
      <c r="B953" s="1">
        <f>DATE(2012,5,23) + TIME(0,22,44)</f>
        <v>41052.015787037039</v>
      </c>
      <c r="C953">
        <v>70</v>
      </c>
      <c r="D953">
        <v>69.955360412999994</v>
      </c>
      <c r="E953">
        <v>40</v>
      </c>
      <c r="F953">
        <v>38.623317718999999</v>
      </c>
      <c r="G953">
        <v>1390.1352539</v>
      </c>
      <c r="H953">
        <v>1374.4132079999999</v>
      </c>
      <c r="I953">
        <v>1280.3808594</v>
      </c>
      <c r="J953">
        <v>1257.5991211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753.68792099999996</v>
      </c>
      <c r="B954" s="1">
        <f>DATE(2012,5,23) + TIME(16,30,36)</f>
        <v>41052.687916666669</v>
      </c>
      <c r="C954">
        <v>70</v>
      </c>
      <c r="D954">
        <v>69.955352782999995</v>
      </c>
      <c r="E954">
        <v>40</v>
      </c>
      <c r="F954">
        <v>38.588321686</v>
      </c>
      <c r="G954">
        <v>1390.0577393000001</v>
      </c>
      <c r="H954">
        <v>1374.3469238</v>
      </c>
      <c r="I954">
        <v>1280.3673096</v>
      </c>
      <c r="J954">
        <v>1257.5814209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754.38782100000003</v>
      </c>
      <c r="B955" s="1">
        <f>DATE(2012,5,24) + TIME(9,18,27)</f>
        <v>41053.387812499997</v>
      </c>
      <c r="C955">
        <v>70</v>
      </c>
      <c r="D955">
        <v>69.955352782999995</v>
      </c>
      <c r="E955">
        <v>40</v>
      </c>
      <c r="F955">
        <v>38.552215576000002</v>
      </c>
      <c r="G955">
        <v>1389.979126</v>
      </c>
      <c r="H955">
        <v>1374.2799072</v>
      </c>
      <c r="I955">
        <v>1280.3531493999999</v>
      </c>
      <c r="J955">
        <v>1257.5629882999999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755.09758899999997</v>
      </c>
      <c r="B956" s="1">
        <f>DATE(2012,5,25) + TIME(2,20,31)</f>
        <v>41054.097581018519</v>
      </c>
      <c r="C956">
        <v>70</v>
      </c>
      <c r="D956">
        <v>69.955345154</v>
      </c>
      <c r="E956">
        <v>40</v>
      </c>
      <c r="F956">
        <v>38.515441895000002</v>
      </c>
      <c r="G956">
        <v>1389.8992920000001</v>
      </c>
      <c r="H956">
        <v>1374.2116699000001</v>
      </c>
      <c r="I956">
        <v>1280.3382568</v>
      </c>
      <c r="J956">
        <v>1257.5438231999999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755.81400599999995</v>
      </c>
      <c r="B957" s="1">
        <f>DATE(2012,5,25) + TIME(19,32,10)</f>
        <v>41054.814004629632</v>
      </c>
      <c r="C957">
        <v>70</v>
      </c>
      <c r="D957">
        <v>69.955345154</v>
      </c>
      <c r="E957">
        <v>40</v>
      </c>
      <c r="F957">
        <v>38.478237151999998</v>
      </c>
      <c r="G957">
        <v>1389.8200684000001</v>
      </c>
      <c r="H957">
        <v>1374.144043</v>
      </c>
      <c r="I957">
        <v>1280.3231201000001</v>
      </c>
      <c r="J957">
        <v>1257.5241699000001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756.54032700000005</v>
      </c>
      <c r="B958" s="1">
        <f>DATE(2012,5,26) + TIME(12,58,4)</f>
        <v>41055.540324074071</v>
      </c>
      <c r="C958">
        <v>70</v>
      </c>
      <c r="D958">
        <v>69.955345154</v>
      </c>
      <c r="E958">
        <v>40</v>
      </c>
      <c r="F958">
        <v>38.440631865999997</v>
      </c>
      <c r="G958">
        <v>1389.7419434000001</v>
      </c>
      <c r="H958">
        <v>1374.0773925999999</v>
      </c>
      <c r="I958">
        <v>1280.3077393000001</v>
      </c>
      <c r="J958">
        <v>1257.5042725000001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757.27916900000002</v>
      </c>
      <c r="B959" s="1">
        <f>DATE(2012,5,27) + TIME(6,42,0)</f>
        <v>41056.279166666667</v>
      </c>
      <c r="C959">
        <v>70</v>
      </c>
      <c r="D959">
        <v>69.955337524000001</v>
      </c>
      <c r="E959">
        <v>40</v>
      </c>
      <c r="F959">
        <v>38.402587891000003</v>
      </c>
      <c r="G959">
        <v>1389.6645507999999</v>
      </c>
      <c r="H959">
        <v>1374.0113524999999</v>
      </c>
      <c r="I959">
        <v>1280.2921143000001</v>
      </c>
      <c r="J959">
        <v>1257.4838867000001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758.02723300000002</v>
      </c>
      <c r="B960" s="1">
        <f>DATE(2012,5,28) + TIME(0,39,12)</f>
        <v>41057.027222222219</v>
      </c>
      <c r="C960">
        <v>70</v>
      </c>
      <c r="D960">
        <v>69.955337524000001</v>
      </c>
      <c r="E960">
        <v>40</v>
      </c>
      <c r="F960">
        <v>38.364181518999999</v>
      </c>
      <c r="G960">
        <v>1389.5875243999999</v>
      </c>
      <c r="H960">
        <v>1373.9455565999999</v>
      </c>
      <c r="I960">
        <v>1280.2761230000001</v>
      </c>
      <c r="J960">
        <v>1257.4630127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758.78755100000001</v>
      </c>
      <c r="B961" s="1">
        <f>DATE(2012,5,28) + TIME(18,54,4)</f>
        <v>41057.787546296298</v>
      </c>
      <c r="C961">
        <v>70</v>
      </c>
      <c r="D961">
        <v>69.955337524000001</v>
      </c>
      <c r="E961">
        <v>40</v>
      </c>
      <c r="F961">
        <v>38.325363158999998</v>
      </c>
      <c r="G961">
        <v>1389.5112305</v>
      </c>
      <c r="H961">
        <v>1373.8804932</v>
      </c>
      <c r="I961">
        <v>1280.2597656</v>
      </c>
      <c r="J961">
        <v>1257.4416504000001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759.56339000000003</v>
      </c>
      <c r="B962" s="1">
        <f>DATE(2012,5,29) + TIME(13,31,16)</f>
        <v>41058.563379629632</v>
      </c>
      <c r="C962">
        <v>70</v>
      </c>
      <c r="D962">
        <v>69.955337524000001</v>
      </c>
      <c r="E962">
        <v>40</v>
      </c>
      <c r="F962">
        <v>38.286033629999999</v>
      </c>
      <c r="G962">
        <v>1389.4354248</v>
      </c>
      <c r="H962">
        <v>1373.8156738</v>
      </c>
      <c r="I962">
        <v>1280.2430420000001</v>
      </c>
      <c r="J962">
        <v>1257.4197998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760.35814200000004</v>
      </c>
      <c r="B963" s="1">
        <f>DATE(2012,5,30) + TIME(8,35,43)</f>
        <v>41059.358136574076</v>
      </c>
      <c r="C963">
        <v>70</v>
      </c>
      <c r="D963">
        <v>69.955337524000001</v>
      </c>
      <c r="E963">
        <v>40</v>
      </c>
      <c r="F963">
        <v>38.246055603000002</v>
      </c>
      <c r="G963">
        <v>1389.3596190999999</v>
      </c>
      <c r="H963">
        <v>1373.7508545000001</v>
      </c>
      <c r="I963">
        <v>1280.2258300999999</v>
      </c>
      <c r="J963">
        <v>1257.3973389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761.17532200000005</v>
      </c>
      <c r="B964" s="1">
        <f>DATE(2012,5,31) + TIME(4,12,27)</f>
        <v>41060.175312500003</v>
      </c>
      <c r="C964">
        <v>70</v>
      </c>
      <c r="D964">
        <v>69.955345154</v>
      </c>
      <c r="E964">
        <v>40</v>
      </c>
      <c r="F964">
        <v>38.205280303999999</v>
      </c>
      <c r="G964">
        <v>1389.2836914</v>
      </c>
      <c r="H964">
        <v>1373.6860352000001</v>
      </c>
      <c r="I964">
        <v>1280.2081298999999</v>
      </c>
      <c r="J964">
        <v>1257.3741454999999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762</v>
      </c>
      <c r="B965" s="1">
        <f>DATE(2012,6,1) + TIME(0,0,0)</f>
        <v>41061</v>
      </c>
      <c r="C965">
        <v>70</v>
      </c>
      <c r="D965">
        <v>69.955345154</v>
      </c>
      <c r="E965">
        <v>40</v>
      </c>
      <c r="F965">
        <v>38.164020538000003</v>
      </c>
      <c r="G965">
        <v>1389.2071533000001</v>
      </c>
      <c r="H965">
        <v>1373.6206055</v>
      </c>
      <c r="I965">
        <v>1280.1895752</v>
      </c>
      <c r="J965">
        <v>1257.3499756000001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762.84047799999996</v>
      </c>
      <c r="B966" s="1">
        <f>DATE(2012,6,1) + TIME(20,10,17)</f>
        <v>41061.840474537035</v>
      </c>
      <c r="C966">
        <v>70</v>
      </c>
      <c r="D966">
        <v>69.955345154</v>
      </c>
      <c r="E966">
        <v>40</v>
      </c>
      <c r="F966">
        <v>38.122203827</v>
      </c>
      <c r="G966">
        <v>1389.1315918</v>
      </c>
      <c r="H966">
        <v>1373.5559082</v>
      </c>
      <c r="I966">
        <v>1280.1707764</v>
      </c>
      <c r="J966">
        <v>1257.3254394999999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763.71271899999999</v>
      </c>
      <c r="B967" s="1">
        <f>DATE(2012,6,2) + TIME(17,6,18)</f>
        <v>41062.712708333333</v>
      </c>
      <c r="C967">
        <v>70</v>
      </c>
      <c r="D967">
        <v>69.955352782999995</v>
      </c>
      <c r="E967">
        <v>40</v>
      </c>
      <c r="F967">
        <v>38.079402924</v>
      </c>
      <c r="G967">
        <v>1389.0561522999999</v>
      </c>
      <c r="H967">
        <v>1373.4913329999999</v>
      </c>
      <c r="I967">
        <v>1280.1516113</v>
      </c>
      <c r="J967">
        <v>1257.3000488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764.59061899999995</v>
      </c>
      <c r="B968" s="1">
        <f>DATE(2012,6,3) + TIME(14,10,29)</f>
        <v>41063.590613425928</v>
      </c>
      <c r="C968">
        <v>70</v>
      </c>
      <c r="D968">
        <v>69.955360412999994</v>
      </c>
      <c r="E968">
        <v>40</v>
      </c>
      <c r="F968">
        <v>38.036056518999999</v>
      </c>
      <c r="G968">
        <v>1388.9793701000001</v>
      </c>
      <c r="H968">
        <v>1373.4257812000001</v>
      </c>
      <c r="I968">
        <v>1280.1312256000001</v>
      </c>
      <c r="J968">
        <v>1257.2735596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765.47775300000001</v>
      </c>
      <c r="B969" s="1">
        <f>DATE(2012,6,4) + TIME(11,27,57)</f>
        <v>41064.477743055555</v>
      </c>
      <c r="C969">
        <v>70</v>
      </c>
      <c r="D969">
        <v>69.955360412999994</v>
      </c>
      <c r="E969">
        <v>40</v>
      </c>
      <c r="F969">
        <v>37.992294311999999</v>
      </c>
      <c r="G969">
        <v>1388.9036865</v>
      </c>
      <c r="H969">
        <v>1373.3609618999999</v>
      </c>
      <c r="I969">
        <v>1280.1107178</v>
      </c>
      <c r="J969">
        <v>1257.2464600000001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766.37775299999998</v>
      </c>
      <c r="B970" s="1">
        <f>DATE(2012,6,5) + TIME(9,3,57)</f>
        <v>41065.377743055556</v>
      </c>
      <c r="C970">
        <v>70</v>
      </c>
      <c r="D970">
        <v>69.955368042000003</v>
      </c>
      <c r="E970">
        <v>40</v>
      </c>
      <c r="F970">
        <v>37.948089600000003</v>
      </c>
      <c r="G970">
        <v>1388.8288574000001</v>
      </c>
      <c r="H970">
        <v>1373.2967529</v>
      </c>
      <c r="I970">
        <v>1280.0895995999999</v>
      </c>
      <c r="J970">
        <v>1257.21875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767.29443800000001</v>
      </c>
      <c r="B971" s="1">
        <f>DATE(2012,6,6) + TIME(7,3,59)</f>
        <v>41066.294432870367</v>
      </c>
      <c r="C971">
        <v>70</v>
      </c>
      <c r="D971">
        <v>69.955375670999999</v>
      </c>
      <c r="E971">
        <v>40</v>
      </c>
      <c r="F971">
        <v>37.903335571</v>
      </c>
      <c r="G971">
        <v>1388.7542725000001</v>
      </c>
      <c r="H971">
        <v>1373.2329102000001</v>
      </c>
      <c r="I971">
        <v>1280.0681152</v>
      </c>
      <c r="J971">
        <v>1257.1901855000001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768.23141899999996</v>
      </c>
      <c r="B972" s="1">
        <f>DATE(2012,6,7) + TIME(5,33,14)</f>
        <v>41067.231412037036</v>
      </c>
      <c r="C972">
        <v>70</v>
      </c>
      <c r="D972">
        <v>69.955383300999998</v>
      </c>
      <c r="E972">
        <v>40</v>
      </c>
      <c r="F972">
        <v>37.857887267999999</v>
      </c>
      <c r="G972">
        <v>1388.6799315999999</v>
      </c>
      <c r="H972">
        <v>1373.1691894999999</v>
      </c>
      <c r="I972">
        <v>1280.0458983999999</v>
      </c>
      <c r="J972">
        <v>1257.1607666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769.19288400000005</v>
      </c>
      <c r="B973" s="1">
        <f>DATE(2012,6,8) + TIME(4,37,45)</f>
        <v>41068.192881944444</v>
      </c>
      <c r="C973">
        <v>70</v>
      </c>
      <c r="D973">
        <v>69.955390929999993</v>
      </c>
      <c r="E973">
        <v>40</v>
      </c>
      <c r="F973">
        <v>37.811573029000002</v>
      </c>
      <c r="G973">
        <v>1388.6053466999999</v>
      </c>
      <c r="H973">
        <v>1373.1052245999999</v>
      </c>
      <c r="I973">
        <v>1280.0229492000001</v>
      </c>
      <c r="J973">
        <v>1257.130249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770.17523300000005</v>
      </c>
      <c r="B974" s="1">
        <f>DATE(2012,6,9) + TIME(4,12,20)</f>
        <v>41069.17523148148</v>
      </c>
      <c r="C974">
        <v>70</v>
      </c>
      <c r="D974">
        <v>69.955398560000006</v>
      </c>
      <c r="E974">
        <v>40</v>
      </c>
      <c r="F974">
        <v>37.764381409000002</v>
      </c>
      <c r="G974">
        <v>1388.5302733999999</v>
      </c>
      <c r="H974">
        <v>1373.0407714999999</v>
      </c>
      <c r="I974">
        <v>1279.9990233999999</v>
      </c>
      <c r="J974">
        <v>1257.0985106999999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771.18</v>
      </c>
      <c r="B975" s="1">
        <f>DATE(2012,6,10) + TIME(4,19,12)</f>
        <v>41070.18</v>
      </c>
      <c r="C975">
        <v>70</v>
      </c>
      <c r="D975">
        <v>69.955413817999997</v>
      </c>
      <c r="E975">
        <v>40</v>
      </c>
      <c r="F975">
        <v>37.716274261000002</v>
      </c>
      <c r="G975">
        <v>1388.4550781</v>
      </c>
      <c r="H975">
        <v>1372.9761963000001</v>
      </c>
      <c r="I975">
        <v>1279.9742432</v>
      </c>
      <c r="J975">
        <v>1257.0655518000001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772.21094500000004</v>
      </c>
      <c r="B976" s="1">
        <f>DATE(2012,6,11) + TIME(5,3,45)</f>
        <v>41071.2109375</v>
      </c>
      <c r="C976">
        <v>70</v>
      </c>
      <c r="D976">
        <v>69.955421447999996</v>
      </c>
      <c r="E976">
        <v>40</v>
      </c>
      <c r="F976">
        <v>37.667144774999997</v>
      </c>
      <c r="G976">
        <v>1388.3796387</v>
      </c>
      <c r="H976">
        <v>1372.9113769999999</v>
      </c>
      <c r="I976">
        <v>1279.9486084</v>
      </c>
      <c r="J976">
        <v>1257.03125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773.244777</v>
      </c>
      <c r="B977" s="1">
        <f>DATE(2012,6,12) + TIME(5,52,28)</f>
        <v>41072.244768518518</v>
      </c>
      <c r="C977">
        <v>70</v>
      </c>
      <c r="D977">
        <v>69.955436707000004</v>
      </c>
      <c r="E977">
        <v>40</v>
      </c>
      <c r="F977">
        <v>37.617435454999999</v>
      </c>
      <c r="G977">
        <v>1388.3037108999999</v>
      </c>
      <c r="H977">
        <v>1372.8460693</v>
      </c>
      <c r="I977">
        <v>1279.921875</v>
      </c>
      <c r="J977">
        <v>1256.9956055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774.28562499999998</v>
      </c>
      <c r="B978" s="1">
        <f>DATE(2012,6,13) + TIME(6,51,17)</f>
        <v>41073.285613425927</v>
      </c>
      <c r="C978">
        <v>70</v>
      </c>
      <c r="D978">
        <v>69.955444335999999</v>
      </c>
      <c r="E978">
        <v>40</v>
      </c>
      <c r="F978">
        <v>37.56734848</v>
      </c>
      <c r="G978">
        <v>1388.2290039</v>
      </c>
      <c r="H978">
        <v>1372.7818603999999</v>
      </c>
      <c r="I978">
        <v>1279.8946533000001</v>
      </c>
      <c r="J978">
        <v>1256.9591064000001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775.33760299999994</v>
      </c>
      <c r="B979" s="1">
        <f>DATE(2012,6,14) + TIME(8,6,8)</f>
        <v>41074.337592592594</v>
      </c>
      <c r="C979">
        <v>70</v>
      </c>
      <c r="D979">
        <v>69.955459594999994</v>
      </c>
      <c r="E979">
        <v>40</v>
      </c>
      <c r="F979">
        <v>37.516860962000003</v>
      </c>
      <c r="G979">
        <v>1388.1551514</v>
      </c>
      <c r="H979">
        <v>1372.7182617000001</v>
      </c>
      <c r="I979">
        <v>1279.8669434000001</v>
      </c>
      <c r="J979">
        <v>1256.9216309000001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776.40510800000004</v>
      </c>
      <c r="B980" s="1">
        <f>DATE(2012,6,15) + TIME(9,43,21)</f>
        <v>41075.405104166668</v>
      </c>
      <c r="C980">
        <v>70</v>
      </c>
      <c r="D980">
        <v>69.955474854000002</v>
      </c>
      <c r="E980">
        <v>40</v>
      </c>
      <c r="F980">
        <v>37.465843200999998</v>
      </c>
      <c r="G980">
        <v>1388.0819091999999</v>
      </c>
      <c r="H980">
        <v>1372.6551514</v>
      </c>
      <c r="I980">
        <v>1279.8383789</v>
      </c>
      <c r="J980">
        <v>1256.8829346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777.49253599999997</v>
      </c>
      <c r="B981" s="1">
        <f>DATE(2012,6,16) + TIME(11,49,15)</f>
        <v>41076.492534722223</v>
      </c>
      <c r="C981">
        <v>70</v>
      </c>
      <c r="D981">
        <v>69.955482482999997</v>
      </c>
      <c r="E981">
        <v>40</v>
      </c>
      <c r="F981">
        <v>37.414119720000002</v>
      </c>
      <c r="G981">
        <v>1388.0089111</v>
      </c>
      <c r="H981">
        <v>1372.5922852000001</v>
      </c>
      <c r="I981">
        <v>1279.809082</v>
      </c>
      <c r="J981">
        <v>1256.8430175999999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778.60427000000004</v>
      </c>
      <c r="B982" s="1">
        <f>DATE(2012,6,17) + TIME(14,30,8)</f>
        <v>41077.604259259257</v>
      </c>
      <c r="C982">
        <v>70</v>
      </c>
      <c r="D982">
        <v>69.955505371000001</v>
      </c>
      <c r="E982">
        <v>40</v>
      </c>
      <c r="F982">
        <v>37.361480712999999</v>
      </c>
      <c r="G982">
        <v>1387.9359131000001</v>
      </c>
      <c r="H982">
        <v>1372.5292969</v>
      </c>
      <c r="I982">
        <v>1279.7786865</v>
      </c>
      <c r="J982">
        <v>1256.8016356999999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779.74534200000005</v>
      </c>
      <c r="B983" s="1">
        <f>DATE(2012,6,18) + TIME(17,53,17)</f>
        <v>41078.745335648149</v>
      </c>
      <c r="C983">
        <v>70</v>
      </c>
      <c r="D983">
        <v>69.955520629999995</v>
      </c>
      <c r="E983">
        <v>40</v>
      </c>
      <c r="F983">
        <v>37.307697296000001</v>
      </c>
      <c r="G983">
        <v>1387.8625488</v>
      </c>
      <c r="H983">
        <v>1372.4659423999999</v>
      </c>
      <c r="I983">
        <v>1279.7470702999999</v>
      </c>
      <c r="J983">
        <v>1256.7583007999999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780.91400099999998</v>
      </c>
      <c r="B984" s="1">
        <f>DATE(2012,6,19) + TIME(21,56,9)</f>
        <v>41079.913993055554</v>
      </c>
      <c r="C984">
        <v>70</v>
      </c>
      <c r="D984">
        <v>69.955535889000004</v>
      </c>
      <c r="E984">
        <v>40</v>
      </c>
      <c r="F984">
        <v>37.252670287999997</v>
      </c>
      <c r="G984">
        <v>1387.7886963000001</v>
      </c>
      <c r="H984">
        <v>1372.4020995999999</v>
      </c>
      <c r="I984">
        <v>1279.7139893000001</v>
      </c>
      <c r="J984">
        <v>1256.7130127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782.113067</v>
      </c>
      <c r="B985" s="1">
        <f>DATE(2012,6,21) + TIME(2,42,48)</f>
        <v>41081.113055555557</v>
      </c>
      <c r="C985">
        <v>70</v>
      </c>
      <c r="D985">
        <v>69.955551146999994</v>
      </c>
      <c r="E985">
        <v>40</v>
      </c>
      <c r="F985">
        <v>37.196289061999998</v>
      </c>
      <c r="G985">
        <v>1387.7142334</v>
      </c>
      <c r="H985">
        <v>1372.3377685999999</v>
      </c>
      <c r="I985">
        <v>1279.6795654</v>
      </c>
      <c r="J985">
        <v>1256.6655272999999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783.32216900000003</v>
      </c>
      <c r="B986" s="1">
        <f>DATE(2012,6,22) + TIME(7,43,55)</f>
        <v>41082.322164351855</v>
      </c>
      <c r="C986">
        <v>70</v>
      </c>
      <c r="D986">
        <v>69.955574036000002</v>
      </c>
      <c r="E986">
        <v>40</v>
      </c>
      <c r="F986">
        <v>37.138881683000001</v>
      </c>
      <c r="G986">
        <v>1387.6392822</v>
      </c>
      <c r="H986">
        <v>1372.2729492000001</v>
      </c>
      <c r="I986">
        <v>1279.6435547000001</v>
      </c>
      <c r="J986">
        <v>1256.6158447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784.53683599999999</v>
      </c>
      <c r="B987" s="1">
        <f>DATE(2012,6,23) + TIME(12,53,2)</f>
        <v>41083.536828703705</v>
      </c>
      <c r="C987">
        <v>70</v>
      </c>
      <c r="D987">
        <v>69.955589294000006</v>
      </c>
      <c r="E987">
        <v>40</v>
      </c>
      <c r="F987">
        <v>37.080814361999998</v>
      </c>
      <c r="G987">
        <v>1387.5650635</v>
      </c>
      <c r="H987">
        <v>1372.2086182</v>
      </c>
      <c r="I987">
        <v>1279.6065673999999</v>
      </c>
      <c r="J987">
        <v>1256.5645752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785.761889</v>
      </c>
      <c r="B988" s="1">
        <f>DATE(2012,6,24) + TIME(18,17,7)</f>
        <v>41084.761886574073</v>
      </c>
      <c r="C988">
        <v>70</v>
      </c>
      <c r="D988">
        <v>69.955612183</v>
      </c>
      <c r="E988">
        <v>40</v>
      </c>
      <c r="F988">
        <v>37.022171020999998</v>
      </c>
      <c r="G988">
        <v>1387.4916992000001</v>
      </c>
      <c r="H988">
        <v>1372.1450195</v>
      </c>
      <c r="I988">
        <v>1279.5687256000001</v>
      </c>
      <c r="J988">
        <v>1256.5117187999999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787.00215700000001</v>
      </c>
      <c r="B989" s="1">
        <f>DATE(2012,6,26) + TIME(0,3,6)</f>
        <v>41086.002152777779</v>
      </c>
      <c r="C989">
        <v>70</v>
      </c>
      <c r="D989">
        <v>69.955635071000003</v>
      </c>
      <c r="E989">
        <v>40</v>
      </c>
      <c r="F989">
        <v>36.962841034</v>
      </c>
      <c r="G989">
        <v>1387.4189452999999</v>
      </c>
      <c r="H989">
        <v>1372.0820312000001</v>
      </c>
      <c r="I989">
        <v>1279.5297852000001</v>
      </c>
      <c r="J989">
        <v>1256.4571533000001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788.26041399999997</v>
      </c>
      <c r="B990" s="1">
        <f>DATE(2012,6,27) + TIME(6,14,59)</f>
        <v>41087.260405092595</v>
      </c>
      <c r="C990">
        <v>70</v>
      </c>
      <c r="D990">
        <v>69.955657959000007</v>
      </c>
      <c r="E990">
        <v>40</v>
      </c>
      <c r="F990">
        <v>36.902664184999999</v>
      </c>
      <c r="G990">
        <v>1387.3466797000001</v>
      </c>
      <c r="H990">
        <v>1372.0191649999999</v>
      </c>
      <c r="I990">
        <v>1279.489624</v>
      </c>
      <c r="J990">
        <v>1256.4006348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789.53695400000004</v>
      </c>
      <c r="B991" s="1">
        <f>DATE(2012,6,28) + TIME(12,53,12)</f>
        <v>41088.536944444444</v>
      </c>
      <c r="C991">
        <v>70</v>
      </c>
      <c r="D991">
        <v>69.955680846999996</v>
      </c>
      <c r="E991">
        <v>40</v>
      </c>
      <c r="F991">
        <v>36.841533661</v>
      </c>
      <c r="G991">
        <v>1387.2744141000001</v>
      </c>
      <c r="H991">
        <v>1371.956543</v>
      </c>
      <c r="I991">
        <v>1279.4481201000001</v>
      </c>
      <c r="J991">
        <v>1256.3419189000001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790.83724500000005</v>
      </c>
      <c r="B992" s="1">
        <f>DATE(2012,6,29) + TIME(20,5,37)</f>
        <v>41089.837233796294</v>
      </c>
      <c r="C992">
        <v>70</v>
      </c>
      <c r="D992">
        <v>69.955703735</v>
      </c>
      <c r="E992">
        <v>40</v>
      </c>
      <c r="F992">
        <v>36.779277802000003</v>
      </c>
      <c r="G992">
        <v>1387.2023925999999</v>
      </c>
      <c r="H992">
        <v>1371.8937988</v>
      </c>
      <c r="I992">
        <v>1279.4051514</v>
      </c>
      <c r="J992">
        <v>1256.2808838000001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792</v>
      </c>
      <c r="B993" s="1">
        <f>DATE(2012,7,1) + TIME(0,0,0)</f>
        <v>41091</v>
      </c>
      <c r="C993">
        <v>70</v>
      </c>
      <c r="D993">
        <v>69.955718993999994</v>
      </c>
      <c r="E993">
        <v>40</v>
      </c>
      <c r="F993">
        <v>36.719112396</v>
      </c>
      <c r="G993">
        <v>1387.1301269999999</v>
      </c>
      <c r="H993">
        <v>1371.8309326000001</v>
      </c>
      <c r="I993">
        <v>1279.3602295000001</v>
      </c>
      <c r="J993">
        <v>1256.2178954999999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793.32900600000005</v>
      </c>
      <c r="B994" s="1">
        <f>DATE(2012,7,2) + TIME(7,53,46)</f>
        <v>41092.329004629632</v>
      </c>
      <c r="C994">
        <v>70</v>
      </c>
      <c r="D994">
        <v>69.955749511999997</v>
      </c>
      <c r="E994">
        <v>40</v>
      </c>
      <c r="F994">
        <v>36.657321930000002</v>
      </c>
      <c r="G994">
        <v>1387.0666504000001</v>
      </c>
      <c r="H994">
        <v>1371.7756348</v>
      </c>
      <c r="I994">
        <v>1279.3198242000001</v>
      </c>
      <c r="J994">
        <v>1256.1580810999999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794.72796400000004</v>
      </c>
      <c r="B995" s="1">
        <f>DATE(2012,7,3) + TIME(17,28,16)</f>
        <v>41093.727962962963</v>
      </c>
      <c r="C995">
        <v>70</v>
      </c>
      <c r="D995">
        <v>69.955780028999996</v>
      </c>
      <c r="E995">
        <v>40</v>
      </c>
      <c r="F995">
        <v>36.592006683000001</v>
      </c>
      <c r="G995">
        <v>1386.9951172000001</v>
      </c>
      <c r="H995">
        <v>1371.7133789</v>
      </c>
      <c r="I995">
        <v>1279.2724608999999</v>
      </c>
      <c r="J995">
        <v>1256.0899658000001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796.12792300000001</v>
      </c>
      <c r="B996" s="1">
        <f>DATE(2012,7,5) + TIME(3,4,12)</f>
        <v>41095.127916666665</v>
      </c>
      <c r="C996">
        <v>70</v>
      </c>
      <c r="D996">
        <v>69.955802917</v>
      </c>
      <c r="E996">
        <v>40</v>
      </c>
      <c r="F996">
        <v>36.524295807000001</v>
      </c>
      <c r="G996">
        <v>1386.9210204999999</v>
      </c>
      <c r="H996">
        <v>1371.6486815999999</v>
      </c>
      <c r="I996">
        <v>1279.2215576000001</v>
      </c>
      <c r="J996">
        <v>1256.0168457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797.53277400000002</v>
      </c>
      <c r="B997" s="1">
        <f>DATE(2012,7,6) + TIME(12,47,11)</f>
        <v>41096.532766203702</v>
      </c>
      <c r="C997">
        <v>70</v>
      </c>
      <c r="D997">
        <v>69.955833435000002</v>
      </c>
      <c r="E997">
        <v>40</v>
      </c>
      <c r="F997">
        <v>36.455341339</v>
      </c>
      <c r="G997">
        <v>1386.8481445</v>
      </c>
      <c r="H997">
        <v>1371.5849608999999</v>
      </c>
      <c r="I997">
        <v>1279.1695557</v>
      </c>
      <c r="J997">
        <v>1255.9414062000001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798.94773599999996</v>
      </c>
      <c r="B998" s="1">
        <f>DATE(2012,7,7) + TIME(22,44,44)</f>
        <v>41097.947731481479</v>
      </c>
      <c r="C998">
        <v>70</v>
      </c>
      <c r="D998">
        <v>69.955856323000006</v>
      </c>
      <c r="E998">
        <v>40</v>
      </c>
      <c r="F998">
        <v>36.385433196999998</v>
      </c>
      <c r="G998">
        <v>1386.776001</v>
      </c>
      <c r="H998">
        <v>1371.5219727000001</v>
      </c>
      <c r="I998">
        <v>1279.1162108999999</v>
      </c>
      <c r="J998">
        <v>1255.8636475000001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800.37802299999998</v>
      </c>
      <c r="B999" s="1">
        <f>DATE(2012,7,9) + TIME(9,4,21)</f>
        <v>41099.378020833334</v>
      </c>
      <c r="C999">
        <v>70</v>
      </c>
      <c r="D999">
        <v>69.955886840999995</v>
      </c>
      <c r="E999">
        <v>40</v>
      </c>
      <c r="F999">
        <v>36.314510345000002</v>
      </c>
      <c r="G999">
        <v>1386.7045897999999</v>
      </c>
      <c r="H999">
        <v>1371.4594727000001</v>
      </c>
      <c r="I999">
        <v>1279.0614014</v>
      </c>
      <c r="J999">
        <v>1255.7832031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801.828979</v>
      </c>
      <c r="B1000" s="1">
        <f>DATE(2012,7,10) + TIME(19,53,43)</f>
        <v>41100.828969907408</v>
      </c>
      <c r="C1000">
        <v>70</v>
      </c>
      <c r="D1000">
        <v>69.955917357999994</v>
      </c>
      <c r="E1000">
        <v>40</v>
      </c>
      <c r="F1000">
        <v>36.242366791000002</v>
      </c>
      <c r="G1000">
        <v>1386.6335449000001</v>
      </c>
      <c r="H1000">
        <v>1371.3972168</v>
      </c>
      <c r="I1000">
        <v>1279.0050048999999</v>
      </c>
      <c r="J1000">
        <v>1255.6998291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803.30668900000001</v>
      </c>
      <c r="B1001" s="1">
        <f>DATE(2012,7,12) + TIME(7,21,37)</f>
        <v>41102.30667824074</v>
      </c>
      <c r="C1001">
        <v>70</v>
      </c>
      <c r="D1001">
        <v>69.955947875999996</v>
      </c>
      <c r="E1001">
        <v>40</v>
      </c>
      <c r="F1001">
        <v>36.168724060000002</v>
      </c>
      <c r="G1001">
        <v>1386.5625</v>
      </c>
      <c r="H1001">
        <v>1371.3349608999999</v>
      </c>
      <c r="I1001">
        <v>1278.9465332</v>
      </c>
      <c r="J1001">
        <v>1255.6131591999999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804.81694100000004</v>
      </c>
      <c r="B1002" s="1">
        <f>DATE(2012,7,13) + TIME(19,36,23)</f>
        <v>41103.816932870373</v>
      </c>
      <c r="C1002">
        <v>70</v>
      </c>
      <c r="D1002">
        <v>69.955978393999999</v>
      </c>
      <c r="E1002">
        <v>40</v>
      </c>
      <c r="F1002">
        <v>36.093269348</v>
      </c>
      <c r="G1002">
        <v>1386.4913329999999</v>
      </c>
      <c r="H1002">
        <v>1371.2724608999999</v>
      </c>
      <c r="I1002">
        <v>1278.8858643000001</v>
      </c>
      <c r="J1002">
        <v>1255.5227050999999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806.36614199999997</v>
      </c>
      <c r="B1003" s="1">
        <f>DATE(2012,7,15) + TIME(8,47,14)</f>
        <v>41105.36613425926</v>
      </c>
      <c r="C1003">
        <v>70</v>
      </c>
      <c r="D1003">
        <v>69.956016540999997</v>
      </c>
      <c r="E1003">
        <v>40</v>
      </c>
      <c r="F1003">
        <v>36.015659331999998</v>
      </c>
      <c r="G1003">
        <v>1386.4195557</v>
      </c>
      <c r="H1003">
        <v>1371.2094727000001</v>
      </c>
      <c r="I1003">
        <v>1278.8227539</v>
      </c>
      <c r="J1003">
        <v>1255.4279785000001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807.95125499999995</v>
      </c>
      <c r="B1004" s="1">
        <f>DATE(2012,7,16) + TIME(22,49,48)</f>
        <v>41106.951249999998</v>
      </c>
      <c r="C1004">
        <v>70</v>
      </c>
      <c r="D1004">
        <v>69.956047057999996</v>
      </c>
      <c r="E1004">
        <v>40</v>
      </c>
      <c r="F1004">
        <v>35.935699462999999</v>
      </c>
      <c r="G1004">
        <v>1386.347168</v>
      </c>
      <c r="H1004">
        <v>1371.1457519999999</v>
      </c>
      <c r="I1004">
        <v>1278.7565918</v>
      </c>
      <c r="J1004">
        <v>1255.3284911999999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809.53810099999998</v>
      </c>
      <c r="B1005" s="1">
        <f>DATE(2012,7,18) + TIME(12,54,51)</f>
        <v>41108.538090277776</v>
      </c>
      <c r="C1005">
        <v>70</v>
      </c>
      <c r="D1005">
        <v>69.956085204999994</v>
      </c>
      <c r="E1005">
        <v>40</v>
      </c>
      <c r="F1005">
        <v>35.853954315000003</v>
      </c>
      <c r="G1005">
        <v>1386.2741699000001</v>
      </c>
      <c r="H1005">
        <v>1371.081543</v>
      </c>
      <c r="I1005">
        <v>1278.6876221</v>
      </c>
      <c r="J1005">
        <v>1255.2244873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811.13246900000001</v>
      </c>
      <c r="B1006" s="1">
        <f>DATE(2012,7,20) + TIME(3,10,45)</f>
        <v>41110.132465277777</v>
      </c>
      <c r="C1006">
        <v>70</v>
      </c>
      <c r="D1006">
        <v>69.956115722999996</v>
      </c>
      <c r="E1006">
        <v>40</v>
      </c>
      <c r="F1006">
        <v>35.771011352999999</v>
      </c>
      <c r="G1006">
        <v>1386.2021483999999</v>
      </c>
      <c r="H1006">
        <v>1371.0180664</v>
      </c>
      <c r="I1006">
        <v>1278.6170654</v>
      </c>
      <c r="J1006">
        <v>1255.1174315999999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812.74021600000003</v>
      </c>
      <c r="B1007" s="1">
        <f>DATE(2012,7,21) + TIME(17,45,54)</f>
        <v>41111.740208333336</v>
      </c>
      <c r="C1007">
        <v>70</v>
      </c>
      <c r="D1007">
        <v>69.956153869999994</v>
      </c>
      <c r="E1007">
        <v>40</v>
      </c>
      <c r="F1007">
        <v>35.686885834000002</v>
      </c>
      <c r="G1007">
        <v>1386.1308594</v>
      </c>
      <c r="H1007">
        <v>1370.9552002</v>
      </c>
      <c r="I1007">
        <v>1278.5450439000001</v>
      </c>
      <c r="J1007">
        <v>1255.0072021000001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814.36727900000005</v>
      </c>
      <c r="B1008" s="1">
        <f>DATE(2012,7,23) + TIME(8,48,52)</f>
        <v>41113.367268518516</v>
      </c>
      <c r="C1008">
        <v>70</v>
      </c>
      <c r="D1008">
        <v>69.956192017000006</v>
      </c>
      <c r="E1008">
        <v>40</v>
      </c>
      <c r="F1008">
        <v>35.601364136000001</v>
      </c>
      <c r="G1008">
        <v>1386.0600586</v>
      </c>
      <c r="H1008">
        <v>1370.8927002</v>
      </c>
      <c r="I1008">
        <v>1278.4709473</v>
      </c>
      <c r="J1008">
        <v>1254.8934326000001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816.01978399999996</v>
      </c>
      <c r="B1009" s="1">
        <f>DATE(2012,7,25) + TIME(0,28,29)</f>
        <v>41115.019780092596</v>
      </c>
      <c r="C1009">
        <v>70</v>
      </c>
      <c r="D1009">
        <v>69.956230164000004</v>
      </c>
      <c r="E1009">
        <v>40</v>
      </c>
      <c r="F1009">
        <v>35.514160156000003</v>
      </c>
      <c r="G1009">
        <v>1385.9893798999999</v>
      </c>
      <c r="H1009">
        <v>1370.8302002</v>
      </c>
      <c r="I1009">
        <v>1278.3947754000001</v>
      </c>
      <c r="J1009">
        <v>1254.7757568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817.70483100000001</v>
      </c>
      <c r="B1010" s="1">
        <f>DATE(2012,7,26) + TIME(16,54,57)</f>
        <v>41116.704826388886</v>
      </c>
      <c r="C1010">
        <v>70</v>
      </c>
      <c r="D1010">
        <v>69.956268311000002</v>
      </c>
      <c r="E1010">
        <v>40</v>
      </c>
      <c r="F1010">
        <v>35.424930572999997</v>
      </c>
      <c r="G1010">
        <v>1385.9185791</v>
      </c>
      <c r="H1010">
        <v>1370.7677002</v>
      </c>
      <c r="I1010">
        <v>1278.315918</v>
      </c>
      <c r="J1010">
        <v>1254.6535644999999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819.42749000000003</v>
      </c>
      <c r="B1011" s="1">
        <f>DATE(2012,7,28) + TIME(10,15,35)</f>
        <v>41118.427488425928</v>
      </c>
      <c r="C1011">
        <v>70</v>
      </c>
      <c r="D1011">
        <v>69.956306458</v>
      </c>
      <c r="E1011">
        <v>40</v>
      </c>
      <c r="F1011">
        <v>35.333324431999998</v>
      </c>
      <c r="G1011">
        <v>1385.8474120999999</v>
      </c>
      <c r="H1011">
        <v>1370.7047118999999</v>
      </c>
      <c r="I1011">
        <v>1278.234375</v>
      </c>
      <c r="J1011">
        <v>1254.5262451000001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821.18248300000005</v>
      </c>
      <c r="B1012" s="1">
        <f>DATE(2012,7,30) + TIME(4,22,46)</f>
        <v>41120.182476851849</v>
      </c>
      <c r="C1012">
        <v>70</v>
      </c>
      <c r="D1012">
        <v>69.956344603999995</v>
      </c>
      <c r="E1012">
        <v>40</v>
      </c>
      <c r="F1012">
        <v>35.239212035999998</v>
      </c>
      <c r="G1012">
        <v>1385.7757568</v>
      </c>
      <c r="H1012">
        <v>1370.6411132999999</v>
      </c>
      <c r="I1012">
        <v>1278.1496582</v>
      </c>
      <c r="J1012">
        <v>1254.3935547000001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822.09124199999997</v>
      </c>
      <c r="B1013" s="1">
        <f>DATE(2012,7,31) + TIME(2,11,23)</f>
        <v>41121.091238425928</v>
      </c>
      <c r="C1013">
        <v>70</v>
      </c>
      <c r="D1013">
        <v>69.956359863000003</v>
      </c>
      <c r="E1013">
        <v>40</v>
      </c>
      <c r="F1013">
        <v>35.166183472</v>
      </c>
      <c r="G1013">
        <v>1385.7036132999999</v>
      </c>
      <c r="H1013">
        <v>1370.5770264</v>
      </c>
      <c r="I1013">
        <v>1278.0621338000001</v>
      </c>
      <c r="J1013">
        <v>1254.2663574000001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823</v>
      </c>
      <c r="B1014" s="1">
        <f>DATE(2012,8,1) + TIME(0,0,0)</f>
        <v>41122</v>
      </c>
      <c r="C1014">
        <v>70</v>
      </c>
      <c r="D1014">
        <v>69.956382751000007</v>
      </c>
      <c r="E1014">
        <v>40</v>
      </c>
      <c r="F1014">
        <v>35.104454040999997</v>
      </c>
      <c r="G1014">
        <v>1385.6663818</v>
      </c>
      <c r="H1014">
        <v>1370.5439452999999</v>
      </c>
      <c r="I1014">
        <v>1278.0146483999999</v>
      </c>
      <c r="J1014">
        <v>1254.1861572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823.90766199999996</v>
      </c>
      <c r="B1015" s="1">
        <f>DATE(2012,8,1) + TIME(21,47,1)</f>
        <v>41122.907650462963</v>
      </c>
      <c r="C1015">
        <v>70</v>
      </c>
      <c r="D1015">
        <v>69.956398010000001</v>
      </c>
      <c r="E1015">
        <v>40</v>
      </c>
      <c r="F1015">
        <v>35.048267365000001</v>
      </c>
      <c r="G1015">
        <v>1385.6296387</v>
      </c>
      <c r="H1015">
        <v>1370.5113524999999</v>
      </c>
      <c r="I1015">
        <v>1277.9676514</v>
      </c>
      <c r="J1015">
        <v>1254.1090088000001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824.81532400000003</v>
      </c>
      <c r="B1016" s="1">
        <f>DATE(2012,8,2) + TIME(19,34,3)</f>
        <v>41123.815312500003</v>
      </c>
      <c r="C1016">
        <v>70</v>
      </c>
      <c r="D1016">
        <v>69.956420898000005</v>
      </c>
      <c r="E1016">
        <v>40</v>
      </c>
      <c r="F1016">
        <v>34.994735718000001</v>
      </c>
      <c r="G1016">
        <v>1385.5933838000001</v>
      </c>
      <c r="H1016">
        <v>1370.4790039</v>
      </c>
      <c r="I1016">
        <v>1277.9206543</v>
      </c>
      <c r="J1016">
        <v>1254.0329589999999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825.72298499999999</v>
      </c>
      <c r="B1017" s="1">
        <f>DATE(2012,8,3) + TIME(17,21,5)</f>
        <v>41124.722974537035</v>
      </c>
      <c r="C1017">
        <v>70</v>
      </c>
      <c r="D1017">
        <v>69.956443786999998</v>
      </c>
      <c r="E1017">
        <v>40</v>
      </c>
      <c r="F1017">
        <v>34.942443848000003</v>
      </c>
      <c r="G1017">
        <v>1385.557251</v>
      </c>
      <c r="H1017">
        <v>1370.4467772999999</v>
      </c>
      <c r="I1017">
        <v>1277.8734131000001</v>
      </c>
      <c r="J1017">
        <v>1253.9570312000001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827.53830900000003</v>
      </c>
      <c r="B1018" s="1">
        <f>DATE(2012,8,5) + TIME(12,55,9)</f>
        <v>41126.538298611114</v>
      </c>
      <c r="C1018">
        <v>70</v>
      </c>
      <c r="D1018">
        <v>69.956497192</v>
      </c>
      <c r="E1018">
        <v>40</v>
      </c>
      <c r="F1018">
        <v>34.873588562000002</v>
      </c>
      <c r="G1018">
        <v>1385.5217285000001</v>
      </c>
      <c r="H1018">
        <v>1370.4151611</v>
      </c>
      <c r="I1018">
        <v>1277.8258057</v>
      </c>
      <c r="J1018">
        <v>1253.8726807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829.35648600000002</v>
      </c>
      <c r="B1019" s="1">
        <f>DATE(2012,8,7) + TIME(8,33,20)</f>
        <v>41128.356481481482</v>
      </c>
      <c r="C1019">
        <v>70</v>
      </c>
      <c r="D1019">
        <v>69.956542968999997</v>
      </c>
      <c r="E1019">
        <v>40</v>
      </c>
      <c r="F1019">
        <v>34.782142639</v>
      </c>
      <c r="G1019">
        <v>1385.4508057</v>
      </c>
      <c r="H1019">
        <v>1370.3520507999999</v>
      </c>
      <c r="I1019">
        <v>1277.7324219</v>
      </c>
      <c r="J1019">
        <v>1253.7280272999999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831.20614399999999</v>
      </c>
      <c r="B1020" s="1">
        <f>DATE(2012,8,9) + TIME(4,56,50)</f>
        <v>41130.206134259257</v>
      </c>
      <c r="C1020">
        <v>70</v>
      </c>
      <c r="D1020">
        <v>69.956588745000005</v>
      </c>
      <c r="E1020">
        <v>40</v>
      </c>
      <c r="F1020">
        <v>34.682289124</v>
      </c>
      <c r="G1020">
        <v>1385.3806152</v>
      </c>
      <c r="H1020">
        <v>1370.2894286999999</v>
      </c>
      <c r="I1020">
        <v>1277.6364745999999</v>
      </c>
      <c r="J1020">
        <v>1253.574707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833.094382</v>
      </c>
      <c r="B1021" s="1">
        <f>DATE(2012,8,11) + TIME(2,15,54)</f>
        <v>41132.094375000001</v>
      </c>
      <c r="C1021">
        <v>70</v>
      </c>
      <c r="D1021">
        <v>69.956634520999998</v>
      </c>
      <c r="E1021">
        <v>40</v>
      </c>
      <c r="F1021">
        <v>34.577995299999998</v>
      </c>
      <c r="G1021">
        <v>1385.3100586</v>
      </c>
      <c r="H1021">
        <v>1370.2264404</v>
      </c>
      <c r="I1021">
        <v>1277.5374756000001</v>
      </c>
      <c r="J1021">
        <v>1253.4145507999999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835.02336000000003</v>
      </c>
      <c r="B1022" s="1">
        <f>DATE(2012,8,13) + TIME(0,33,38)</f>
        <v>41134.023356481484</v>
      </c>
      <c r="C1022">
        <v>70</v>
      </c>
      <c r="D1022">
        <v>69.956680297999995</v>
      </c>
      <c r="E1022">
        <v>40</v>
      </c>
      <c r="F1022">
        <v>34.470458983999997</v>
      </c>
      <c r="G1022">
        <v>1385.2390137</v>
      </c>
      <c r="H1022">
        <v>1370.1629639</v>
      </c>
      <c r="I1022">
        <v>1277.4353027</v>
      </c>
      <c r="J1022">
        <v>1253.2482910000001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836.99057500000004</v>
      </c>
      <c r="B1023" s="1">
        <f>DATE(2012,8,14) + TIME(23,46,25)</f>
        <v>41135.990567129629</v>
      </c>
      <c r="C1023">
        <v>70</v>
      </c>
      <c r="D1023">
        <v>69.956726074000002</v>
      </c>
      <c r="E1023">
        <v>40</v>
      </c>
      <c r="F1023">
        <v>34.360111236999998</v>
      </c>
      <c r="G1023">
        <v>1385.1673584</v>
      </c>
      <c r="H1023">
        <v>1370.0987548999999</v>
      </c>
      <c r="I1023">
        <v>1277.3299560999999</v>
      </c>
      <c r="J1023">
        <v>1253.0758057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838.98010899999997</v>
      </c>
      <c r="B1024" s="1">
        <f>DATE(2012,8,16) + TIME(23,31,21)</f>
        <v>41137.980104166665</v>
      </c>
      <c r="C1024">
        <v>70</v>
      </c>
      <c r="D1024">
        <v>69.956771850999999</v>
      </c>
      <c r="E1024">
        <v>40</v>
      </c>
      <c r="F1024">
        <v>34.247493744000003</v>
      </c>
      <c r="G1024">
        <v>1385.0950928</v>
      </c>
      <c r="H1024">
        <v>1370.0340576000001</v>
      </c>
      <c r="I1024">
        <v>1277.2216797000001</v>
      </c>
      <c r="J1024">
        <v>1252.8978271000001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840.99188300000003</v>
      </c>
      <c r="B1025" s="1">
        <f>DATE(2012,8,18) + TIME(23,48,18)</f>
        <v>41139.991875</v>
      </c>
      <c r="C1025">
        <v>70</v>
      </c>
      <c r="D1025">
        <v>69.956825256000002</v>
      </c>
      <c r="E1025">
        <v>40</v>
      </c>
      <c r="F1025">
        <v>34.133205414000003</v>
      </c>
      <c r="G1025">
        <v>1385.0230713000001</v>
      </c>
      <c r="H1025">
        <v>1369.9693603999999</v>
      </c>
      <c r="I1025">
        <v>1277.1114502</v>
      </c>
      <c r="J1025">
        <v>1252.715332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843.03378699999996</v>
      </c>
      <c r="B1026" s="1">
        <f>DATE(2012,8,21) + TIME(0,48,39)</f>
        <v>41142.033784722225</v>
      </c>
      <c r="C1026">
        <v>70</v>
      </c>
      <c r="D1026">
        <v>69.956871032999999</v>
      </c>
      <c r="E1026">
        <v>40</v>
      </c>
      <c r="F1026">
        <v>34.017402648999997</v>
      </c>
      <c r="G1026">
        <v>1384.9509277</v>
      </c>
      <c r="H1026">
        <v>1369.9046631000001</v>
      </c>
      <c r="I1026">
        <v>1276.9993896000001</v>
      </c>
      <c r="J1026">
        <v>1252.5288086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845.09959000000003</v>
      </c>
      <c r="B1027" s="1">
        <f>DATE(2012,8,23) + TIME(2,23,24)</f>
        <v>41144.099583333336</v>
      </c>
      <c r="C1027">
        <v>70</v>
      </c>
      <c r="D1027">
        <v>69.956924438000001</v>
      </c>
      <c r="E1027">
        <v>40</v>
      </c>
      <c r="F1027">
        <v>33.900180816999999</v>
      </c>
      <c r="G1027">
        <v>1384.8787841999999</v>
      </c>
      <c r="H1027">
        <v>1369.8397216999999</v>
      </c>
      <c r="I1027">
        <v>1276.8852539</v>
      </c>
      <c r="J1027">
        <v>1252.3376464999999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847.18387800000005</v>
      </c>
      <c r="B1028" s="1">
        <f>DATE(2012,8,25) + TIME(4,24,47)</f>
        <v>41146.183877314812</v>
      </c>
      <c r="C1028">
        <v>70</v>
      </c>
      <c r="D1028">
        <v>69.956977843999994</v>
      </c>
      <c r="E1028">
        <v>40</v>
      </c>
      <c r="F1028">
        <v>33.781955719000003</v>
      </c>
      <c r="G1028">
        <v>1384.8065185999999</v>
      </c>
      <c r="H1028">
        <v>1369.7746582</v>
      </c>
      <c r="I1028">
        <v>1276.7694091999999</v>
      </c>
      <c r="J1028">
        <v>1252.1428223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849.29416600000002</v>
      </c>
      <c r="B1029" s="1">
        <f>DATE(2012,8,27) + TIME(7,3,35)</f>
        <v>41148.29415509259</v>
      </c>
      <c r="C1029">
        <v>70</v>
      </c>
      <c r="D1029">
        <v>69.957023621000005</v>
      </c>
      <c r="E1029">
        <v>40</v>
      </c>
      <c r="F1029">
        <v>33.662967682000001</v>
      </c>
      <c r="G1029">
        <v>1384.7344971</v>
      </c>
      <c r="H1029">
        <v>1369.7097168</v>
      </c>
      <c r="I1029">
        <v>1276.6525879000001</v>
      </c>
      <c r="J1029">
        <v>1251.9448242000001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851.43818499999998</v>
      </c>
      <c r="B1030" s="1">
        <f>DATE(2012,8,29) + TIME(10,30,59)</f>
        <v>41150.43818287037</v>
      </c>
      <c r="C1030">
        <v>70</v>
      </c>
      <c r="D1030">
        <v>69.957077025999993</v>
      </c>
      <c r="E1030">
        <v>40</v>
      </c>
      <c r="F1030">
        <v>33.543121337999999</v>
      </c>
      <c r="G1030">
        <v>1384.6623535000001</v>
      </c>
      <c r="H1030">
        <v>1369.6446533000001</v>
      </c>
      <c r="I1030">
        <v>1276.5343018000001</v>
      </c>
      <c r="J1030">
        <v>1251.7432861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853.60527200000001</v>
      </c>
      <c r="B1031" s="1">
        <f>DATE(2012,8,31) + TIME(14,31,35)</f>
        <v>41152.605266203704</v>
      </c>
      <c r="C1031">
        <v>70</v>
      </c>
      <c r="D1031">
        <v>69.957130432</v>
      </c>
      <c r="E1031">
        <v>40</v>
      </c>
      <c r="F1031">
        <v>33.422565460000001</v>
      </c>
      <c r="G1031">
        <v>1384.5898437999999</v>
      </c>
      <c r="H1031">
        <v>1369.5792236</v>
      </c>
      <c r="I1031">
        <v>1276.4145507999999</v>
      </c>
      <c r="J1031">
        <v>1251.5380858999999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854</v>
      </c>
      <c r="B1032" s="1">
        <f>DATE(2012,9,1) + TIME(0,0,0)</f>
        <v>41153</v>
      </c>
      <c r="C1032">
        <v>70</v>
      </c>
      <c r="D1032">
        <v>69.957130432</v>
      </c>
      <c r="E1032">
        <v>40</v>
      </c>
      <c r="F1032">
        <v>33.370277405000003</v>
      </c>
      <c r="G1032">
        <v>1384.5184326000001</v>
      </c>
      <c r="H1032">
        <v>1369.5146483999999</v>
      </c>
      <c r="I1032">
        <v>1276.3005370999999</v>
      </c>
      <c r="J1032">
        <v>1251.3758545000001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856.18671500000005</v>
      </c>
      <c r="B1033" s="1">
        <f>DATE(2012,9,3) + TIME(4,28,52)</f>
        <v>41155.186712962961</v>
      </c>
      <c r="C1033">
        <v>70</v>
      </c>
      <c r="D1033">
        <v>69.957199097</v>
      </c>
      <c r="E1033">
        <v>40</v>
      </c>
      <c r="F1033">
        <v>33.271305083999998</v>
      </c>
      <c r="G1033">
        <v>1384.5040283000001</v>
      </c>
      <c r="H1033">
        <v>1369.5014647999999</v>
      </c>
      <c r="I1033">
        <v>1276.2694091999999</v>
      </c>
      <c r="J1033">
        <v>1251.2835693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858.40727200000003</v>
      </c>
      <c r="B1034" s="1">
        <f>DATE(2012,9,5) + TIME(9,46,28)</f>
        <v>41157.407268518517</v>
      </c>
      <c r="C1034">
        <v>70</v>
      </c>
      <c r="D1034">
        <v>69.957252502000003</v>
      </c>
      <c r="E1034">
        <v>40</v>
      </c>
      <c r="F1034">
        <v>33.157154083000002</v>
      </c>
      <c r="G1034">
        <v>1384.4321289</v>
      </c>
      <c r="H1034">
        <v>1369.4364014</v>
      </c>
      <c r="I1034">
        <v>1276.1508789</v>
      </c>
      <c r="J1034">
        <v>1251.0804443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860.66567799999996</v>
      </c>
      <c r="B1035" s="1">
        <f>DATE(2012,9,7) + TIME(15,58,34)</f>
        <v>41159.665671296294</v>
      </c>
      <c r="C1035">
        <v>70</v>
      </c>
      <c r="D1035">
        <v>69.957305907999995</v>
      </c>
      <c r="E1035">
        <v>40</v>
      </c>
      <c r="F1035">
        <v>33.038623809999997</v>
      </c>
      <c r="G1035">
        <v>1384.3596190999999</v>
      </c>
      <c r="H1035">
        <v>1369.3706055</v>
      </c>
      <c r="I1035">
        <v>1276.0300293</v>
      </c>
      <c r="J1035">
        <v>1250.8701172000001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862.96841400000005</v>
      </c>
      <c r="B1036" s="1">
        <f>DATE(2012,9,9) + TIME(23,14,30)</f>
        <v>41161.968402777777</v>
      </c>
      <c r="C1036">
        <v>70</v>
      </c>
      <c r="D1036">
        <v>69.957366942999997</v>
      </c>
      <c r="E1036">
        <v>40</v>
      </c>
      <c r="F1036">
        <v>32.918979645</v>
      </c>
      <c r="G1036">
        <v>1384.2866211</v>
      </c>
      <c r="H1036">
        <v>1369.3043213000001</v>
      </c>
      <c r="I1036">
        <v>1275.9083252</v>
      </c>
      <c r="J1036">
        <v>1250.6561279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865.29432999999995</v>
      </c>
      <c r="B1037" s="1">
        <f>DATE(2012,9,12) + TIME(7,3,50)</f>
        <v>41164.294328703705</v>
      </c>
      <c r="C1037">
        <v>70</v>
      </c>
      <c r="D1037">
        <v>69.957427979000002</v>
      </c>
      <c r="E1037">
        <v>40</v>
      </c>
      <c r="F1037">
        <v>32.799663543999998</v>
      </c>
      <c r="G1037">
        <v>1384.2128906</v>
      </c>
      <c r="H1037">
        <v>1369.2371826000001</v>
      </c>
      <c r="I1037">
        <v>1275.7860106999999</v>
      </c>
      <c r="J1037">
        <v>1250.4396973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867.64901599999996</v>
      </c>
      <c r="B1038" s="1">
        <f>DATE(2012,9,14) + TIME(15,34,34)</f>
        <v>41166.649004629631</v>
      </c>
      <c r="C1038">
        <v>70</v>
      </c>
      <c r="D1038">
        <v>69.957481384000005</v>
      </c>
      <c r="E1038">
        <v>40</v>
      </c>
      <c r="F1038">
        <v>32.681892394999998</v>
      </c>
      <c r="G1038">
        <v>1384.1391602000001</v>
      </c>
      <c r="H1038">
        <v>1369.1700439000001</v>
      </c>
      <c r="I1038">
        <v>1275.6645507999999</v>
      </c>
      <c r="J1038">
        <v>1250.2230225000001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870.01476300000002</v>
      </c>
      <c r="B1039" s="1">
        <f>DATE(2012,9,17) + TIME(0,21,15)</f>
        <v>41169.014756944445</v>
      </c>
      <c r="C1039">
        <v>70</v>
      </c>
      <c r="D1039">
        <v>69.957542419000006</v>
      </c>
      <c r="E1039">
        <v>40</v>
      </c>
      <c r="F1039">
        <v>32.566524506</v>
      </c>
      <c r="G1039">
        <v>1384.0651855000001</v>
      </c>
      <c r="H1039">
        <v>1369.1026611</v>
      </c>
      <c r="I1039">
        <v>1275.5443115</v>
      </c>
      <c r="J1039">
        <v>1250.0069579999999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872.39976899999999</v>
      </c>
      <c r="B1040" s="1">
        <f>DATE(2012,9,19) + TIME(9,35,39)</f>
        <v>41171.399756944447</v>
      </c>
      <c r="C1040">
        <v>70</v>
      </c>
      <c r="D1040">
        <v>69.957603454999997</v>
      </c>
      <c r="E1040">
        <v>40</v>
      </c>
      <c r="F1040">
        <v>32.454521178999997</v>
      </c>
      <c r="G1040">
        <v>1383.9915771000001</v>
      </c>
      <c r="H1040">
        <v>1369.0354004000001</v>
      </c>
      <c r="I1040">
        <v>1275.4262695</v>
      </c>
      <c r="J1040">
        <v>1249.7933350000001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874.812454</v>
      </c>
      <c r="B1041" s="1">
        <f>DATE(2012,9,21) + TIME(19,29,56)</f>
        <v>41173.8124537037</v>
      </c>
      <c r="C1041">
        <v>70</v>
      </c>
      <c r="D1041">
        <v>69.957664489999999</v>
      </c>
      <c r="E1041">
        <v>40</v>
      </c>
      <c r="F1041">
        <v>32.346324920999997</v>
      </c>
      <c r="G1041">
        <v>1383.9180908000001</v>
      </c>
      <c r="H1041">
        <v>1368.9682617000001</v>
      </c>
      <c r="I1041">
        <v>1275.3106689000001</v>
      </c>
      <c r="J1041">
        <v>1249.5826416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877.26158899999996</v>
      </c>
      <c r="B1042" s="1">
        <f>DATE(2012,9,24) + TIME(6,16,41)</f>
        <v>41176.26158564815</v>
      </c>
      <c r="C1042">
        <v>70</v>
      </c>
      <c r="D1042">
        <v>69.957725525000001</v>
      </c>
      <c r="E1042">
        <v>40</v>
      </c>
      <c r="F1042">
        <v>32.242332458</v>
      </c>
      <c r="G1042">
        <v>1383.8443603999999</v>
      </c>
      <c r="H1042">
        <v>1368.9007568</v>
      </c>
      <c r="I1042">
        <v>1275.1976318</v>
      </c>
      <c r="J1042">
        <v>1249.3747559000001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879.74534800000004</v>
      </c>
      <c r="B1043" s="1">
        <f>DATE(2012,9,26) + TIME(17,53,18)</f>
        <v>41178.745347222219</v>
      </c>
      <c r="C1043">
        <v>70</v>
      </c>
      <c r="D1043">
        <v>69.957786560000002</v>
      </c>
      <c r="E1043">
        <v>40</v>
      </c>
      <c r="F1043">
        <v>32.143138884999999</v>
      </c>
      <c r="G1043">
        <v>1383.7701416</v>
      </c>
      <c r="H1043">
        <v>1368.8327637</v>
      </c>
      <c r="I1043">
        <v>1275.0872803</v>
      </c>
      <c r="J1043">
        <v>1249.1704102000001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882.24364500000001</v>
      </c>
      <c r="B1044" s="1">
        <f>DATE(2012,9,29) + TIME(5,50,50)</f>
        <v>41181.243634259263</v>
      </c>
      <c r="C1044">
        <v>70</v>
      </c>
      <c r="D1044">
        <v>69.957847595000004</v>
      </c>
      <c r="E1044">
        <v>40</v>
      </c>
      <c r="F1044">
        <v>32.049850464000002</v>
      </c>
      <c r="G1044">
        <v>1383.6955565999999</v>
      </c>
      <c r="H1044">
        <v>1368.7642822</v>
      </c>
      <c r="I1044">
        <v>1274.9802245999999</v>
      </c>
      <c r="J1044">
        <v>1248.9705810999999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884</v>
      </c>
      <c r="B1045" s="1">
        <f>DATE(2012,10,1) + TIME(0,0,0)</f>
        <v>41183</v>
      </c>
      <c r="C1045">
        <v>70</v>
      </c>
      <c r="D1045">
        <v>69.957885742000002</v>
      </c>
      <c r="E1045">
        <v>40</v>
      </c>
      <c r="F1045">
        <v>31.972410201999999</v>
      </c>
      <c r="G1045">
        <v>1383.6209716999999</v>
      </c>
      <c r="H1045">
        <v>1368.6958007999999</v>
      </c>
      <c r="I1045">
        <v>1274.8798827999999</v>
      </c>
      <c r="J1045">
        <v>1248.7861327999999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886.521974</v>
      </c>
      <c r="B1046" s="1">
        <f>DATE(2012,10,3) + TIME(12,31,38)</f>
        <v>41185.521967592591</v>
      </c>
      <c r="C1046">
        <v>70</v>
      </c>
      <c r="D1046">
        <v>69.957954407000003</v>
      </c>
      <c r="E1046">
        <v>40</v>
      </c>
      <c r="F1046">
        <v>31.904861449999999</v>
      </c>
      <c r="G1046">
        <v>1383.5689697</v>
      </c>
      <c r="H1046">
        <v>1368.6478271000001</v>
      </c>
      <c r="I1046">
        <v>1274.8071289</v>
      </c>
      <c r="J1046">
        <v>1248.6423339999999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889.09556799999996</v>
      </c>
      <c r="B1047" s="1">
        <f>DATE(2012,10,6) + TIME(2,17,37)</f>
        <v>41188.095567129632</v>
      </c>
      <c r="C1047">
        <v>70</v>
      </c>
      <c r="D1047">
        <v>69.958015442000004</v>
      </c>
      <c r="E1047">
        <v>40</v>
      </c>
      <c r="F1047">
        <v>31.836519241000001</v>
      </c>
      <c r="G1047">
        <v>1383.4949951000001</v>
      </c>
      <c r="H1047">
        <v>1368.5797118999999</v>
      </c>
      <c r="I1047">
        <v>1274.7154541</v>
      </c>
      <c r="J1047">
        <v>1248.46875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891.67937199999994</v>
      </c>
      <c r="B1048" s="1">
        <f>DATE(2012,10,8) + TIME(16,18,17)</f>
        <v>41190.679363425923</v>
      </c>
      <c r="C1048">
        <v>70</v>
      </c>
      <c r="D1048">
        <v>69.958084106000001</v>
      </c>
      <c r="E1048">
        <v>40</v>
      </c>
      <c r="F1048">
        <v>31.775266646999999</v>
      </c>
      <c r="G1048">
        <v>1383.4199219</v>
      </c>
      <c r="H1048">
        <v>1368.5104980000001</v>
      </c>
      <c r="I1048">
        <v>1274.6271973</v>
      </c>
      <c r="J1048">
        <v>1248.2998047000001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894.28488500000003</v>
      </c>
      <c r="B1049" s="1">
        <f>DATE(2012,10,11) + TIME(6,50,14)</f>
        <v>41193.284884259258</v>
      </c>
      <c r="C1049">
        <v>70</v>
      </c>
      <c r="D1049">
        <v>69.958145142000006</v>
      </c>
      <c r="E1049">
        <v>40</v>
      </c>
      <c r="F1049">
        <v>31.724407196000001</v>
      </c>
      <c r="G1049">
        <v>1383.3452147999999</v>
      </c>
      <c r="H1049">
        <v>1368.4415283000001</v>
      </c>
      <c r="I1049">
        <v>1274.5451660000001</v>
      </c>
      <c r="J1049">
        <v>1248.1411132999999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896.92350799999997</v>
      </c>
      <c r="B1050" s="1">
        <f>DATE(2012,10,13) + TIME(22,9,51)</f>
        <v>41195.923506944448</v>
      </c>
      <c r="C1050">
        <v>70</v>
      </c>
      <c r="D1050">
        <v>69.958213806000003</v>
      </c>
      <c r="E1050">
        <v>40</v>
      </c>
      <c r="F1050">
        <v>31.68539238</v>
      </c>
      <c r="G1050">
        <v>1383.2705077999999</v>
      </c>
      <c r="H1050">
        <v>1368.3723144999999</v>
      </c>
      <c r="I1050">
        <v>1274.4696045000001</v>
      </c>
      <c r="J1050">
        <v>1247.9941406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899.60492999999997</v>
      </c>
      <c r="B1051" s="1">
        <f>DATE(2012,10,16) + TIME(14,31,5)</f>
        <v>41198.60491898148</v>
      </c>
      <c r="C1051">
        <v>70</v>
      </c>
      <c r="D1051">
        <v>69.958274841000005</v>
      </c>
      <c r="E1051">
        <v>40</v>
      </c>
      <c r="F1051">
        <v>31.659357070999999</v>
      </c>
      <c r="G1051">
        <v>1383.1954346</v>
      </c>
      <c r="H1051">
        <v>1368.3028564000001</v>
      </c>
      <c r="I1051">
        <v>1274.4008789</v>
      </c>
      <c r="J1051">
        <v>1247.8596190999999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902.32091200000002</v>
      </c>
      <c r="B1052" s="1">
        <f>DATE(2012,10,19) + TIME(7,42,6)</f>
        <v>41201.320902777778</v>
      </c>
      <c r="C1052">
        <v>70</v>
      </c>
      <c r="D1052">
        <v>69.958343506000006</v>
      </c>
      <c r="E1052">
        <v>40</v>
      </c>
      <c r="F1052">
        <v>31.647514343000001</v>
      </c>
      <c r="G1052">
        <v>1383.119751</v>
      </c>
      <c r="H1052">
        <v>1368.2326660000001</v>
      </c>
      <c r="I1052">
        <v>1274.3393555</v>
      </c>
      <c r="J1052">
        <v>1247.7385254000001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905.04014800000004</v>
      </c>
      <c r="B1053" s="1">
        <f>DATE(2012,10,22) + TIME(0,57,48)</f>
        <v>41204.040138888886</v>
      </c>
      <c r="C1053">
        <v>70</v>
      </c>
      <c r="D1053">
        <v>69.958412170000003</v>
      </c>
      <c r="E1053">
        <v>40</v>
      </c>
      <c r="F1053">
        <v>31.651065826</v>
      </c>
      <c r="G1053">
        <v>1383.0437012</v>
      </c>
      <c r="H1053">
        <v>1368.1622314000001</v>
      </c>
      <c r="I1053">
        <v>1274.2855225000001</v>
      </c>
      <c r="J1053">
        <v>1247.6323242000001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907.77455199999997</v>
      </c>
      <c r="B1054" s="1">
        <f>DATE(2012,10,24) + TIME(18,35,21)</f>
        <v>41206.774548611109</v>
      </c>
      <c r="C1054">
        <v>70</v>
      </c>
      <c r="D1054">
        <v>69.958480835000003</v>
      </c>
      <c r="E1054">
        <v>40</v>
      </c>
      <c r="F1054">
        <v>31.670808791999999</v>
      </c>
      <c r="G1054">
        <v>1382.9682617000001</v>
      </c>
      <c r="H1054">
        <v>1368.0921631000001</v>
      </c>
      <c r="I1054">
        <v>1274.2402344</v>
      </c>
      <c r="J1054">
        <v>1247.5429687999999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910.54484200000002</v>
      </c>
      <c r="B1055" s="1">
        <f>DATE(2012,10,27) + TIME(13,4,34)</f>
        <v>41209.54483796296</v>
      </c>
      <c r="C1055">
        <v>70</v>
      </c>
      <c r="D1055">
        <v>69.958541870000005</v>
      </c>
      <c r="E1055">
        <v>40</v>
      </c>
      <c r="F1055">
        <v>31.707368850999998</v>
      </c>
      <c r="G1055">
        <v>1382.8931885</v>
      </c>
      <c r="H1055">
        <v>1368.0223389</v>
      </c>
      <c r="I1055">
        <v>1274.2033690999999</v>
      </c>
      <c r="J1055">
        <v>1247.4707031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913.36424199999999</v>
      </c>
      <c r="B1056" s="1">
        <f>DATE(2012,10,30) + TIME(8,44,30)</f>
        <v>41212.364236111112</v>
      </c>
      <c r="C1056">
        <v>70</v>
      </c>
      <c r="D1056">
        <v>69.958610535000005</v>
      </c>
      <c r="E1056">
        <v>40</v>
      </c>
      <c r="F1056">
        <v>31.761526108000002</v>
      </c>
      <c r="G1056">
        <v>1382.8178711</v>
      </c>
      <c r="H1056">
        <v>1367.9521483999999</v>
      </c>
      <c r="I1056">
        <v>1274.1749268000001</v>
      </c>
      <c r="J1056">
        <v>1247.4152832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915</v>
      </c>
      <c r="B1057" s="1">
        <f>DATE(2012,11,1) + TIME(0,0,0)</f>
        <v>41214</v>
      </c>
      <c r="C1057">
        <v>70</v>
      </c>
      <c r="D1057">
        <v>69.958648682000003</v>
      </c>
      <c r="E1057">
        <v>40</v>
      </c>
      <c r="F1057">
        <v>31.823390961000001</v>
      </c>
      <c r="G1057">
        <v>1382.7420654</v>
      </c>
      <c r="H1057">
        <v>1367.8814697</v>
      </c>
      <c r="I1057">
        <v>1274.1606445</v>
      </c>
      <c r="J1057">
        <v>1247.3809814000001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915.000001</v>
      </c>
      <c r="B1058" s="1">
        <f>DATE(2012,11,1) + TIME(0,0,0)</f>
        <v>41214</v>
      </c>
      <c r="C1058">
        <v>70</v>
      </c>
      <c r="D1058">
        <v>69.958526610999996</v>
      </c>
      <c r="E1058">
        <v>40</v>
      </c>
      <c r="F1058">
        <v>31.823501586999999</v>
      </c>
      <c r="G1058">
        <v>1367.0087891000001</v>
      </c>
      <c r="H1058">
        <v>1353.2044678</v>
      </c>
      <c r="I1058">
        <v>1301.6870117000001</v>
      </c>
      <c r="J1058">
        <v>1275.0382079999999</v>
      </c>
      <c r="K1058">
        <v>0</v>
      </c>
      <c r="L1058">
        <v>2400</v>
      </c>
      <c r="M1058">
        <v>2400</v>
      </c>
      <c r="N1058">
        <v>0</v>
      </c>
    </row>
    <row r="1059" spans="1:14" x14ac:dyDescent="0.25">
      <c r="A1059">
        <v>915.00000399999999</v>
      </c>
      <c r="B1059" s="1">
        <f>DATE(2012,11,1) + TIME(0,0,0)</f>
        <v>41214</v>
      </c>
      <c r="C1059">
        <v>70</v>
      </c>
      <c r="D1059">
        <v>69.958221436000002</v>
      </c>
      <c r="E1059">
        <v>40</v>
      </c>
      <c r="F1059">
        <v>31.823808669999998</v>
      </c>
      <c r="G1059">
        <v>1364.7630615</v>
      </c>
      <c r="H1059">
        <v>1350.9582519999999</v>
      </c>
      <c r="I1059">
        <v>1304.1052245999999</v>
      </c>
      <c r="J1059">
        <v>1277.4560547000001</v>
      </c>
      <c r="K1059">
        <v>0</v>
      </c>
      <c r="L1059">
        <v>2400</v>
      </c>
      <c r="M1059">
        <v>2400</v>
      </c>
      <c r="N1059">
        <v>0</v>
      </c>
    </row>
    <row r="1060" spans="1:14" x14ac:dyDescent="0.25">
      <c r="A1060">
        <v>915.00001299999997</v>
      </c>
      <c r="B1060" s="1">
        <f>DATE(2012,11,1) + TIME(0,0,1)</f>
        <v>41214.000011574077</v>
      </c>
      <c r="C1060">
        <v>70</v>
      </c>
      <c r="D1060">
        <v>69.957580566000004</v>
      </c>
      <c r="E1060">
        <v>40</v>
      </c>
      <c r="F1060">
        <v>31.824562072999999</v>
      </c>
      <c r="G1060">
        <v>1360.0732422000001</v>
      </c>
      <c r="H1060">
        <v>1346.2677002</v>
      </c>
      <c r="I1060">
        <v>1309.9150391000001</v>
      </c>
      <c r="J1060">
        <v>1283.2730713000001</v>
      </c>
      <c r="K1060">
        <v>0</v>
      </c>
      <c r="L1060">
        <v>2400</v>
      </c>
      <c r="M1060">
        <v>2400</v>
      </c>
      <c r="N1060">
        <v>0</v>
      </c>
    </row>
    <row r="1061" spans="1:14" x14ac:dyDescent="0.25">
      <c r="A1061">
        <v>915.00004000000001</v>
      </c>
      <c r="B1061" s="1">
        <f>DATE(2012,11,1) + TIME(0,0,3)</f>
        <v>41214.000034722223</v>
      </c>
      <c r="C1061">
        <v>70</v>
      </c>
      <c r="D1061">
        <v>69.956596375000004</v>
      </c>
      <c r="E1061">
        <v>40</v>
      </c>
      <c r="F1061">
        <v>31.826065063000001</v>
      </c>
      <c r="G1061">
        <v>1352.9407959</v>
      </c>
      <c r="H1061">
        <v>1339.1356201000001</v>
      </c>
      <c r="I1061">
        <v>1320.6953125</v>
      </c>
      <c r="J1061">
        <v>1294.0772704999999</v>
      </c>
      <c r="K1061">
        <v>0</v>
      </c>
      <c r="L1061">
        <v>2400</v>
      </c>
      <c r="M1061">
        <v>2400</v>
      </c>
      <c r="N1061">
        <v>0</v>
      </c>
    </row>
    <row r="1062" spans="1:14" x14ac:dyDescent="0.25">
      <c r="A1062">
        <v>915.00012100000004</v>
      </c>
      <c r="B1062" s="1">
        <f>DATE(2012,11,1) + TIME(0,0,10)</f>
        <v>41214.000115740739</v>
      </c>
      <c r="C1062">
        <v>70</v>
      </c>
      <c r="D1062">
        <v>69.955467224000003</v>
      </c>
      <c r="E1062">
        <v>40</v>
      </c>
      <c r="F1062">
        <v>31.828485488999998</v>
      </c>
      <c r="G1062">
        <v>1344.7988281</v>
      </c>
      <c r="H1062">
        <v>1331.0003661999999</v>
      </c>
      <c r="I1062">
        <v>1335.0676269999999</v>
      </c>
      <c r="J1062">
        <v>1308.4797363</v>
      </c>
      <c r="K1062">
        <v>0</v>
      </c>
      <c r="L1062">
        <v>2400</v>
      </c>
      <c r="M1062">
        <v>2400</v>
      </c>
      <c r="N1062">
        <v>0</v>
      </c>
    </row>
    <row r="1063" spans="1:14" x14ac:dyDescent="0.25">
      <c r="A1063">
        <v>915.00036399999999</v>
      </c>
      <c r="B1063" s="1">
        <f>DATE(2012,11,1) + TIME(0,0,31)</f>
        <v>41214.000358796293</v>
      </c>
      <c r="C1063">
        <v>70</v>
      </c>
      <c r="D1063">
        <v>69.954299926999994</v>
      </c>
      <c r="E1063">
        <v>40</v>
      </c>
      <c r="F1063">
        <v>31.832563400000002</v>
      </c>
      <c r="G1063">
        <v>1336.5709228999999</v>
      </c>
      <c r="H1063">
        <v>1322.7822266000001</v>
      </c>
      <c r="I1063">
        <v>1350.4719238</v>
      </c>
      <c r="J1063">
        <v>1323.9255370999999</v>
      </c>
      <c r="K1063">
        <v>0</v>
      </c>
      <c r="L1063">
        <v>2400</v>
      </c>
      <c r="M1063">
        <v>2400</v>
      </c>
      <c r="N1063">
        <v>0</v>
      </c>
    </row>
    <row r="1064" spans="1:14" x14ac:dyDescent="0.25">
      <c r="A1064">
        <v>915.00109299999997</v>
      </c>
      <c r="B1064" s="1">
        <f>DATE(2012,11,1) + TIME(0,1,34)</f>
        <v>41214.001087962963</v>
      </c>
      <c r="C1064">
        <v>70</v>
      </c>
      <c r="D1064">
        <v>69.953025818</v>
      </c>
      <c r="E1064">
        <v>40</v>
      </c>
      <c r="F1064">
        <v>31.841257095</v>
      </c>
      <c r="G1064">
        <v>1328.3155518000001</v>
      </c>
      <c r="H1064">
        <v>1314.5239257999999</v>
      </c>
      <c r="I1064">
        <v>1366.0886230000001</v>
      </c>
      <c r="J1064">
        <v>1339.5787353999999</v>
      </c>
      <c r="K1064">
        <v>0</v>
      </c>
      <c r="L1064">
        <v>2400</v>
      </c>
      <c r="M1064">
        <v>2400</v>
      </c>
      <c r="N1064">
        <v>0</v>
      </c>
    </row>
    <row r="1065" spans="1:14" x14ac:dyDescent="0.25">
      <c r="A1065">
        <v>915.00328000000002</v>
      </c>
      <c r="B1065" s="1">
        <f>DATE(2012,11,1) + TIME(0,4,43)</f>
        <v>41214.003275462965</v>
      </c>
      <c r="C1065">
        <v>70</v>
      </c>
      <c r="D1065">
        <v>69.951438904</v>
      </c>
      <c r="E1065">
        <v>40</v>
      </c>
      <c r="F1065">
        <v>31.863714217999998</v>
      </c>
      <c r="G1065">
        <v>1319.7734375</v>
      </c>
      <c r="H1065">
        <v>1305.9144286999999</v>
      </c>
      <c r="I1065">
        <v>1381.8735352000001</v>
      </c>
      <c r="J1065">
        <v>1355.3547363</v>
      </c>
      <c r="K1065">
        <v>0</v>
      </c>
      <c r="L1065">
        <v>2400</v>
      </c>
      <c r="M1065">
        <v>2400</v>
      </c>
      <c r="N1065">
        <v>0</v>
      </c>
    </row>
    <row r="1066" spans="1:14" x14ac:dyDescent="0.25">
      <c r="A1066">
        <v>915.00984100000005</v>
      </c>
      <c r="B1066" s="1">
        <f>DATE(2012,11,1) + TIME(0,14,10)</f>
        <v>41214.009837962964</v>
      </c>
      <c r="C1066">
        <v>70</v>
      </c>
      <c r="D1066">
        <v>69.948966979999994</v>
      </c>
      <c r="E1066">
        <v>40</v>
      </c>
      <c r="F1066">
        <v>31.927074432000001</v>
      </c>
      <c r="G1066">
        <v>1310.9798584</v>
      </c>
      <c r="H1066">
        <v>1297.0139160000001</v>
      </c>
      <c r="I1066">
        <v>1396.6586914</v>
      </c>
      <c r="J1066">
        <v>1370.0817870999999</v>
      </c>
      <c r="K1066">
        <v>0</v>
      </c>
      <c r="L1066">
        <v>2400</v>
      </c>
      <c r="M1066">
        <v>2400</v>
      </c>
      <c r="N1066">
        <v>0</v>
      </c>
    </row>
    <row r="1067" spans="1:14" x14ac:dyDescent="0.25">
      <c r="A1067">
        <v>915.02952400000004</v>
      </c>
      <c r="B1067" s="1">
        <f>DATE(2012,11,1) + TIME(0,42,30)</f>
        <v>41214.029513888891</v>
      </c>
      <c r="C1067">
        <v>70</v>
      </c>
      <c r="D1067">
        <v>69.944198607999994</v>
      </c>
      <c r="E1067">
        <v>40</v>
      </c>
      <c r="F1067">
        <v>32.109855652</v>
      </c>
      <c r="G1067">
        <v>1303.4998779</v>
      </c>
      <c r="H1067">
        <v>1289.4724120999999</v>
      </c>
      <c r="I1067">
        <v>1407.4005127</v>
      </c>
      <c r="J1067">
        <v>1380.8160399999999</v>
      </c>
      <c r="K1067">
        <v>0</v>
      </c>
      <c r="L1067">
        <v>2400</v>
      </c>
      <c r="M1067">
        <v>2400</v>
      </c>
      <c r="N1067">
        <v>0</v>
      </c>
    </row>
    <row r="1068" spans="1:14" x14ac:dyDescent="0.25">
      <c r="A1068">
        <v>915.088573</v>
      </c>
      <c r="B1068" s="1">
        <f>DATE(2012,11,1) + TIME(2,7,32)</f>
        <v>41214.088564814818</v>
      </c>
      <c r="C1068">
        <v>70</v>
      </c>
      <c r="D1068">
        <v>69.932945251000007</v>
      </c>
      <c r="E1068">
        <v>40</v>
      </c>
      <c r="F1068">
        <v>32.621189117</v>
      </c>
      <c r="G1068">
        <v>1299.4866943</v>
      </c>
      <c r="H1068">
        <v>1285.4394531</v>
      </c>
      <c r="I1068">
        <v>1411.7598877</v>
      </c>
      <c r="J1068">
        <v>1385.3780518000001</v>
      </c>
      <c r="K1068">
        <v>0</v>
      </c>
      <c r="L1068">
        <v>2400</v>
      </c>
      <c r="M1068">
        <v>2400</v>
      </c>
      <c r="N1068">
        <v>0</v>
      </c>
    </row>
    <row r="1069" spans="1:14" x14ac:dyDescent="0.25">
      <c r="A1069">
        <v>915.16490899999997</v>
      </c>
      <c r="B1069" s="1">
        <f>DATE(2012,11,1) + TIME(3,57,28)</f>
        <v>41214.164907407408</v>
      </c>
      <c r="C1069">
        <v>70</v>
      </c>
      <c r="D1069">
        <v>69.919456482000001</v>
      </c>
      <c r="E1069">
        <v>40</v>
      </c>
      <c r="F1069">
        <v>33.228511810000001</v>
      </c>
      <c r="G1069">
        <v>1298.5507812000001</v>
      </c>
      <c r="H1069">
        <v>1284.4995117000001</v>
      </c>
      <c r="I1069">
        <v>1412.1124268000001</v>
      </c>
      <c r="J1069">
        <v>1386.0068358999999</v>
      </c>
      <c r="K1069">
        <v>0</v>
      </c>
      <c r="L1069">
        <v>2400</v>
      </c>
      <c r="M1069">
        <v>2400</v>
      </c>
      <c r="N1069">
        <v>0</v>
      </c>
    </row>
    <row r="1070" spans="1:14" x14ac:dyDescent="0.25">
      <c r="A1070">
        <v>915.24689000000001</v>
      </c>
      <c r="B1070" s="1">
        <f>DATE(2012,11,1) + TIME(5,55,31)</f>
        <v>41214.246886574074</v>
      </c>
      <c r="C1070">
        <v>70</v>
      </c>
      <c r="D1070">
        <v>69.905456543</v>
      </c>
      <c r="E1070">
        <v>40</v>
      </c>
      <c r="F1070">
        <v>33.824386597</v>
      </c>
      <c r="G1070">
        <v>1298.3505858999999</v>
      </c>
      <c r="H1070">
        <v>1284.2978516000001</v>
      </c>
      <c r="I1070">
        <v>1411.7686768000001</v>
      </c>
      <c r="J1070">
        <v>1385.9337158000001</v>
      </c>
      <c r="K1070">
        <v>0</v>
      </c>
      <c r="L1070">
        <v>2400</v>
      </c>
      <c r="M1070">
        <v>2400</v>
      </c>
      <c r="N1070">
        <v>0</v>
      </c>
    </row>
    <row r="1071" spans="1:14" x14ac:dyDescent="0.25">
      <c r="A1071">
        <v>915.33537200000001</v>
      </c>
      <c r="B1071" s="1">
        <f>DATE(2012,11,1) + TIME(8,2,56)</f>
        <v>41214.335370370369</v>
      </c>
      <c r="C1071">
        <v>70</v>
      </c>
      <c r="D1071">
        <v>69.890792847</v>
      </c>
      <c r="E1071">
        <v>40</v>
      </c>
      <c r="F1071">
        <v>34.407741547000001</v>
      </c>
      <c r="G1071">
        <v>1298.3022461</v>
      </c>
      <c r="H1071">
        <v>1284.2485352000001</v>
      </c>
      <c r="I1071">
        <v>1411.3481445</v>
      </c>
      <c r="J1071">
        <v>1385.7738036999999</v>
      </c>
      <c r="K1071">
        <v>0</v>
      </c>
      <c r="L1071">
        <v>2400</v>
      </c>
      <c r="M1071">
        <v>2400</v>
      </c>
      <c r="N1071">
        <v>0</v>
      </c>
    </row>
    <row r="1072" spans="1:14" x14ac:dyDescent="0.25">
      <c r="A1072">
        <v>915.431513</v>
      </c>
      <c r="B1072" s="1">
        <f>DATE(2012,11,1) + TIME(10,21,22)</f>
        <v>41214.431504629632</v>
      </c>
      <c r="C1072">
        <v>70</v>
      </c>
      <c r="D1072">
        <v>69.875312804999993</v>
      </c>
      <c r="E1072">
        <v>40</v>
      </c>
      <c r="F1072">
        <v>34.977832794000001</v>
      </c>
      <c r="G1072">
        <v>1298.2875977000001</v>
      </c>
      <c r="H1072">
        <v>1284.2330322</v>
      </c>
      <c r="I1072">
        <v>1410.9357910000001</v>
      </c>
      <c r="J1072">
        <v>1385.6115723</v>
      </c>
      <c r="K1072">
        <v>0</v>
      </c>
      <c r="L1072">
        <v>2400</v>
      </c>
      <c r="M1072">
        <v>2400</v>
      </c>
      <c r="N1072">
        <v>0</v>
      </c>
    </row>
    <row r="1073" spans="1:14" x14ac:dyDescent="0.25">
      <c r="A1073">
        <v>915.53679</v>
      </c>
      <c r="B1073" s="1">
        <f>DATE(2012,11,1) + TIME(12,52,58)</f>
        <v>41214.536782407406</v>
      </c>
      <c r="C1073">
        <v>70</v>
      </c>
      <c r="D1073">
        <v>69.858863830999994</v>
      </c>
      <c r="E1073">
        <v>40</v>
      </c>
      <c r="F1073">
        <v>35.533721923999998</v>
      </c>
      <c r="G1073">
        <v>1298.2808838000001</v>
      </c>
      <c r="H1073">
        <v>1284.2253418</v>
      </c>
      <c r="I1073">
        <v>1410.5390625</v>
      </c>
      <c r="J1073">
        <v>1385.4541016000001</v>
      </c>
      <c r="K1073">
        <v>0</v>
      </c>
      <c r="L1073">
        <v>2400</v>
      </c>
      <c r="M1073">
        <v>2400</v>
      </c>
      <c r="N1073">
        <v>0</v>
      </c>
    </row>
    <row r="1074" spans="1:14" x14ac:dyDescent="0.25">
      <c r="A1074">
        <v>915.653189</v>
      </c>
      <c r="B1074" s="1">
        <f>DATE(2012,11,1) + TIME(15,40,35)</f>
        <v>41214.653182870374</v>
      </c>
      <c r="C1074">
        <v>70</v>
      </c>
      <c r="D1074">
        <v>69.841239928999997</v>
      </c>
      <c r="E1074">
        <v>40</v>
      </c>
      <c r="F1074">
        <v>36.074466704999999</v>
      </c>
      <c r="G1074">
        <v>1298.2757568</v>
      </c>
      <c r="H1074">
        <v>1284.2192382999999</v>
      </c>
      <c r="I1074">
        <v>1410.1561279</v>
      </c>
      <c r="J1074">
        <v>1385.2998047000001</v>
      </c>
      <c r="K1074">
        <v>0</v>
      </c>
      <c r="L1074">
        <v>2400</v>
      </c>
      <c r="M1074">
        <v>2400</v>
      </c>
      <c r="N1074">
        <v>0</v>
      </c>
    </row>
    <row r="1075" spans="1:14" x14ac:dyDescent="0.25">
      <c r="A1075">
        <v>915.78334900000004</v>
      </c>
      <c r="B1075" s="1">
        <f>DATE(2012,11,1) + TIME(18,48,1)</f>
        <v>41214.78334490741</v>
      </c>
      <c r="C1075">
        <v>70</v>
      </c>
      <c r="D1075">
        <v>69.822174071999996</v>
      </c>
      <c r="E1075">
        <v>40</v>
      </c>
      <c r="F1075">
        <v>36.598739623999997</v>
      </c>
      <c r="G1075">
        <v>1298.2706298999999</v>
      </c>
      <c r="H1075">
        <v>1284.2131348</v>
      </c>
      <c r="I1075">
        <v>1409.7856445</v>
      </c>
      <c r="J1075">
        <v>1385.1472168</v>
      </c>
      <c r="K1075">
        <v>0</v>
      </c>
      <c r="L1075">
        <v>2400</v>
      </c>
      <c r="M1075">
        <v>2400</v>
      </c>
      <c r="N1075">
        <v>0</v>
      </c>
    </row>
    <row r="1076" spans="1:14" x14ac:dyDescent="0.25">
      <c r="A1076">
        <v>915.93091900000002</v>
      </c>
      <c r="B1076" s="1">
        <f>DATE(2012,11,1) + TIME(22,20,31)</f>
        <v>41214.930914351855</v>
      </c>
      <c r="C1076">
        <v>70</v>
      </c>
      <c r="D1076">
        <v>69.801307678000001</v>
      </c>
      <c r="E1076">
        <v>40</v>
      </c>
      <c r="F1076">
        <v>37.104793549</v>
      </c>
      <c r="G1076">
        <v>1298.2651367000001</v>
      </c>
      <c r="H1076">
        <v>1284.2064209</v>
      </c>
      <c r="I1076">
        <v>1409.4268798999999</v>
      </c>
      <c r="J1076">
        <v>1384.9954834</v>
      </c>
      <c r="K1076">
        <v>0</v>
      </c>
      <c r="L1076">
        <v>2400</v>
      </c>
      <c r="M1076">
        <v>2400</v>
      </c>
      <c r="N1076">
        <v>0</v>
      </c>
    </row>
    <row r="1077" spans="1:14" x14ac:dyDescent="0.25">
      <c r="A1077">
        <v>916.10112300000003</v>
      </c>
      <c r="B1077" s="1">
        <f>DATE(2012,11,2) + TIME(2,25,37)</f>
        <v>41215.101122685184</v>
      </c>
      <c r="C1077">
        <v>70</v>
      </c>
      <c r="D1077">
        <v>69.778144835999996</v>
      </c>
      <c r="E1077">
        <v>40</v>
      </c>
      <c r="F1077">
        <v>37.590339661000002</v>
      </c>
      <c r="G1077">
        <v>1298.2587891000001</v>
      </c>
      <c r="H1077">
        <v>1284.1989745999999</v>
      </c>
      <c r="I1077">
        <v>1409.0792236</v>
      </c>
      <c r="J1077">
        <v>1384.8435059000001</v>
      </c>
      <c r="K1077">
        <v>0</v>
      </c>
      <c r="L1077">
        <v>2400</v>
      </c>
      <c r="M1077">
        <v>2400</v>
      </c>
      <c r="N1077">
        <v>0</v>
      </c>
    </row>
    <row r="1078" spans="1:14" x14ac:dyDescent="0.25">
      <c r="A1078">
        <v>916.30176400000005</v>
      </c>
      <c r="B1078" s="1">
        <f>DATE(2012,11,2) + TIME(7,14,32)</f>
        <v>41215.301759259259</v>
      </c>
      <c r="C1078">
        <v>70</v>
      </c>
      <c r="D1078">
        <v>69.751960753999995</v>
      </c>
      <c r="E1078">
        <v>40</v>
      </c>
      <c r="F1078">
        <v>38.052291869999998</v>
      </c>
      <c r="G1078">
        <v>1298.2515868999999</v>
      </c>
      <c r="H1078">
        <v>1284.1903076000001</v>
      </c>
      <c r="I1078">
        <v>1408.7420654</v>
      </c>
      <c r="J1078">
        <v>1384.6900635</v>
      </c>
      <c r="K1078">
        <v>0</v>
      </c>
      <c r="L1078">
        <v>2400</v>
      </c>
      <c r="M1078">
        <v>2400</v>
      </c>
      <c r="N1078">
        <v>0</v>
      </c>
    </row>
    <row r="1079" spans="1:14" x14ac:dyDescent="0.25">
      <c r="A1079">
        <v>916.54513999999995</v>
      </c>
      <c r="B1079" s="1">
        <f>DATE(2012,11,2) + TIME(13,5,0)</f>
        <v>41215.545138888891</v>
      </c>
      <c r="C1079">
        <v>70</v>
      </c>
      <c r="D1079">
        <v>69.721687317000004</v>
      </c>
      <c r="E1079">
        <v>40</v>
      </c>
      <c r="F1079">
        <v>38.486389160000002</v>
      </c>
      <c r="G1079">
        <v>1298.2431641000001</v>
      </c>
      <c r="H1079">
        <v>1284.1801757999999</v>
      </c>
      <c r="I1079">
        <v>1408.4150391000001</v>
      </c>
      <c r="J1079">
        <v>1384.5335693</v>
      </c>
      <c r="K1079">
        <v>0</v>
      </c>
      <c r="L1079">
        <v>2400</v>
      </c>
      <c r="M1079">
        <v>2400</v>
      </c>
      <c r="N1079">
        <v>0</v>
      </c>
    </row>
    <row r="1080" spans="1:14" x14ac:dyDescent="0.25">
      <c r="A1080">
        <v>916.83838600000001</v>
      </c>
      <c r="B1080" s="1">
        <f>DATE(2012,11,2) + TIME(20,7,16)</f>
        <v>41215.838379629633</v>
      </c>
      <c r="C1080">
        <v>70</v>
      </c>
      <c r="D1080">
        <v>69.686820983999993</v>
      </c>
      <c r="E1080">
        <v>40</v>
      </c>
      <c r="F1080">
        <v>38.873474121000001</v>
      </c>
      <c r="G1080">
        <v>1298.2327881000001</v>
      </c>
      <c r="H1080">
        <v>1284.1680908000001</v>
      </c>
      <c r="I1080">
        <v>1408.1068115</v>
      </c>
      <c r="J1080">
        <v>1384.3757324000001</v>
      </c>
      <c r="K1080">
        <v>0</v>
      </c>
      <c r="L1080">
        <v>2400</v>
      </c>
      <c r="M1080">
        <v>2400</v>
      </c>
      <c r="N1080">
        <v>0</v>
      </c>
    </row>
    <row r="1081" spans="1:14" x14ac:dyDescent="0.25">
      <c r="A1081">
        <v>917.13381400000003</v>
      </c>
      <c r="B1081" s="1">
        <f>DATE(2012,11,3) + TIME(3,12,41)</f>
        <v>41216.13380787037</v>
      </c>
      <c r="C1081">
        <v>70</v>
      </c>
      <c r="D1081">
        <v>69.651443481000001</v>
      </c>
      <c r="E1081">
        <v>40</v>
      </c>
      <c r="F1081">
        <v>39.161392212000003</v>
      </c>
      <c r="G1081">
        <v>1298.2200928</v>
      </c>
      <c r="H1081">
        <v>1284.1539307</v>
      </c>
      <c r="I1081">
        <v>1407.8496094</v>
      </c>
      <c r="J1081">
        <v>1384.2285156</v>
      </c>
      <c r="K1081">
        <v>0</v>
      </c>
      <c r="L1081">
        <v>2400</v>
      </c>
      <c r="M1081">
        <v>2400</v>
      </c>
      <c r="N1081">
        <v>0</v>
      </c>
    </row>
    <row r="1082" spans="1:14" x14ac:dyDescent="0.25">
      <c r="A1082">
        <v>917.44398799999999</v>
      </c>
      <c r="B1082" s="1">
        <f>DATE(2012,11,3) + TIME(10,39,20)</f>
        <v>41216.443981481483</v>
      </c>
      <c r="C1082">
        <v>70</v>
      </c>
      <c r="D1082">
        <v>69.614601135000001</v>
      </c>
      <c r="E1082">
        <v>40</v>
      </c>
      <c r="F1082">
        <v>39.381637572999999</v>
      </c>
      <c r="G1082">
        <v>1298.2073975000001</v>
      </c>
      <c r="H1082">
        <v>1284.1395264</v>
      </c>
      <c r="I1082">
        <v>1407.6336670000001</v>
      </c>
      <c r="J1082">
        <v>1384.0969238</v>
      </c>
      <c r="K1082">
        <v>0</v>
      </c>
      <c r="L1082">
        <v>2400</v>
      </c>
      <c r="M1082">
        <v>2400</v>
      </c>
      <c r="N1082">
        <v>0</v>
      </c>
    </row>
    <row r="1083" spans="1:14" x14ac:dyDescent="0.25">
      <c r="A1083">
        <v>917.77434100000005</v>
      </c>
      <c r="B1083" s="1">
        <f>DATE(2012,11,3) + TIME(18,35,3)</f>
        <v>41216.774340277778</v>
      </c>
      <c r="C1083">
        <v>70</v>
      </c>
      <c r="D1083">
        <v>69.575889587000006</v>
      </c>
      <c r="E1083">
        <v>40</v>
      </c>
      <c r="F1083">
        <v>39.549568176000001</v>
      </c>
      <c r="G1083">
        <v>1298.1942139</v>
      </c>
      <c r="H1083">
        <v>1284.1245117000001</v>
      </c>
      <c r="I1083">
        <v>1407.4472656</v>
      </c>
      <c r="J1083">
        <v>1383.9754639</v>
      </c>
      <c r="K1083">
        <v>0</v>
      </c>
      <c r="L1083">
        <v>2400</v>
      </c>
      <c r="M1083">
        <v>2400</v>
      </c>
      <c r="N1083">
        <v>0</v>
      </c>
    </row>
    <row r="1084" spans="1:14" x14ac:dyDescent="0.25">
      <c r="A1084">
        <v>918.13221299999998</v>
      </c>
      <c r="B1084" s="1">
        <f>DATE(2012,11,4) + TIME(3,10,23)</f>
        <v>41217.132210648146</v>
      </c>
      <c r="C1084">
        <v>70</v>
      </c>
      <c r="D1084">
        <v>69.534698485999996</v>
      </c>
      <c r="E1084">
        <v>40</v>
      </c>
      <c r="F1084">
        <v>39.676822661999999</v>
      </c>
      <c r="G1084">
        <v>1298.1801757999999</v>
      </c>
      <c r="H1084">
        <v>1284.1085204999999</v>
      </c>
      <c r="I1084">
        <v>1407.2829589999999</v>
      </c>
      <c r="J1084">
        <v>1383.8610839999999</v>
      </c>
      <c r="K1084">
        <v>0</v>
      </c>
      <c r="L1084">
        <v>2400</v>
      </c>
      <c r="M1084">
        <v>2400</v>
      </c>
      <c r="N1084">
        <v>0</v>
      </c>
    </row>
    <row r="1085" spans="1:14" x14ac:dyDescent="0.25">
      <c r="A1085">
        <v>918.526748</v>
      </c>
      <c r="B1085" s="1">
        <f>DATE(2012,11,4) + TIME(12,38,31)</f>
        <v>41217.526747685188</v>
      </c>
      <c r="C1085">
        <v>70</v>
      </c>
      <c r="D1085">
        <v>69.490295410000002</v>
      </c>
      <c r="E1085">
        <v>40</v>
      </c>
      <c r="F1085">
        <v>39.772071838000002</v>
      </c>
      <c r="G1085">
        <v>1298.1651611</v>
      </c>
      <c r="H1085">
        <v>1284.0913086</v>
      </c>
      <c r="I1085">
        <v>1407.1347656</v>
      </c>
      <c r="J1085">
        <v>1383.7510986</v>
      </c>
      <c r="K1085">
        <v>0</v>
      </c>
      <c r="L1085">
        <v>2400</v>
      </c>
      <c r="M1085">
        <v>2400</v>
      </c>
      <c r="N1085">
        <v>0</v>
      </c>
    </row>
    <row r="1086" spans="1:14" x14ac:dyDescent="0.25">
      <c r="A1086">
        <v>918.96735699999999</v>
      </c>
      <c r="B1086" s="1">
        <f>DATE(2012,11,4) + TIME(23,12,59)</f>
        <v>41217.967349537037</v>
      </c>
      <c r="C1086">
        <v>70</v>
      </c>
      <c r="D1086">
        <v>69.441902161000002</v>
      </c>
      <c r="E1086">
        <v>40</v>
      </c>
      <c r="F1086">
        <v>39.841758728000002</v>
      </c>
      <c r="G1086">
        <v>1298.1486815999999</v>
      </c>
      <c r="H1086">
        <v>1284.0723877</v>
      </c>
      <c r="I1086">
        <v>1406.9980469</v>
      </c>
      <c r="J1086">
        <v>1383.6434326000001</v>
      </c>
      <c r="K1086">
        <v>0</v>
      </c>
      <c r="L1086">
        <v>2400</v>
      </c>
      <c r="M1086">
        <v>2400</v>
      </c>
      <c r="N1086">
        <v>0</v>
      </c>
    </row>
    <row r="1087" spans="1:14" x14ac:dyDescent="0.25">
      <c r="A1087">
        <v>919.45946900000001</v>
      </c>
      <c r="B1087" s="1">
        <f>DATE(2012,11,5) + TIME(11,1,38)</f>
        <v>41218.459467592591</v>
      </c>
      <c r="C1087">
        <v>70</v>
      </c>
      <c r="D1087">
        <v>69.389015197999996</v>
      </c>
      <c r="E1087">
        <v>40</v>
      </c>
      <c r="F1087">
        <v>39.890850067000002</v>
      </c>
      <c r="G1087">
        <v>1298.130249</v>
      </c>
      <c r="H1087">
        <v>1284.0515137</v>
      </c>
      <c r="I1087">
        <v>1406.8692627</v>
      </c>
      <c r="J1087">
        <v>1383.5363769999999</v>
      </c>
      <c r="K1087">
        <v>0</v>
      </c>
      <c r="L1087">
        <v>2400</v>
      </c>
      <c r="M1087">
        <v>2400</v>
      </c>
      <c r="N1087">
        <v>0</v>
      </c>
    </row>
    <row r="1088" spans="1:14" x14ac:dyDescent="0.25">
      <c r="A1088">
        <v>920.02162299999998</v>
      </c>
      <c r="B1088" s="1">
        <f>DATE(2012,11,6) + TIME(0,31,8)</f>
        <v>41219.021620370368</v>
      </c>
      <c r="C1088">
        <v>70</v>
      </c>
      <c r="D1088">
        <v>69.330276488999999</v>
      </c>
      <c r="E1088">
        <v>40</v>
      </c>
      <c r="F1088">
        <v>39.924549102999997</v>
      </c>
      <c r="G1088">
        <v>1298.1097411999999</v>
      </c>
      <c r="H1088">
        <v>1284.0280762</v>
      </c>
      <c r="I1088">
        <v>1406.7458495999999</v>
      </c>
      <c r="J1088">
        <v>1383.4295654</v>
      </c>
      <c r="K1088">
        <v>0</v>
      </c>
      <c r="L1088">
        <v>2400</v>
      </c>
      <c r="M1088">
        <v>2400</v>
      </c>
      <c r="N1088">
        <v>0</v>
      </c>
    </row>
    <row r="1089" spans="1:14" x14ac:dyDescent="0.25">
      <c r="A1089">
        <v>920.64386999999999</v>
      </c>
      <c r="B1089" s="1">
        <f>DATE(2012,11,6) + TIME(15,27,10)</f>
        <v>41219.643865740742</v>
      </c>
      <c r="C1089">
        <v>70</v>
      </c>
      <c r="D1089">
        <v>69.265937804999993</v>
      </c>
      <c r="E1089">
        <v>40</v>
      </c>
      <c r="F1089">
        <v>39.946136475000003</v>
      </c>
      <c r="G1089">
        <v>1298.0863036999999</v>
      </c>
      <c r="H1089">
        <v>1284.0017089999999</v>
      </c>
      <c r="I1089">
        <v>1406.6243896000001</v>
      </c>
      <c r="J1089">
        <v>1383.3206786999999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921.27998100000002</v>
      </c>
      <c r="B1090" s="1">
        <f>DATE(2012,11,7) + TIME(6,43,10)</f>
        <v>41220.279976851853</v>
      </c>
      <c r="C1090">
        <v>70</v>
      </c>
      <c r="D1090">
        <v>69.198654175000001</v>
      </c>
      <c r="E1090">
        <v>40</v>
      </c>
      <c r="F1090">
        <v>39.958854674999998</v>
      </c>
      <c r="G1090">
        <v>1298.0603027</v>
      </c>
      <c r="H1090">
        <v>1283.9725341999999</v>
      </c>
      <c r="I1090">
        <v>1406.5070800999999</v>
      </c>
      <c r="J1090">
        <v>1383.2131348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921.93721800000003</v>
      </c>
      <c r="B1091" s="1">
        <f>DATE(2012,11,7) + TIME(22,29,35)</f>
        <v>41220.937210648146</v>
      </c>
      <c r="C1091">
        <v>70</v>
      </c>
      <c r="D1091">
        <v>69.128974915000001</v>
      </c>
      <c r="E1091">
        <v>40</v>
      </c>
      <c r="F1091">
        <v>39.966377258000001</v>
      </c>
      <c r="G1091">
        <v>1298.0338135</v>
      </c>
      <c r="H1091">
        <v>1283.942749</v>
      </c>
      <c r="I1091">
        <v>1406.4005127</v>
      </c>
      <c r="J1091">
        <v>1383.1145019999999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922.63113699999997</v>
      </c>
      <c r="B1092" s="1">
        <f>DATE(2012,11,8) + TIME(15,8,50)</f>
        <v>41221.63113425926</v>
      </c>
      <c r="C1092">
        <v>70</v>
      </c>
      <c r="D1092">
        <v>69.056442261000001</v>
      </c>
      <c r="E1092">
        <v>40</v>
      </c>
      <c r="F1092">
        <v>39.970863342000001</v>
      </c>
      <c r="G1092">
        <v>1298.0065918</v>
      </c>
      <c r="H1092">
        <v>1283.9119873</v>
      </c>
      <c r="I1092">
        <v>1406.3013916</v>
      </c>
      <c r="J1092">
        <v>1383.0222168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923.37791000000004</v>
      </c>
      <c r="B1093" s="1">
        <f>DATE(2012,11,9) + TIME(9,4,11)</f>
        <v>41222.377905092595</v>
      </c>
      <c r="C1093">
        <v>70</v>
      </c>
      <c r="D1093">
        <v>68.980125427000004</v>
      </c>
      <c r="E1093">
        <v>40</v>
      </c>
      <c r="F1093">
        <v>39.973537444999998</v>
      </c>
      <c r="G1093">
        <v>1297.9780272999999</v>
      </c>
      <c r="H1093">
        <v>1283.8795166</v>
      </c>
      <c r="I1093">
        <v>1406.206543</v>
      </c>
      <c r="J1093">
        <v>1382.9338379000001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924.19729900000004</v>
      </c>
      <c r="B1094" s="1">
        <f>DATE(2012,11,10) + TIME(4,44,6)</f>
        <v>41223.197291666664</v>
      </c>
      <c r="C1094">
        <v>70</v>
      </c>
      <c r="D1094">
        <v>68.898719787999994</v>
      </c>
      <c r="E1094">
        <v>40</v>
      </c>
      <c r="F1094">
        <v>39.975131988999998</v>
      </c>
      <c r="G1094">
        <v>1297.9472656</v>
      </c>
      <c r="H1094">
        <v>1283.8446045000001</v>
      </c>
      <c r="I1094">
        <v>1406.1136475000001</v>
      </c>
      <c r="J1094">
        <v>1382.847168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925.11429799999996</v>
      </c>
      <c r="B1095" s="1">
        <f>DATE(2012,11,11) + TIME(2,44,35)</f>
        <v>41224.114293981482</v>
      </c>
      <c r="C1095">
        <v>70</v>
      </c>
      <c r="D1095">
        <v>68.810493468999994</v>
      </c>
      <c r="E1095">
        <v>40</v>
      </c>
      <c r="F1095">
        <v>39.976078033</v>
      </c>
      <c r="G1095">
        <v>1297.9135742000001</v>
      </c>
      <c r="H1095">
        <v>1283.8063964999999</v>
      </c>
      <c r="I1095">
        <v>1406.0203856999999</v>
      </c>
      <c r="J1095">
        <v>1382.760376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926.08185600000002</v>
      </c>
      <c r="B1096" s="1">
        <f>DATE(2012,11,12) + TIME(1,57,52)</f>
        <v>41225.08185185185</v>
      </c>
      <c r="C1096">
        <v>70</v>
      </c>
      <c r="D1096">
        <v>68.716651916999993</v>
      </c>
      <c r="E1096">
        <v>40</v>
      </c>
      <c r="F1096">
        <v>39.976608276</v>
      </c>
      <c r="G1096">
        <v>1297.8757324000001</v>
      </c>
      <c r="H1096">
        <v>1283.7637939000001</v>
      </c>
      <c r="I1096">
        <v>1405.9251709</v>
      </c>
      <c r="J1096">
        <v>1382.671875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927.08629199999996</v>
      </c>
      <c r="B1097" s="1">
        <f>DATE(2012,11,13) + TIME(2,4,15)</f>
        <v>41226.086284722223</v>
      </c>
      <c r="C1097">
        <v>70</v>
      </c>
      <c r="D1097">
        <v>68.618759155000006</v>
      </c>
      <c r="E1097">
        <v>40</v>
      </c>
      <c r="F1097">
        <v>39.976909636999999</v>
      </c>
      <c r="G1097">
        <v>1297.8356934000001</v>
      </c>
      <c r="H1097">
        <v>1283.71875</v>
      </c>
      <c r="I1097">
        <v>1405.833374</v>
      </c>
      <c r="J1097">
        <v>1382.5869141000001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928.13705600000003</v>
      </c>
      <c r="B1098" s="1">
        <f>DATE(2012,11,14) + TIME(3,17,21)</f>
        <v>41227.137048611112</v>
      </c>
      <c r="C1098">
        <v>70</v>
      </c>
      <c r="D1098">
        <v>68.517349242999998</v>
      </c>
      <c r="E1098">
        <v>40</v>
      </c>
      <c r="F1098">
        <v>39.977088928000001</v>
      </c>
      <c r="G1098">
        <v>1297.7940673999999</v>
      </c>
      <c r="H1098">
        <v>1283.671875</v>
      </c>
      <c r="I1098">
        <v>1405.7460937999999</v>
      </c>
      <c r="J1098">
        <v>1382.5064697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929.23581100000001</v>
      </c>
      <c r="B1099" s="1">
        <f>DATE(2012,11,15) + TIME(5,39,34)</f>
        <v>41228.235810185186</v>
      </c>
      <c r="C1099">
        <v>70</v>
      </c>
      <c r="D1099">
        <v>68.412590026999993</v>
      </c>
      <c r="E1099">
        <v>40</v>
      </c>
      <c r="F1099">
        <v>39.977199554000002</v>
      </c>
      <c r="G1099">
        <v>1297.7506103999999</v>
      </c>
      <c r="H1099">
        <v>1283.6225586</v>
      </c>
      <c r="I1099">
        <v>1405.6621094</v>
      </c>
      <c r="J1099">
        <v>1382.4291992000001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930.40858500000002</v>
      </c>
      <c r="B1100" s="1">
        <f>DATE(2012,11,16) + TIME(9,48,21)</f>
        <v>41229.408576388887</v>
      </c>
      <c r="C1100">
        <v>70</v>
      </c>
      <c r="D1100">
        <v>68.303581238000007</v>
      </c>
      <c r="E1100">
        <v>40</v>
      </c>
      <c r="F1100">
        <v>39.977272034000002</v>
      </c>
      <c r="G1100">
        <v>1297.7049560999999</v>
      </c>
      <c r="H1100">
        <v>1283.5709228999999</v>
      </c>
      <c r="I1100">
        <v>1405.5810547000001</v>
      </c>
      <c r="J1100">
        <v>1382.3548584</v>
      </c>
      <c r="K1100">
        <v>0</v>
      </c>
      <c r="L1100">
        <v>2400</v>
      </c>
      <c r="M1100">
        <v>2400</v>
      </c>
      <c r="N1100">
        <v>0</v>
      </c>
    </row>
    <row r="1101" spans="1:14" x14ac:dyDescent="0.25">
      <c r="A1101">
        <v>931.68588699999998</v>
      </c>
      <c r="B1101" s="1">
        <f>DATE(2012,11,17) + TIME(16,27,40)</f>
        <v>41230.685879629629</v>
      </c>
      <c r="C1101">
        <v>70</v>
      </c>
      <c r="D1101">
        <v>68.188560486</v>
      </c>
      <c r="E1101">
        <v>40</v>
      </c>
      <c r="F1101">
        <v>39.977325438999998</v>
      </c>
      <c r="G1101">
        <v>1297.65625</v>
      </c>
      <c r="H1101">
        <v>1283.5155029</v>
      </c>
      <c r="I1101">
        <v>1405.5008545000001</v>
      </c>
      <c r="J1101">
        <v>1382.2816161999999</v>
      </c>
      <c r="K1101">
        <v>0</v>
      </c>
      <c r="L1101">
        <v>2400</v>
      </c>
      <c r="M1101">
        <v>2400</v>
      </c>
      <c r="N1101">
        <v>0</v>
      </c>
    </row>
    <row r="1102" spans="1:14" x14ac:dyDescent="0.25">
      <c r="A1102">
        <v>933.04621199999997</v>
      </c>
      <c r="B1102" s="1">
        <f>DATE(2012,11,19) + TIME(1,6,32)</f>
        <v>41232.046203703707</v>
      </c>
      <c r="C1102">
        <v>70</v>
      </c>
      <c r="D1102">
        <v>68.067131042</v>
      </c>
      <c r="E1102">
        <v>40</v>
      </c>
      <c r="F1102">
        <v>39.977367401000002</v>
      </c>
      <c r="G1102">
        <v>1297.6027832</v>
      </c>
      <c r="H1102">
        <v>1283.4549560999999</v>
      </c>
      <c r="I1102">
        <v>1405.4199219</v>
      </c>
      <c r="J1102">
        <v>1382.2078856999999</v>
      </c>
      <c r="K1102">
        <v>0</v>
      </c>
      <c r="L1102">
        <v>2400</v>
      </c>
      <c r="M1102">
        <v>2400</v>
      </c>
      <c r="N1102">
        <v>0</v>
      </c>
    </row>
    <row r="1103" spans="1:14" x14ac:dyDescent="0.25">
      <c r="A1103">
        <v>934.48561800000004</v>
      </c>
      <c r="B1103" s="1">
        <f>DATE(2012,11,20) + TIME(11,39,17)</f>
        <v>41233.485613425924</v>
      </c>
      <c r="C1103">
        <v>70</v>
      </c>
      <c r="D1103">
        <v>67.939834594999994</v>
      </c>
      <c r="E1103">
        <v>40</v>
      </c>
      <c r="F1103">
        <v>39.977405548</v>
      </c>
      <c r="G1103">
        <v>1297.5455322</v>
      </c>
      <c r="H1103">
        <v>1283.3900146000001</v>
      </c>
      <c r="I1103">
        <v>1405.3400879000001</v>
      </c>
      <c r="J1103">
        <v>1382.135376</v>
      </c>
      <c r="K1103">
        <v>0</v>
      </c>
      <c r="L1103">
        <v>2400</v>
      </c>
      <c r="M1103">
        <v>2400</v>
      </c>
      <c r="N1103">
        <v>0</v>
      </c>
    </row>
    <row r="1104" spans="1:14" x14ac:dyDescent="0.25">
      <c r="A1104">
        <v>935.95921899999996</v>
      </c>
      <c r="B1104" s="1">
        <f>DATE(2012,11,21) + TIME(23,1,16)</f>
        <v>41234.95921296296</v>
      </c>
      <c r="C1104">
        <v>70</v>
      </c>
      <c r="D1104">
        <v>67.808563231999997</v>
      </c>
      <c r="E1104">
        <v>40</v>
      </c>
      <c r="F1104">
        <v>39.977436066000003</v>
      </c>
      <c r="G1104">
        <v>1297.484375</v>
      </c>
      <c r="H1104">
        <v>1283.3208007999999</v>
      </c>
      <c r="I1104">
        <v>1405.2617187999999</v>
      </c>
      <c r="J1104">
        <v>1382.0643310999999</v>
      </c>
      <c r="K1104">
        <v>0</v>
      </c>
      <c r="L1104">
        <v>2400</v>
      </c>
      <c r="M1104">
        <v>2400</v>
      </c>
      <c r="N1104">
        <v>0</v>
      </c>
    </row>
    <row r="1105" spans="1:14" x14ac:dyDescent="0.25">
      <c r="A1105">
        <v>937.49849800000004</v>
      </c>
      <c r="B1105" s="1">
        <f>DATE(2012,11,23) + TIME(11,57,50)</f>
        <v>41236.498495370368</v>
      </c>
      <c r="C1105">
        <v>70</v>
      </c>
      <c r="D1105">
        <v>67.674247742000006</v>
      </c>
      <c r="E1105">
        <v>40</v>
      </c>
      <c r="F1105">
        <v>39.977466583000002</v>
      </c>
      <c r="G1105">
        <v>1297.4213867000001</v>
      </c>
      <c r="H1105">
        <v>1283.2490233999999</v>
      </c>
      <c r="I1105">
        <v>1405.1872559000001</v>
      </c>
      <c r="J1105">
        <v>1381.9969481999999</v>
      </c>
      <c r="K1105">
        <v>0</v>
      </c>
      <c r="L1105">
        <v>2400</v>
      </c>
      <c r="M1105">
        <v>2400</v>
      </c>
      <c r="N1105">
        <v>0</v>
      </c>
    </row>
    <row r="1106" spans="1:14" x14ac:dyDescent="0.25">
      <c r="A1106">
        <v>939.14025800000002</v>
      </c>
      <c r="B1106" s="1">
        <f>DATE(2012,11,25) + TIME(3,21,58)</f>
        <v>41238.14025462963</v>
      </c>
      <c r="C1106">
        <v>70</v>
      </c>
      <c r="D1106">
        <v>67.535461425999998</v>
      </c>
      <c r="E1106">
        <v>40</v>
      </c>
      <c r="F1106">
        <v>39.977497100999997</v>
      </c>
      <c r="G1106">
        <v>1297.3551024999999</v>
      </c>
      <c r="H1106">
        <v>1283.1730957</v>
      </c>
      <c r="I1106">
        <v>1405.114624</v>
      </c>
      <c r="J1106">
        <v>1381.9315185999999</v>
      </c>
      <c r="K1106">
        <v>0</v>
      </c>
      <c r="L1106">
        <v>2400</v>
      </c>
      <c r="M1106">
        <v>2400</v>
      </c>
      <c r="N1106">
        <v>0</v>
      </c>
    </row>
    <row r="1107" spans="1:14" x14ac:dyDescent="0.25">
      <c r="A1107">
        <v>940.89700900000003</v>
      </c>
      <c r="B1107" s="1">
        <f>DATE(2012,11,26) + TIME(21,31,41)</f>
        <v>41239.897002314814</v>
      </c>
      <c r="C1107">
        <v>70</v>
      </c>
      <c r="D1107">
        <v>67.390563964999998</v>
      </c>
      <c r="E1107">
        <v>40</v>
      </c>
      <c r="F1107">
        <v>39.977531433000003</v>
      </c>
      <c r="G1107">
        <v>1297.2835693</v>
      </c>
      <c r="H1107">
        <v>1283.0913086</v>
      </c>
      <c r="I1107">
        <v>1405.0422363</v>
      </c>
      <c r="J1107">
        <v>1381.8663329999999</v>
      </c>
      <c r="K1107">
        <v>0</v>
      </c>
      <c r="L1107">
        <v>2400</v>
      </c>
      <c r="M1107">
        <v>2400</v>
      </c>
      <c r="N1107">
        <v>0</v>
      </c>
    </row>
    <row r="1108" spans="1:14" x14ac:dyDescent="0.25">
      <c r="A1108">
        <v>942.73339999999996</v>
      </c>
      <c r="B1108" s="1">
        <f>DATE(2012,11,28) + TIME(17,36,5)</f>
        <v>41241.733391203707</v>
      </c>
      <c r="C1108">
        <v>70</v>
      </c>
      <c r="D1108">
        <v>67.239715575999995</v>
      </c>
      <c r="E1108">
        <v>40</v>
      </c>
      <c r="F1108">
        <v>39.977565765000001</v>
      </c>
      <c r="G1108">
        <v>1297.2060547000001</v>
      </c>
      <c r="H1108">
        <v>1283.0025635</v>
      </c>
      <c r="I1108">
        <v>1404.9699707</v>
      </c>
      <c r="J1108">
        <v>1381.8013916</v>
      </c>
      <c r="K1108">
        <v>0</v>
      </c>
      <c r="L1108">
        <v>2400</v>
      </c>
      <c r="M1108">
        <v>2400</v>
      </c>
      <c r="N1108">
        <v>0</v>
      </c>
    </row>
    <row r="1109" spans="1:14" x14ac:dyDescent="0.25">
      <c r="A1109">
        <v>944.67119200000002</v>
      </c>
      <c r="B1109" s="1">
        <f>DATE(2012,11,30) + TIME(16,6,31)</f>
        <v>41243.67119212963</v>
      </c>
      <c r="C1109">
        <v>70</v>
      </c>
      <c r="D1109">
        <v>67.083694457999997</v>
      </c>
      <c r="E1109">
        <v>40</v>
      </c>
      <c r="F1109">
        <v>39.977603911999999</v>
      </c>
      <c r="G1109">
        <v>1297.1239014</v>
      </c>
      <c r="H1109">
        <v>1282.9079589999999</v>
      </c>
      <c r="I1109">
        <v>1404.8992920000001</v>
      </c>
      <c r="J1109">
        <v>1381.7380370999999</v>
      </c>
      <c r="K1109">
        <v>0</v>
      </c>
      <c r="L1109">
        <v>2400</v>
      </c>
      <c r="M1109">
        <v>2400</v>
      </c>
      <c r="N1109">
        <v>0</v>
      </c>
    </row>
    <row r="1110" spans="1:14" x14ac:dyDescent="0.25">
      <c r="A1110">
        <v>945</v>
      </c>
      <c r="B1110" s="1">
        <f>DATE(2012,12,1) + TIME(0,0,0)</f>
        <v>41244</v>
      </c>
      <c r="C1110">
        <v>70</v>
      </c>
      <c r="D1110">
        <v>67.020256042</v>
      </c>
      <c r="E1110">
        <v>40</v>
      </c>
      <c r="F1110">
        <v>39.977603911999999</v>
      </c>
      <c r="G1110">
        <v>1297.0316161999999</v>
      </c>
      <c r="H1110">
        <v>1282.8142089999999</v>
      </c>
      <c r="I1110">
        <v>1404.8292236</v>
      </c>
      <c r="J1110">
        <v>1381.6751709</v>
      </c>
      <c r="K1110">
        <v>0</v>
      </c>
      <c r="L1110">
        <v>2400</v>
      </c>
      <c r="M1110">
        <v>2400</v>
      </c>
      <c r="N1110">
        <v>0</v>
      </c>
    </row>
    <row r="1111" spans="1:14" x14ac:dyDescent="0.25">
      <c r="A1111">
        <v>946.98986600000001</v>
      </c>
      <c r="B1111" s="1">
        <f>DATE(2012,12,2) + TIME(23,45,24)</f>
        <v>41245.989861111113</v>
      </c>
      <c r="C1111">
        <v>70</v>
      </c>
      <c r="D1111">
        <v>66.885520935000002</v>
      </c>
      <c r="E1111">
        <v>40</v>
      </c>
      <c r="F1111">
        <v>39.977645873999997</v>
      </c>
      <c r="G1111">
        <v>1297.0202637</v>
      </c>
      <c r="H1111">
        <v>1282.786499</v>
      </c>
      <c r="I1111">
        <v>1404.8181152</v>
      </c>
      <c r="J1111">
        <v>1381.6652832</v>
      </c>
      <c r="K1111">
        <v>0</v>
      </c>
      <c r="L1111">
        <v>2400</v>
      </c>
      <c r="M1111">
        <v>2400</v>
      </c>
      <c r="N1111">
        <v>0</v>
      </c>
    </row>
    <row r="1112" spans="1:14" x14ac:dyDescent="0.25">
      <c r="A1112">
        <v>949.10107400000004</v>
      </c>
      <c r="B1112" s="1">
        <f>DATE(2012,12,5) + TIME(2,25,32)</f>
        <v>41248.101064814815</v>
      </c>
      <c r="C1112">
        <v>70</v>
      </c>
      <c r="D1112">
        <v>66.729576111</v>
      </c>
      <c r="E1112">
        <v>40</v>
      </c>
      <c r="F1112">
        <v>39.977684021000002</v>
      </c>
      <c r="G1112">
        <v>1296.9282227000001</v>
      </c>
      <c r="H1112">
        <v>1282.6806641000001</v>
      </c>
      <c r="I1112">
        <v>1404.7515868999999</v>
      </c>
      <c r="J1112">
        <v>1381.6058350000001</v>
      </c>
      <c r="K1112">
        <v>0</v>
      </c>
      <c r="L1112">
        <v>2400</v>
      </c>
      <c r="M1112">
        <v>2400</v>
      </c>
      <c r="N1112">
        <v>0</v>
      </c>
    </row>
    <row r="1113" spans="1:14" x14ac:dyDescent="0.25">
      <c r="A1113">
        <v>951.34838999999999</v>
      </c>
      <c r="B1113" s="1">
        <f>DATE(2012,12,7) + TIME(8,21,40)</f>
        <v>41250.348379629628</v>
      </c>
      <c r="C1113">
        <v>70</v>
      </c>
      <c r="D1113">
        <v>66.562118530000006</v>
      </c>
      <c r="E1113">
        <v>40</v>
      </c>
      <c r="F1113">
        <v>39.977725982999999</v>
      </c>
      <c r="G1113">
        <v>1296.8283690999999</v>
      </c>
      <c r="H1113">
        <v>1282.5643310999999</v>
      </c>
      <c r="I1113">
        <v>1404.6851807</v>
      </c>
      <c r="J1113">
        <v>1381.5466309000001</v>
      </c>
      <c r="K1113">
        <v>0</v>
      </c>
      <c r="L1113">
        <v>2400</v>
      </c>
      <c r="M1113">
        <v>2400</v>
      </c>
      <c r="N1113">
        <v>0</v>
      </c>
    </row>
    <row r="1114" spans="1:14" x14ac:dyDescent="0.25">
      <c r="A1114">
        <v>953.65840300000002</v>
      </c>
      <c r="B1114" s="1">
        <f>DATE(2012,12,9) + TIME(15,48,6)</f>
        <v>41252.658402777779</v>
      </c>
      <c r="C1114">
        <v>70</v>
      </c>
      <c r="D1114">
        <v>66.387458800999994</v>
      </c>
      <c r="E1114">
        <v>40</v>
      </c>
      <c r="F1114">
        <v>39.977767944</v>
      </c>
      <c r="G1114">
        <v>1296.7194824000001</v>
      </c>
      <c r="H1114">
        <v>1282.4370117000001</v>
      </c>
      <c r="I1114">
        <v>1404.6186522999999</v>
      </c>
      <c r="J1114">
        <v>1381.4871826000001</v>
      </c>
      <c r="K1114">
        <v>0</v>
      </c>
      <c r="L1114">
        <v>2400</v>
      </c>
      <c r="M1114">
        <v>2400</v>
      </c>
      <c r="N1114">
        <v>0</v>
      </c>
    </row>
    <row r="1115" spans="1:14" x14ac:dyDescent="0.25">
      <c r="A1115">
        <v>956.00688100000002</v>
      </c>
      <c r="B1115" s="1">
        <f>DATE(2012,12,12) + TIME(0,9,54)</f>
        <v>41255.006874999999</v>
      </c>
      <c r="C1115">
        <v>70</v>
      </c>
      <c r="D1115">
        <v>66.210121154999996</v>
      </c>
      <c r="E1115">
        <v>40</v>
      </c>
      <c r="F1115">
        <v>39.977813720999997</v>
      </c>
      <c r="G1115">
        <v>1296.6048584</v>
      </c>
      <c r="H1115">
        <v>1282.3017577999999</v>
      </c>
      <c r="I1115">
        <v>1404.5543213000001</v>
      </c>
      <c r="J1115">
        <v>1381.4298096</v>
      </c>
      <c r="K1115">
        <v>0</v>
      </c>
      <c r="L1115">
        <v>2400</v>
      </c>
      <c r="M1115">
        <v>2400</v>
      </c>
      <c r="N1115">
        <v>0</v>
      </c>
    </row>
    <row r="1116" spans="1:14" x14ac:dyDescent="0.25">
      <c r="A1116">
        <v>958.38023099999998</v>
      </c>
      <c r="B1116" s="1">
        <f>DATE(2012,12,14) + TIME(9,7,31)</f>
        <v>41257.380219907405</v>
      </c>
      <c r="C1116">
        <v>70</v>
      </c>
      <c r="D1116">
        <v>66.032470703000001</v>
      </c>
      <c r="E1116">
        <v>40</v>
      </c>
      <c r="F1116">
        <v>39.977855681999998</v>
      </c>
      <c r="G1116">
        <v>1296.4851074000001</v>
      </c>
      <c r="H1116">
        <v>1282.159668</v>
      </c>
      <c r="I1116">
        <v>1404.4925536999999</v>
      </c>
      <c r="J1116">
        <v>1381.3748779</v>
      </c>
      <c r="K1116">
        <v>0</v>
      </c>
      <c r="L1116">
        <v>2400</v>
      </c>
      <c r="M1116">
        <v>2400</v>
      </c>
      <c r="N1116">
        <v>0</v>
      </c>
    </row>
    <row r="1117" spans="1:14" x14ac:dyDescent="0.25">
      <c r="A1117">
        <v>960.77525600000001</v>
      </c>
      <c r="B1117" s="1">
        <f>DATE(2012,12,16) + TIME(18,36,22)</f>
        <v>41259.775254629632</v>
      </c>
      <c r="C1117">
        <v>70</v>
      </c>
      <c r="D1117">
        <v>65.855598450000002</v>
      </c>
      <c r="E1117">
        <v>40</v>
      </c>
      <c r="F1117">
        <v>39.977901459000002</v>
      </c>
      <c r="G1117">
        <v>1296.3605957</v>
      </c>
      <c r="H1117">
        <v>1282.0108643000001</v>
      </c>
      <c r="I1117">
        <v>1404.4335937999999</v>
      </c>
      <c r="J1117">
        <v>1381.3222656</v>
      </c>
      <c r="K1117">
        <v>0</v>
      </c>
      <c r="L1117">
        <v>2400</v>
      </c>
      <c r="M1117">
        <v>2400</v>
      </c>
      <c r="N1117">
        <v>0</v>
      </c>
    </row>
    <row r="1118" spans="1:14" x14ac:dyDescent="0.25">
      <c r="A1118">
        <v>963.20065</v>
      </c>
      <c r="B1118" s="1">
        <f>DATE(2012,12,19) + TIME(4,48,56)</f>
        <v>41262.200648148151</v>
      </c>
      <c r="C1118">
        <v>70</v>
      </c>
      <c r="D1118">
        <v>65.679641724000007</v>
      </c>
      <c r="E1118">
        <v>40</v>
      </c>
      <c r="F1118">
        <v>39.977947235000002</v>
      </c>
      <c r="G1118">
        <v>1296.2314452999999</v>
      </c>
      <c r="H1118">
        <v>1281.8552245999999</v>
      </c>
      <c r="I1118">
        <v>1404.3770752</v>
      </c>
      <c r="J1118">
        <v>1381.2718506000001</v>
      </c>
      <c r="K1118">
        <v>0</v>
      </c>
      <c r="L1118">
        <v>2400</v>
      </c>
      <c r="M1118">
        <v>2400</v>
      </c>
      <c r="N1118">
        <v>0</v>
      </c>
    </row>
    <row r="1119" spans="1:14" x14ac:dyDescent="0.25">
      <c r="A1119">
        <v>965.66230399999995</v>
      </c>
      <c r="B1119" s="1">
        <f>DATE(2012,12,21) + TIME(15,53,43)</f>
        <v>41264.662303240744</v>
      </c>
      <c r="C1119">
        <v>70</v>
      </c>
      <c r="D1119">
        <v>65.504112243999998</v>
      </c>
      <c r="E1119">
        <v>40</v>
      </c>
      <c r="F1119">
        <v>39.977993011000002</v>
      </c>
      <c r="G1119">
        <v>1296.0965576000001</v>
      </c>
      <c r="H1119">
        <v>1281.6917725000001</v>
      </c>
      <c r="I1119">
        <v>1404.3226318</v>
      </c>
      <c r="J1119">
        <v>1381.2233887</v>
      </c>
      <c r="K1119">
        <v>0</v>
      </c>
      <c r="L1119">
        <v>2400</v>
      </c>
      <c r="M1119">
        <v>2400</v>
      </c>
      <c r="N1119">
        <v>0</v>
      </c>
    </row>
    <row r="1120" spans="1:14" x14ac:dyDescent="0.25">
      <c r="A1120">
        <v>968.16582600000004</v>
      </c>
      <c r="B1120" s="1">
        <f>DATE(2012,12,24) + TIME(3,58,47)</f>
        <v>41267.165821759256</v>
      </c>
      <c r="C1120">
        <v>70</v>
      </c>
      <c r="D1120">
        <v>65.328453064000001</v>
      </c>
      <c r="E1120">
        <v>40</v>
      </c>
      <c r="F1120">
        <v>39.978038787999999</v>
      </c>
      <c r="G1120">
        <v>1295.9555664</v>
      </c>
      <c r="H1120">
        <v>1281.5196533000001</v>
      </c>
      <c r="I1120">
        <v>1404.2700195</v>
      </c>
      <c r="J1120">
        <v>1381.1765137</v>
      </c>
      <c r="K1120">
        <v>0</v>
      </c>
      <c r="L1120">
        <v>2400</v>
      </c>
      <c r="M1120">
        <v>2400</v>
      </c>
      <c r="N1120">
        <v>0</v>
      </c>
    </row>
    <row r="1121" spans="1:14" x14ac:dyDescent="0.25">
      <c r="A1121">
        <v>970.69579499999998</v>
      </c>
      <c r="B1121" s="1">
        <f>DATE(2012,12,26) + TIME(16,41,56)</f>
        <v>41269.695787037039</v>
      </c>
      <c r="C1121">
        <v>70</v>
      </c>
      <c r="D1121">
        <v>65.152496338000006</v>
      </c>
      <c r="E1121">
        <v>40</v>
      </c>
      <c r="F1121">
        <v>39.978084564</v>
      </c>
      <c r="G1121">
        <v>1295.8074951000001</v>
      </c>
      <c r="H1121">
        <v>1281.3376464999999</v>
      </c>
      <c r="I1121">
        <v>1404.2188721</v>
      </c>
      <c r="J1121">
        <v>1381.1309814000001</v>
      </c>
      <c r="K1121">
        <v>0</v>
      </c>
      <c r="L1121">
        <v>2400</v>
      </c>
      <c r="M1121">
        <v>2400</v>
      </c>
      <c r="N1121">
        <v>0</v>
      </c>
    </row>
    <row r="1122" spans="1:14" x14ac:dyDescent="0.25">
      <c r="A1122">
        <v>973.25561500000003</v>
      </c>
      <c r="B1122" s="1">
        <f>DATE(2012,12,29) + TIME(6,8,5)</f>
        <v>41272.255613425928</v>
      </c>
      <c r="C1122">
        <v>70</v>
      </c>
      <c r="D1122">
        <v>64.976486206000004</v>
      </c>
      <c r="E1122">
        <v>40</v>
      </c>
      <c r="F1122">
        <v>39.978130341000004</v>
      </c>
      <c r="G1122">
        <v>1295.6530762</v>
      </c>
      <c r="H1122">
        <v>1281.1463623</v>
      </c>
      <c r="I1122">
        <v>1404.1695557</v>
      </c>
      <c r="J1122">
        <v>1381.0870361</v>
      </c>
      <c r="K1122">
        <v>0</v>
      </c>
      <c r="L1122">
        <v>2400</v>
      </c>
      <c r="M1122">
        <v>2400</v>
      </c>
      <c r="N1122">
        <v>0</v>
      </c>
    </row>
    <row r="1123" spans="1:14" x14ac:dyDescent="0.25">
      <c r="A1123">
        <v>975.85164399999996</v>
      </c>
      <c r="B1123" s="1">
        <f>DATE(2012,12,31) + TIME(20,26,22)</f>
        <v>41274.851643518516</v>
      </c>
      <c r="C1123">
        <v>70</v>
      </c>
      <c r="D1123">
        <v>64.800109863000003</v>
      </c>
      <c r="E1123">
        <v>40</v>
      </c>
      <c r="F1123">
        <v>39.978179932000003</v>
      </c>
      <c r="G1123">
        <v>1295.4915771000001</v>
      </c>
      <c r="H1123">
        <v>1280.9450684000001</v>
      </c>
      <c r="I1123">
        <v>1404.1217041</v>
      </c>
      <c r="J1123">
        <v>1381.0443115</v>
      </c>
      <c r="K1123">
        <v>0</v>
      </c>
      <c r="L1123">
        <v>2400</v>
      </c>
      <c r="M1123">
        <v>2400</v>
      </c>
      <c r="N1123">
        <v>0</v>
      </c>
    </row>
    <row r="1124" spans="1:14" x14ac:dyDescent="0.25">
      <c r="A1124">
        <v>976</v>
      </c>
      <c r="B1124" s="1">
        <f>DATE(2013,1,1) + TIME(0,0,0)</f>
        <v>41275</v>
      </c>
      <c r="C1124">
        <v>70</v>
      </c>
      <c r="D1124">
        <v>64.765739440999994</v>
      </c>
      <c r="E1124">
        <v>40</v>
      </c>
      <c r="F1124">
        <v>39.978176116999997</v>
      </c>
      <c r="G1124">
        <v>1295.3308105000001</v>
      </c>
      <c r="H1124">
        <v>1280.7687988</v>
      </c>
      <c r="I1124">
        <v>1404.0756836</v>
      </c>
      <c r="J1124">
        <v>1381.003418</v>
      </c>
      <c r="K1124">
        <v>0</v>
      </c>
      <c r="L1124">
        <v>2400</v>
      </c>
      <c r="M1124">
        <v>2400</v>
      </c>
      <c r="N1124">
        <v>0</v>
      </c>
    </row>
    <row r="1125" spans="1:14" x14ac:dyDescent="0.25">
      <c r="A1125">
        <v>978.63920599999994</v>
      </c>
      <c r="B1125" s="1">
        <f>DATE(2013,1,3) + TIME(15,20,27)</f>
        <v>41277.639201388891</v>
      </c>
      <c r="C1125">
        <v>70</v>
      </c>
      <c r="D1125">
        <v>64.606666564999998</v>
      </c>
      <c r="E1125">
        <v>40</v>
      </c>
      <c r="F1125">
        <v>39.978229523000003</v>
      </c>
      <c r="G1125">
        <v>1295.3106689000001</v>
      </c>
      <c r="H1125">
        <v>1280.7161865</v>
      </c>
      <c r="I1125">
        <v>1404.0725098</v>
      </c>
      <c r="J1125">
        <v>1381.0004882999999</v>
      </c>
      <c r="K1125">
        <v>0</v>
      </c>
      <c r="L1125">
        <v>2400</v>
      </c>
      <c r="M1125">
        <v>2400</v>
      </c>
      <c r="N1125">
        <v>0</v>
      </c>
    </row>
    <row r="1126" spans="1:14" x14ac:dyDescent="0.25">
      <c r="A1126">
        <v>981.32304399999998</v>
      </c>
      <c r="B1126" s="1">
        <f>DATE(2013,1,6) + TIME(7,45,11)</f>
        <v>41280.32304398148</v>
      </c>
      <c r="C1126">
        <v>70</v>
      </c>
      <c r="D1126">
        <v>64.432312011999997</v>
      </c>
      <c r="E1126">
        <v>40</v>
      </c>
      <c r="F1126">
        <v>39.978279114000003</v>
      </c>
      <c r="G1126">
        <v>1295.1340332</v>
      </c>
      <c r="H1126">
        <v>1280.4940185999999</v>
      </c>
      <c r="I1126">
        <v>1404.0272216999999</v>
      </c>
      <c r="J1126">
        <v>1380.9600829999999</v>
      </c>
      <c r="K1126">
        <v>0</v>
      </c>
      <c r="L1126">
        <v>2400</v>
      </c>
      <c r="M1126">
        <v>2400</v>
      </c>
      <c r="N1126">
        <v>0</v>
      </c>
    </row>
    <row r="1127" spans="1:14" x14ac:dyDescent="0.25">
      <c r="A1127">
        <v>984.03744400000005</v>
      </c>
      <c r="B1127" s="1">
        <f>DATE(2013,1,9) + TIME(0,53,55)</f>
        <v>41283.037442129629</v>
      </c>
      <c r="C1127">
        <v>70</v>
      </c>
      <c r="D1127">
        <v>64.252769470000004</v>
      </c>
      <c r="E1127">
        <v>40</v>
      </c>
      <c r="F1127">
        <v>39.978328705000003</v>
      </c>
      <c r="G1127">
        <v>1294.9472656</v>
      </c>
      <c r="H1127">
        <v>1280.2565918</v>
      </c>
      <c r="I1127">
        <v>1403.9827881000001</v>
      </c>
      <c r="J1127">
        <v>1380.9204102000001</v>
      </c>
      <c r="K1127">
        <v>0</v>
      </c>
      <c r="L1127">
        <v>2400</v>
      </c>
      <c r="M1127">
        <v>2400</v>
      </c>
      <c r="N1127">
        <v>0</v>
      </c>
    </row>
    <row r="1128" spans="1:14" x14ac:dyDescent="0.25">
      <c r="A1128">
        <v>986.77698399999997</v>
      </c>
      <c r="B1128" s="1">
        <f>DATE(2013,1,11) + TIME(18,38,51)</f>
        <v>41285.776979166665</v>
      </c>
      <c r="C1128">
        <v>70</v>
      </c>
      <c r="D1128">
        <v>64.070846558</v>
      </c>
      <c r="E1128">
        <v>40</v>
      </c>
      <c r="F1128">
        <v>39.978378296000002</v>
      </c>
      <c r="G1128">
        <v>1294.7517089999999</v>
      </c>
      <c r="H1128">
        <v>1280.0061035000001</v>
      </c>
      <c r="I1128">
        <v>1403.9395752</v>
      </c>
      <c r="J1128">
        <v>1380.8818358999999</v>
      </c>
      <c r="K1128">
        <v>0</v>
      </c>
      <c r="L1128">
        <v>2400</v>
      </c>
      <c r="M1128">
        <v>2400</v>
      </c>
      <c r="N1128">
        <v>0</v>
      </c>
    </row>
    <row r="1129" spans="1:14" x14ac:dyDescent="0.25">
      <c r="A1129">
        <v>989.54924600000004</v>
      </c>
      <c r="B1129" s="1">
        <f>DATE(2013,1,14) + TIME(13,10,54)</f>
        <v>41288.54923611111</v>
      </c>
      <c r="C1129">
        <v>70</v>
      </c>
      <c r="D1129">
        <v>63.887012482000003</v>
      </c>
      <c r="E1129">
        <v>40</v>
      </c>
      <c r="F1129">
        <v>39.978427887000002</v>
      </c>
      <c r="G1129">
        <v>1294.5477295000001</v>
      </c>
      <c r="H1129">
        <v>1279.7429199000001</v>
      </c>
      <c r="I1129">
        <v>1403.8975829999999</v>
      </c>
      <c r="J1129">
        <v>1380.8442382999999</v>
      </c>
      <c r="K1129">
        <v>0</v>
      </c>
      <c r="L1129">
        <v>2400</v>
      </c>
      <c r="M1129">
        <v>2400</v>
      </c>
      <c r="N1129">
        <v>0</v>
      </c>
    </row>
    <row r="1130" spans="1:14" x14ac:dyDescent="0.25">
      <c r="A1130">
        <v>992.36088600000005</v>
      </c>
      <c r="B1130" s="1">
        <f>DATE(2013,1,17) + TIME(8,39,40)</f>
        <v>41291.360879629632</v>
      </c>
      <c r="C1130">
        <v>70</v>
      </c>
      <c r="D1130">
        <v>63.700706482000001</v>
      </c>
      <c r="E1130">
        <v>40</v>
      </c>
      <c r="F1130">
        <v>39.978477478000002</v>
      </c>
      <c r="G1130">
        <v>1294.3345947</v>
      </c>
      <c r="H1130">
        <v>1279.4661865</v>
      </c>
      <c r="I1130">
        <v>1403.8564452999999</v>
      </c>
      <c r="J1130">
        <v>1380.8074951000001</v>
      </c>
      <c r="K1130">
        <v>0</v>
      </c>
      <c r="L1130">
        <v>2400</v>
      </c>
      <c r="M1130">
        <v>2400</v>
      </c>
      <c r="N1130">
        <v>0</v>
      </c>
    </row>
    <row r="1131" spans="1:14" x14ac:dyDescent="0.25">
      <c r="A1131">
        <v>995.20754699999998</v>
      </c>
      <c r="B1131" s="1">
        <f>DATE(2013,1,20) + TIME(4,58,52)</f>
        <v>41294.207546296297</v>
      </c>
      <c r="C1131">
        <v>70</v>
      </c>
      <c r="D1131">
        <v>63.511280059999997</v>
      </c>
      <c r="E1131">
        <v>40</v>
      </c>
      <c r="F1131">
        <v>39.978527069000002</v>
      </c>
      <c r="G1131">
        <v>1294.1114502</v>
      </c>
      <c r="H1131">
        <v>1279.1746826000001</v>
      </c>
      <c r="I1131">
        <v>1403.8161620999999</v>
      </c>
      <c r="J1131">
        <v>1380.7714844</v>
      </c>
      <c r="K1131">
        <v>0</v>
      </c>
      <c r="L1131">
        <v>2400</v>
      </c>
      <c r="M1131">
        <v>2400</v>
      </c>
      <c r="N1131">
        <v>0</v>
      </c>
    </row>
    <row r="1132" spans="1:14" x14ac:dyDescent="0.25">
      <c r="A1132">
        <v>998.08898399999998</v>
      </c>
      <c r="B1132" s="1">
        <f>DATE(2013,1,23) + TIME(2,8,8)</f>
        <v>41297.08898148148</v>
      </c>
      <c r="C1132">
        <v>70</v>
      </c>
      <c r="D1132">
        <v>63.318355560000001</v>
      </c>
      <c r="E1132">
        <v>40</v>
      </c>
      <c r="F1132">
        <v>39.978576660000002</v>
      </c>
      <c r="G1132">
        <v>1293.8782959</v>
      </c>
      <c r="H1132">
        <v>1278.8684082</v>
      </c>
      <c r="I1132">
        <v>1403.7767334</v>
      </c>
      <c r="J1132">
        <v>1380.7362060999999</v>
      </c>
      <c r="K1132">
        <v>0</v>
      </c>
      <c r="L1132">
        <v>2400</v>
      </c>
      <c r="M1132">
        <v>2400</v>
      </c>
      <c r="N1132">
        <v>0</v>
      </c>
    </row>
    <row r="1133" spans="1:14" x14ac:dyDescent="0.25">
      <c r="A1133">
        <v>1001.012704</v>
      </c>
      <c r="B1133" s="1">
        <f>DATE(2013,1,26) + TIME(0,18,17)</f>
        <v>41300.012696759259</v>
      </c>
      <c r="C1133">
        <v>70</v>
      </c>
      <c r="D1133">
        <v>63.121330260999997</v>
      </c>
      <c r="E1133">
        <v>40</v>
      </c>
      <c r="F1133">
        <v>39.978630066000001</v>
      </c>
      <c r="G1133">
        <v>1293.6350098</v>
      </c>
      <c r="H1133">
        <v>1278.5467529</v>
      </c>
      <c r="I1133">
        <v>1403.7381591999999</v>
      </c>
      <c r="J1133">
        <v>1380.7015381000001</v>
      </c>
      <c r="K1133">
        <v>0</v>
      </c>
      <c r="L1133">
        <v>2400</v>
      </c>
      <c r="M1133">
        <v>2400</v>
      </c>
      <c r="N1133">
        <v>0</v>
      </c>
    </row>
    <row r="1134" spans="1:14" x14ac:dyDescent="0.25">
      <c r="A1134">
        <v>1003.986613</v>
      </c>
      <c r="B1134" s="1">
        <f>DATE(2013,1,28) + TIME(23,40,43)</f>
        <v>41302.986608796295</v>
      </c>
      <c r="C1134">
        <v>70</v>
      </c>
      <c r="D1134">
        <v>62.919227599999999</v>
      </c>
      <c r="E1134">
        <v>40</v>
      </c>
      <c r="F1134">
        <v>39.978679657000001</v>
      </c>
      <c r="G1134">
        <v>1293.3807373</v>
      </c>
      <c r="H1134">
        <v>1278.2086182</v>
      </c>
      <c r="I1134">
        <v>1403.7001952999999</v>
      </c>
      <c r="J1134">
        <v>1380.6674805</v>
      </c>
      <c r="K1134">
        <v>0</v>
      </c>
      <c r="L1134">
        <v>2400</v>
      </c>
      <c r="M1134">
        <v>2400</v>
      </c>
      <c r="N1134">
        <v>0</v>
      </c>
    </row>
    <row r="1135" spans="1:14" x14ac:dyDescent="0.25">
      <c r="A1135">
        <v>1007</v>
      </c>
      <c r="B1135" s="1">
        <f>DATE(2013,2,1) + TIME(0,0,0)</f>
        <v>41306</v>
      </c>
      <c r="C1135">
        <v>70</v>
      </c>
      <c r="D1135">
        <v>62.711189269999998</v>
      </c>
      <c r="E1135">
        <v>40</v>
      </c>
      <c r="F1135">
        <v>39.978733063</v>
      </c>
      <c r="G1135">
        <v>1293.1143798999999</v>
      </c>
      <c r="H1135">
        <v>1277.8526611</v>
      </c>
      <c r="I1135">
        <v>1403.6627197</v>
      </c>
      <c r="J1135">
        <v>1380.6337891000001</v>
      </c>
      <c r="K1135">
        <v>0</v>
      </c>
      <c r="L1135">
        <v>2400</v>
      </c>
      <c r="M1135">
        <v>2400</v>
      </c>
      <c r="N1135">
        <v>0</v>
      </c>
    </row>
    <row r="1136" spans="1:14" x14ac:dyDescent="0.25">
      <c r="A1136">
        <v>1010.010996</v>
      </c>
      <c r="B1136" s="1">
        <f>DATE(2013,2,4) + TIME(0,15,50)</f>
        <v>41309.010995370372</v>
      </c>
      <c r="C1136">
        <v>70</v>
      </c>
      <c r="D1136">
        <v>62.497547150000003</v>
      </c>
      <c r="E1136">
        <v>40</v>
      </c>
      <c r="F1136">
        <v>39.978786468999999</v>
      </c>
      <c r="G1136">
        <v>1292.8367920000001</v>
      </c>
      <c r="H1136">
        <v>1277.4797363</v>
      </c>
      <c r="I1136">
        <v>1403.6257324000001</v>
      </c>
      <c r="J1136">
        <v>1380.6005858999999</v>
      </c>
      <c r="K1136">
        <v>0</v>
      </c>
      <c r="L1136">
        <v>2400</v>
      </c>
      <c r="M1136">
        <v>2400</v>
      </c>
      <c r="N1136">
        <v>0</v>
      </c>
    </row>
    <row r="1137" spans="1:14" x14ac:dyDescent="0.25">
      <c r="A1137">
        <v>1013.0953960000001</v>
      </c>
      <c r="B1137" s="1">
        <f>DATE(2013,2,7) + TIME(2,17,22)</f>
        <v>41312.095393518517</v>
      </c>
      <c r="C1137">
        <v>70</v>
      </c>
      <c r="D1137">
        <v>62.278354645</v>
      </c>
      <c r="E1137">
        <v>40</v>
      </c>
      <c r="F1137">
        <v>39.978836059999999</v>
      </c>
      <c r="G1137">
        <v>1292.5512695</v>
      </c>
      <c r="H1137">
        <v>1277.0933838000001</v>
      </c>
      <c r="I1137">
        <v>1403.5898437999999</v>
      </c>
      <c r="J1137">
        <v>1380.5683594</v>
      </c>
      <c r="K1137">
        <v>0</v>
      </c>
      <c r="L1137">
        <v>2400</v>
      </c>
      <c r="M1137">
        <v>2400</v>
      </c>
      <c r="N1137">
        <v>0</v>
      </c>
    </row>
    <row r="1138" spans="1:14" x14ac:dyDescent="0.25">
      <c r="A1138">
        <v>1016.21429</v>
      </c>
      <c r="B1138" s="1">
        <f>DATE(2013,2,10) + TIME(5,8,34)</f>
        <v>41315.214282407411</v>
      </c>
      <c r="C1138">
        <v>70</v>
      </c>
      <c r="D1138">
        <v>62.050601958999998</v>
      </c>
      <c r="E1138">
        <v>40</v>
      </c>
      <c r="F1138">
        <v>39.978889465000002</v>
      </c>
      <c r="G1138">
        <v>1292.2513428</v>
      </c>
      <c r="H1138">
        <v>1276.6862793</v>
      </c>
      <c r="I1138">
        <v>1403.5540771000001</v>
      </c>
      <c r="J1138">
        <v>1380.5361327999999</v>
      </c>
      <c r="K1138">
        <v>0</v>
      </c>
      <c r="L1138">
        <v>2400</v>
      </c>
      <c r="M1138">
        <v>2400</v>
      </c>
      <c r="N1138">
        <v>0</v>
      </c>
    </row>
    <row r="1139" spans="1:14" x14ac:dyDescent="0.25">
      <c r="A1139">
        <v>1019.3755609999999</v>
      </c>
      <c r="B1139" s="1">
        <f>DATE(2013,2,13) + TIME(9,0,48)</f>
        <v>41318.375555555554</v>
      </c>
      <c r="C1139">
        <v>70</v>
      </c>
      <c r="D1139">
        <v>61.814460754000002</v>
      </c>
      <c r="E1139">
        <v>40</v>
      </c>
      <c r="F1139">
        <v>39.978942871000001</v>
      </c>
      <c r="G1139">
        <v>1291.9400635</v>
      </c>
      <c r="H1139">
        <v>1276.2612305</v>
      </c>
      <c r="I1139">
        <v>1403.5189209</v>
      </c>
      <c r="J1139">
        <v>1380.5043945</v>
      </c>
      <c r="K1139">
        <v>0</v>
      </c>
      <c r="L1139">
        <v>2400</v>
      </c>
      <c r="M1139">
        <v>2400</v>
      </c>
      <c r="N1139">
        <v>0</v>
      </c>
    </row>
    <row r="1140" spans="1:14" x14ac:dyDescent="0.25">
      <c r="A1140">
        <v>1022.582256</v>
      </c>
      <c r="B1140" s="1">
        <f>DATE(2013,2,16) + TIME(13,58,26)</f>
        <v>41321.582245370373</v>
      </c>
      <c r="C1140">
        <v>70</v>
      </c>
      <c r="D1140">
        <v>61.568958281999997</v>
      </c>
      <c r="E1140">
        <v>40</v>
      </c>
      <c r="F1140">
        <v>39.978996277</v>
      </c>
      <c r="G1140">
        <v>1291.6166992000001</v>
      </c>
      <c r="H1140">
        <v>1275.8175048999999</v>
      </c>
      <c r="I1140">
        <v>1403.4840088000001</v>
      </c>
      <c r="J1140">
        <v>1380.4730225000001</v>
      </c>
      <c r="K1140">
        <v>0</v>
      </c>
      <c r="L1140">
        <v>2400</v>
      </c>
      <c r="M1140">
        <v>2400</v>
      </c>
      <c r="N1140">
        <v>0</v>
      </c>
    </row>
    <row r="1141" spans="1:14" x14ac:dyDescent="0.25">
      <c r="A1141">
        <v>1025.82214</v>
      </c>
      <c r="B1141" s="1">
        <f>DATE(2013,2,19) + TIME(19,43,52)</f>
        <v>41324.822129629632</v>
      </c>
      <c r="C1141">
        <v>70</v>
      </c>
      <c r="D1141">
        <v>61.313266753999997</v>
      </c>
      <c r="E1141">
        <v>40</v>
      </c>
      <c r="F1141">
        <v>39.979053497000002</v>
      </c>
      <c r="G1141">
        <v>1291.2810059000001</v>
      </c>
      <c r="H1141">
        <v>1275.3546143000001</v>
      </c>
      <c r="I1141">
        <v>1403.4494629000001</v>
      </c>
      <c r="J1141">
        <v>1380.4417725000001</v>
      </c>
      <c r="K1141">
        <v>0</v>
      </c>
      <c r="L1141">
        <v>2400</v>
      </c>
      <c r="M1141">
        <v>2400</v>
      </c>
      <c r="N1141">
        <v>0</v>
      </c>
    </row>
    <row r="1142" spans="1:14" x14ac:dyDescent="0.25">
      <c r="A1142">
        <v>1029.09266</v>
      </c>
      <c r="B1142" s="1">
        <f>DATE(2013,2,23) + TIME(2,13,25)</f>
        <v>41328.092650462961</v>
      </c>
      <c r="C1142">
        <v>70</v>
      </c>
      <c r="D1142">
        <v>61.047164917000003</v>
      </c>
      <c r="E1142">
        <v>40</v>
      </c>
      <c r="F1142">
        <v>39.979106903000002</v>
      </c>
      <c r="G1142">
        <v>1290.9339600000001</v>
      </c>
      <c r="H1142">
        <v>1274.8737793</v>
      </c>
      <c r="I1142">
        <v>1403.4152832</v>
      </c>
      <c r="J1142">
        <v>1380.4110106999999</v>
      </c>
      <c r="K1142">
        <v>0</v>
      </c>
      <c r="L1142">
        <v>2400</v>
      </c>
      <c r="M1142">
        <v>2400</v>
      </c>
      <c r="N1142">
        <v>0</v>
      </c>
    </row>
    <row r="1143" spans="1:14" x14ac:dyDescent="0.25">
      <c r="A1143">
        <v>1032.402008</v>
      </c>
      <c r="B1143" s="1">
        <f>DATE(2013,2,26) + TIME(9,38,53)</f>
        <v>41331.402002314811</v>
      </c>
      <c r="C1143">
        <v>70</v>
      </c>
      <c r="D1143">
        <v>60.769966125000003</v>
      </c>
      <c r="E1143">
        <v>40</v>
      </c>
      <c r="F1143">
        <v>39.979160309000001</v>
      </c>
      <c r="G1143">
        <v>1290.5759277</v>
      </c>
      <c r="H1143">
        <v>1274.3753661999999</v>
      </c>
      <c r="I1143">
        <v>1403.3815918</v>
      </c>
      <c r="J1143">
        <v>1380.3804932</v>
      </c>
      <c r="K1143">
        <v>0</v>
      </c>
      <c r="L1143">
        <v>2400</v>
      </c>
      <c r="M1143">
        <v>2400</v>
      </c>
      <c r="N1143">
        <v>0</v>
      </c>
    </row>
    <row r="1144" spans="1:14" x14ac:dyDescent="0.25">
      <c r="A1144">
        <v>1035</v>
      </c>
      <c r="B1144" s="1">
        <f>DATE(2013,3,1) + TIME(0,0,0)</f>
        <v>41334</v>
      </c>
      <c r="C1144">
        <v>70</v>
      </c>
      <c r="D1144">
        <v>60.496212006</v>
      </c>
      <c r="E1144">
        <v>40</v>
      </c>
      <c r="F1144">
        <v>39.979202270999998</v>
      </c>
      <c r="G1144">
        <v>1290.2087402</v>
      </c>
      <c r="H1144">
        <v>1273.8663329999999</v>
      </c>
      <c r="I1144">
        <v>1403.3477783000001</v>
      </c>
      <c r="J1144">
        <v>1380.3498535000001</v>
      </c>
      <c r="K1144">
        <v>0</v>
      </c>
      <c r="L1144">
        <v>2400</v>
      </c>
      <c r="M1144">
        <v>2400</v>
      </c>
      <c r="N1144">
        <v>0</v>
      </c>
    </row>
    <row r="1145" spans="1:14" x14ac:dyDescent="0.25">
      <c r="A1145">
        <v>1038.3562030000001</v>
      </c>
      <c r="B1145" s="1">
        <f>DATE(2013,3,4) + TIME(8,32,55)</f>
        <v>41337.356192129628</v>
      </c>
      <c r="C1145">
        <v>70</v>
      </c>
      <c r="D1145">
        <v>60.236114502</v>
      </c>
      <c r="E1145">
        <v>40</v>
      </c>
      <c r="F1145">
        <v>39.979255676000001</v>
      </c>
      <c r="G1145">
        <v>1289.9039307</v>
      </c>
      <c r="H1145">
        <v>1273.4291992000001</v>
      </c>
      <c r="I1145">
        <v>1403.3221435999999</v>
      </c>
      <c r="J1145">
        <v>1380.3266602000001</v>
      </c>
      <c r="K1145">
        <v>0</v>
      </c>
      <c r="L1145">
        <v>2400</v>
      </c>
      <c r="M1145">
        <v>2400</v>
      </c>
      <c r="N1145">
        <v>0</v>
      </c>
    </row>
    <row r="1146" spans="1:14" x14ac:dyDescent="0.25">
      <c r="A1146">
        <v>1041.783271</v>
      </c>
      <c r="B1146" s="1">
        <f>DATE(2013,3,7) + TIME(18,47,54)</f>
        <v>41340.783263888887</v>
      </c>
      <c r="C1146">
        <v>70</v>
      </c>
      <c r="D1146">
        <v>59.931896209999998</v>
      </c>
      <c r="E1146">
        <v>40</v>
      </c>
      <c r="F1146">
        <v>39.979312897</v>
      </c>
      <c r="G1146">
        <v>1289.5224608999999</v>
      </c>
      <c r="H1146">
        <v>1272.8945312000001</v>
      </c>
      <c r="I1146">
        <v>1403.2891846</v>
      </c>
      <c r="J1146">
        <v>1380.2967529</v>
      </c>
      <c r="K1146">
        <v>0</v>
      </c>
      <c r="L1146">
        <v>2400</v>
      </c>
      <c r="M1146">
        <v>2400</v>
      </c>
      <c r="N1146">
        <v>0</v>
      </c>
    </row>
    <row r="1147" spans="1:14" x14ac:dyDescent="0.25">
      <c r="A1147">
        <v>1045.2470679999999</v>
      </c>
      <c r="B1147" s="1">
        <f>DATE(2013,3,11) + TIME(5,55,46)</f>
        <v>41344.247060185182</v>
      </c>
      <c r="C1147">
        <v>70</v>
      </c>
      <c r="D1147">
        <v>59.604934692</v>
      </c>
      <c r="E1147">
        <v>40</v>
      </c>
      <c r="F1147">
        <v>39.979366302000003</v>
      </c>
      <c r="G1147">
        <v>1289.1220702999999</v>
      </c>
      <c r="H1147">
        <v>1272.328125</v>
      </c>
      <c r="I1147">
        <v>1403.2559814000001</v>
      </c>
      <c r="J1147">
        <v>1380.2667236</v>
      </c>
      <c r="K1147">
        <v>0</v>
      </c>
      <c r="L1147">
        <v>2400</v>
      </c>
      <c r="M1147">
        <v>2400</v>
      </c>
      <c r="N1147">
        <v>0</v>
      </c>
    </row>
    <row r="1148" spans="1:14" x14ac:dyDescent="0.25">
      <c r="A1148">
        <v>1048.756341</v>
      </c>
      <c r="B1148" s="1">
        <f>DATE(2013,3,14) + TIME(18,9,7)</f>
        <v>41347.756331018521</v>
      </c>
      <c r="C1148">
        <v>70</v>
      </c>
      <c r="D1148">
        <v>59.260841370000001</v>
      </c>
      <c r="E1148">
        <v>40</v>
      </c>
      <c r="F1148">
        <v>39.979423523000001</v>
      </c>
      <c r="G1148">
        <v>1288.7097168</v>
      </c>
      <c r="H1148">
        <v>1271.7415771000001</v>
      </c>
      <c r="I1148">
        <v>1403.2229004000001</v>
      </c>
      <c r="J1148">
        <v>1380.2366943</v>
      </c>
      <c r="K1148">
        <v>0</v>
      </c>
      <c r="L1148">
        <v>2400</v>
      </c>
      <c r="M1148">
        <v>2400</v>
      </c>
      <c r="N1148">
        <v>0</v>
      </c>
    </row>
    <row r="1149" spans="1:14" x14ac:dyDescent="0.25">
      <c r="A1149">
        <v>1052.3201670000001</v>
      </c>
      <c r="B1149" s="1">
        <f>DATE(2013,3,18) + TIME(7,41,2)</f>
        <v>41351.320162037038</v>
      </c>
      <c r="C1149">
        <v>70</v>
      </c>
      <c r="D1149">
        <v>58.899452209000003</v>
      </c>
      <c r="E1149">
        <v>40</v>
      </c>
      <c r="F1149">
        <v>39.979476929</v>
      </c>
      <c r="G1149">
        <v>1288.2858887</v>
      </c>
      <c r="H1149">
        <v>1271.1357422000001</v>
      </c>
      <c r="I1149">
        <v>1403.1898193</v>
      </c>
      <c r="J1149">
        <v>1380.206543</v>
      </c>
      <c r="K1149">
        <v>0</v>
      </c>
      <c r="L1149">
        <v>2400</v>
      </c>
      <c r="M1149">
        <v>2400</v>
      </c>
      <c r="N1149">
        <v>0</v>
      </c>
    </row>
    <row r="1150" spans="1:14" x14ac:dyDescent="0.25">
      <c r="A1150">
        <v>1055.944939</v>
      </c>
      <c r="B1150" s="1">
        <f>DATE(2013,3,21) + TIME(22,40,42)</f>
        <v>41354.944930555554</v>
      </c>
      <c r="C1150">
        <v>70</v>
      </c>
      <c r="D1150">
        <v>58.519454955999997</v>
      </c>
      <c r="E1150">
        <v>40</v>
      </c>
      <c r="F1150">
        <v>39.979534149000003</v>
      </c>
      <c r="G1150">
        <v>1287.8499756000001</v>
      </c>
      <c r="H1150">
        <v>1270.5097656</v>
      </c>
      <c r="I1150">
        <v>1403.1566161999999</v>
      </c>
      <c r="J1150">
        <v>1380.1763916</v>
      </c>
      <c r="K1150">
        <v>0</v>
      </c>
      <c r="L1150">
        <v>2400</v>
      </c>
      <c r="M1150">
        <v>2400</v>
      </c>
      <c r="N1150">
        <v>0</v>
      </c>
    </row>
    <row r="1151" spans="1:14" x14ac:dyDescent="0.25">
      <c r="A1151">
        <v>1059.6178640000001</v>
      </c>
      <c r="B1151" s="1">
        <f>DATE(2013,3,25) + TIME(14,49,43)</f>
        <v>41358.617858796293</v>
      </c>
      <c r="C1151">
        <v>70</v>
      </c>
      <c r="D1151">
        <v>58.119823455999999</v>
      </c>
      <c r="E1151">
        <v>40</v>
      </c>
      <c r="F1151">
        <v>39.979591370000001</v>
      </c>
      <c r="G1151">
        <v>1287.4016113</v>
      </c>
      <c r="H1151">
        <v>1269.8631591999999</v>
      </c>
      <c r="I1151">
        <v>1403.1231689000001</v>
      </c>
      <c r="J1151">
        <v>1380.145874</v>
      </c>
      <c r="K1151">
        <v>0</v>
      </c>
      <c r="L1151">
        <v>2400</v>
      </c>
      <c r="M1151">
        <v>2400</v>
      </c>
      <c r="N1151">
        <v>0</v>
      </c>
    </row>
    <row r="1152" spans="1:14" x14ac:dyDescent="0.25">
      <c r="A1152">
        <v>1063.350138</v>
      </c>
      <c r="B1152" s="1">
        <f>DATE(2013,3,29) + TIME(8,24,11)</f>
        <v>41362.350127314814</v>
      </c>
      <c r="C1152">
        <v>70</v>
      </c>
      <c r="D1152">
        <v>57.700565337999997</v>
      </c>
      <c r="E1152">
        <v>40</v>
      </c>
      <c r="F1152">
        <v>39.979648589999996</v>
      </c>
      <c r="G1152">
        <v>1286.9423827999999</v>
      </c>
      <c r="H1152">
        <v>1269.1977539</v>
      </c>
      <c r="I1152">
        <v>1403.0895995999999</v>
      </c>
      <c r="J1152">
        <v>1380.1151123</v>
      </c>
      <c r="K1152">
        <v>0</v>
      </c>
      <c r="L1152">
        <v>2400</v>
      </c>
      <c r="M1152">
        <v>2400</v>
      </c>
      <c r="N1152">
        <v>0</v>
      </c>
    </row>
    <row r="1153" spans="1:14" x14ac:dyDescent="0.25">
      <c r="A1153">
        <v>1066</v>
      </c>
      <c r="B1153" s="1">
        <f>DATE(2013,4,1) + TIME(0,0,0)</f>
        <v>41365</v>
      </c>
      <c r="C1153">
        <v>70</v>
      </c>
      <c r="D1153">
        <v>57.291107177999997</v>
      </c>
      <c r="E1153">
        <v>40</v>
      </c>
      <c r="F1153">
        <v>39.979686737000002</v>
      </c>
      <c r="G1153">
        <v>1286.4754639</v>
      </c>
      <c r="H1153">
        <v>1268.5279541</v>
      </c>
      <c r="I1153">
        <v>1403.0552978999999</v>
      </c>
      <c r="J1153">
        <v>1380.0838623</v>
      </c>
      <c r="K1153">
        <v>0</v>
      </c>
      <c r="L1153">
        <v>2400</v>
      </c>
      <c r="M1153">
        <v>2400</v>
      </c>
      <c r="N1153">
        <v>0</v>
      </c>
    </row>
    <row r="1154" spans="1:14" x14ac:dyDescent="0.25">
      <c r="A1154">
        <v>1069.793079</v>
      </c>
      <c r="B1154" s="1">
        <f>DATE(2013,4,4) + TIME(19,2,2)</f>
        <v>41368.793078703704</v>
      </c>
      <c r="C1154">
        <v>70</v>
      </c>
      <c r="D1154">
        <v>56.920772552000003</v>
      </c>
      <c r="E1154">
        <v>40</v>
      </c>
      <c r="F1154">
        <v>39.979743958</v>
      </c>
      <c r="G1154">
        <v>1286.1234131000001</v>
      </c>
      <c r="H1154">
        <v>1267.9959716999999</v>
      </c>
      <c r="I1154">
        <v>1403.0316161999999</v>
      </c>
      <c r="J1154">
        <v>1380.0621338000001</v>
      </c>
      <c r="K1154">
        <v>0</v>
      </c>
      <c r="L1154">
        <v>2400</v>
      </c>
      <c r="M1154">
        <v>2400</v>
      </c>
      <c r="N1154">
        <v>0</v>
      </c>
    </row>
    <row r="1155" spans="1:14" x14ac:dyDescent="0.25">
      <c r="A1155">
        <v>1073.6781249999999</v>
      </c>
      <c r="B1155" s="1">
        <f>DATE(2013,4,8) + TIME(16,16,30)</f>
        <v>41372.678124999999</v>
      </c>
      <c r="C1155">
        <v>70</v>
      </c>
      <c r="D1155">
        <v>56.462627411</v>
      </c>
      <c r="E1155">
        <v>40</v>
      </c>
      <c r="F1155">
        <v>39.979804993000002</v>
      </c>
      <c r="G1155">
        <v>1285.6492920000001</v>
      </c>
      <c r="H1155">
        <v>1267.3065185999999</v>
      </c>
      <c r="I1155">
        <v>1402.9974365</v>
      </c>
      <c r="J1155">
        <v>1380.0307617000001</v>
      </c>
      <c r="K1155">
        <v>0</v>
      </c>
      <c r="L1155">
        <v>2400</v>
      </c>
      <c r="M1155">
        <v>2400</v>
      </c>
      <c r="N1155">
        <v>0</v>
      </c>
    </row>
    <row r="1156" spans="1:14" x14ac:dyDescent="0.25">
      <c r="A1156">
        <v>1077.6321559999999</v>
      </c>
      <c r="B1156" s="1">
        <f>DATE(2013,4,12) + TIME(15,10,18)</f>
        <v>41376.632152777776</v>
      </c>
      <c r="C1156">
        <v>70</v>
      </c>
      <c r="D1156">
        <v>55.968025208</v>
      </c>
      <c r="E1156">
        <v>40</v>
      </c>
      <c r="F1156">
        <v>39.979862212999997</v>
      </c>
      <c r="G1156">
        <v>1285.1534423999999</v>
      </c>
      <c r="H1156">
        <v>1266.5770264</v>
      </c>
      <c r="I1156">
        <v>1402.9624022999999</v>
      </c>
      <c r="J1156">
        <v>1379.9987793</v>
      </c>
      <c r="K1156">
        <v>0</v>
      </c>
      <c r="L1156">
        <v>2400</v>
      </c>
      <c r="M1156">
        <v>2400</v>
      </c>
      <c r="N1156">
        <v>0</v>
      </c>
    </row>
    <row r="1157" spans="1:14" x14ac:dyDescent="0.25">
      <c r="A1157">
        <v>1081.667379</v>
      </c>
      <c r="B1157" s="1">
        <f>DATE(2013,4,16) + TIME(16,1,1)</f>
        <v>41380.667372685188</v>
      </c>
      <c r="C1157">
        <v>70</v>
      </c>
      <c r="D1157">
        <v>55.44827652</v>
      </c>
      <c r="E1157">
        <v>40</v>
      </c>
      <c r="F1157">
        <v>39.979919434000003</v>
      </c>
      <c r="G1157">
        <v>1284.6453856999999</v>
      </c>
      <c r="H1157">
        <v>1265.8250731999999</v>
      </c>
      <c r="I1157">
        <v>1402.9270019999999</v>
      </c>
      <c r="J1157">
        <v>1379.9660644999999</v>
      </c>
      <c r="K1157">
        <v>0</v>
      </c>
      <c r="L1157">
        <v>2400</v>
      </c>
      <c r="M1157">
        <v>2400</v>
      </c>
      <c r="N1157">
        <v>0</v>
      </c>
    </row>
    <row r="1158" spans="1:14" x14ac:dyDescent="0.25">
      <c r="A1158">
        <v>1085.774666</v>
      </c>
      <c r="B1158" s="1">
        <f>DATE(2013,4,20) + TIME(18,35,31)</f>
        <v>41384.774664351855</v>
      </c>
      <c r="C1158">
        <v>70</v>
      </c>
      <c r="D1158">
        <v>54.904010773000003</v>
      </c>
      <c r="E1158">
        <v>40</v>
      </c>
      <c r="F1158">
        <v>39.979980468999997</v>
      </c>
      <c r="G1158">
        <v>1284.1259766000001</v>
      </c>
      <c r="H1158">
        <v>1265.0523682</v>
      </c>
      <c r="I1158">
        <v>1402.8907471</v>
      </c>
      <c r="J1158">
        <v>1379.9327393000001</v>
      </c>
      <c r="K1158">
        <v>0</v>
      </c>
      <c r="L1158">
        <v>2400</v>
      </c>
      <c r="M1158">
        <v>2400</v>
      </c>
      <c r="N1158">
        <v>0</v>
      </c>
    </row>
    <row r="1159" spans="1:14" x14ac:dyDescent="0.25">
      <c r="A1159">
        <v>1089.9605340000001</v>
      </c>
      <c r="B1159" s="1">
        <f>DATE(2013,4,24) + TIME(23,3,10)</f>
        <v>41388.960532407407</v>
      </c>
      <c r="C1159">
        <v>70</v>
      </c>
      <c r="D1159">
        <v>54.336673736999998</v>
      </c>
      <c r="E1159">
        <v>40</v>
      </c>
      <c r="F1159">
        <v>39.980041503999999</v>
      </c>
      <c r="G1159">
        <v>1283.5970459</v>
      </c>
      <c r="H1159">
        <v>1264.2618408000001</v>
      </c>
      <c r="I1159">
        <v>1402.8540039</v>
      </c>
      <c r="J1159">
        <v>1379.8988036999999</v>
      </c>
      <c r="K1159">
        <v>0</v>
      </c>
      <c r="L1159">
        <v>2400</v>
      </c>
      <c r="M1159">
        <v>2400</v>
      </c>
      <c r="N1159">
        <v>0</v>
      </c>
    </row>
    <row r="1160" spans="1:14" x14ac:dyDescent="0.25">
      <c r="A1160">
        <v>1094.2392139999999</v>
      </c>
      <c r="B1160" s="1">
        <f>DATE(2013,4,29) + TIME(5,44,28)</f>
        <v>41393.239212962966</v>
      </c>
      <c r="C1160">
        <v>70</v>
      </c>
      <c r="D1160">
        <v>53.745811461999999</v>
      </c>
      <c r="E1160">
        <v>40</v>
      </c>
      <c r="F1160">
        <v>39.980102539000001</v>
      </c>
      <c r="G1160">
        <v>1283.0589600000001</v>
      </c>
      <c r="H1160">
        <v>1263.4536132999999</v>
      </c>
      <c r="I1160">
        <v>1402.8164062000001</v>
      </c>
      <c r="J1160">
        <v>1379.8640137</v>
      </c>
      <c r="K1160">
        <v>0</v>
      </c>
      <c r="L1160">
        <v>2400</v>
      </c>
      <c r="M1160">
        <v>2400</v>
      </c>
      <c r="N1160">
        <v>0</v>
      </c>
    </row>
    <row r="1161" spans="1:14" x14ac:dyDescent="0.25">
      <c r="A1161">
        <v>1096</v>
      </c>
      <c r="B1161" s="1">
        <f>DATE(2013,5,1) + TIME(0,0,0)</f>
        <v>41395</v>
      </c>
      <c r="C1161">
        <v>70</v>
      </c>
      <c r="D1161">
        <v>53.242347717000001</v>
      </c>
      <c r="E1161">
        <v>40</v>
      </c>
      <c r="F1161">
        <v>39.980125426999997</v>
      </c>
      <c r="G1161">
        <v>1282.5206298999999</v>
      </c>
      <c r="H1161">
        <v>1262.6798096</v>
      </c>
      <c r="I1161">
        <v>1402.7773437999999</v>
      </c>
      <c r="J1161">
        <v>1379.8278809000001</v>
      </c>
      <c r="K1161">
        <v>0</v>
      </c>
      <c r="L1161">
        <v>2400</v>
      </c>
      <c r="M1161">
        <v>2400</v>
      </c>
      <c r="N1161">
        <v>0</v>
      </c>
    </row>
    <row r="1162" spans="1:14" x14ac:dyDescent="0.25">
      <c r="A1162">
        <v>1096.0000010000001</v>
      </c>
      <c r="B1162" s="1">
        <f>DATE(2013,5,1) + TIME(0,0,0)</f>
        <v>41395</v>
      </c>
      <c r="C1162">
        <v>70</v>
      </c>
      <c r="D1162">
        <v>53.242492675999998</v>
      </c>
      <c r="E1162">
        <v>40</v>
      </c>
      <c r="F1162">
        <v>39.980018616000002</v>
      </c>
      <c r="G1162">
        <v>1303.8629149999999</v>
      </c>
      <c r="H1162">
        <v>1283.4870605000001</v>
      </c>
      <c r="I1162">
        <v>1378.9530029</v>
      </c>
      <c r="J1162">
        <v>1356.3472899999999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1096.000004</v>
      </c>
      <c r="B1163" s="1">
        <f>DATE(2013,5,1) + TIME(0,0,0)</f>
        <v>41395</v>
      </c>
      <c r="C1163">
        <v>70</v>
      </c>
      <c r="D1163">
        <v>53.24288559</v>
      </c>
      <c r="E1163">
        <v>40</v>
      </c>
      <c r="F1163">
        <v>39.979732513000002</v>
      </c>
      <c r="G1163">
        <v>1306.2385254000001</v>
      </c>
      <c r="H1163">
        <v>1286.0408935999999</v>
      </c>
      <c r="I1163">
        <v>1376.5778809000001</v>
      </c>
      <c r="J1163">
        <v>1353.9715576000001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1096.0000130000001</v>
      </c>
      <c r="B1164" s="1">
        <f>DATE(2013,5,1) + TIME(0,0,1)</f>
        <v>41395.000011574077</v>
      </c>
      <c r="C1164">
        <v>70</v>
      </c>
      <c r="D1164">
        <v>53.243801116999997</v>
      </c>
      <c r="E1164">
        <v>40</v>
      </c>
      <c r="F1164">
        <v>39.979068755999997</v>
      </c>
      <c r="G1164">
        <v>1311.6094971</v>
      </c>
      <c r="H1164">
        <v>1291.6716309000001</v>
      </c>
      <c r="I1164">
        <v>1371.0484618999999</v>
      </c>
      <c r="J1164">
        <v>1348.4410399999999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1096.0000399999999</v>
      </c>
      <c r="B1165" s="1">
        <f>DATE(2013,5,1) + TIME(0,0,3)</f>
        <v>41395.000034722223</v>
      </c>
      <c r="C1165">
        <v>70</v>
      </c>
      <c r="D1165">
        <v>53.245571136000002</v>
      </c>
      <c r="E1165">
        <v>40</v>
      </c>
      <c r="F1165">
        <v>39.977897644000002</v>
      </c>
      <c r="G1165">
        <v>1320.7038574000001</v>
      </c>
      <c r="H1165">
        <v>1300.9003906</v>
      </c>
      <c r="I1165">
        <v>1361.2929687999999</v>
      </c>
      <c r="J1165">
        <v>1338.6854248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1096.000121</v>
      </c>
      <c r="B1166" s="1">
        <f>DATE(2013,5,1) + TIME(0,0,10)</f>
        <v>41395.000115740739</v>
      </c>
      <c r="C1166">
        <v>70</v>
      </c>
      <c r="D1166">
        <v>53.248783111999998</v>
      </c>
      <c r="E1166">
        <v>40</v>
      </c>
      <c r="F1166">
        <v>39.976398467999999</v>
      </c>
      <c r="G1166">
        <v>1331.9698486</v>
      </c>
      <c r="H1166">
        <v>1312.1011963000001</v>
      </c>
      <c r="I1166">
        <v>1348.8308105000001</v>
      </c>
      <c r="J1166">
        <v>1326.2275391000001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1096.000364</v>
      </c>
      <c r="B1167" s="1">
        <f>DATE(2013,5,1) + TIME(0,0,31)</f>
        <v>41395.000358796293</v>
      </c>
      <c r="C1167">
        <v>70</v>
      </c>
      <c r="D1167">
        <v>53.255638122999997</v>
      </c>
      <c r="E1167">
        <v>40</v>
      </c>
      <c r="F1167">
        <v>39.974815368999998</v>
      </c>
      <c r="G1167">
        <v>1343.7498779</v>
      </c>
      <c r="H1167">
        <v>1323.7729492000001</v>
      </c>
      <c r="I1167">
        <v>1335.7926024999999</v>
      </c>
      <c r="J1167">
        <v>1313.1982422000001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1096.0010930000001</v>
      </c>
      <c r="B1168" s="1">
        <f>DATE(2013,5,1) + TIME(0,1,34)</f>
        <v>41395.001087962963</v>
      </c>
      <c r="C1168">
        <v>70</v>
      </c>
      <c r="D1168">
        <v>53.273342133</v>
      </c>
      <c r="E1168">
        <v>40</v>
      </c>
      <c r="F1168">
        <v>39.973190308</v>
      </c>
      <c r="G1168">
        <v>1355.8544922000001</v>
      </c>
      <c r="H1168">
        <v>1335.7601318</v>
      </c>
      <c r="I1168">
        <v>1322.7583007999999</v>
      </c>
      <c r="J1168">
        <v>1300.1768798999999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1096.0032799999999</v>
      </c>
      <c r="B1169" s="1">
        <f>DATE(2013,5,1) + TIME(0,4,43)</f>
        <v>41395.003275462965</v>
      </c>
      <c r="C1169">
        <v>70</v>
      </c>
      <c r="D1169">
        <v>53.323699951000002</v>
      </c>
      <c r="E1169">
        <v>40</v>
      </c>
      <c r="F1169">
        <v>39.971431731999999</v>
      </c>
      <c r="G1169">
        <v>1368.6680908000001</v>
      </c>
      <c r="H1169">
        <v>1348.4350586</v>
      </c>
      <c r="I1169">
        <v>1309.675293</v>
      </c>
      <c r="J1169">
        <v>1287.0952147999999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1096.0098410000001</v>
      </c>
      <c r="B1170" s="1">
        <f>DATE(2013,5,1) + TIME(0,14,10)</f>
        <v>41395.009837962964</v>
      </c>
      <c r="C1170">
        <v>70</v>
      </c>
      <c r="D1170">
        <v>53.471389770999998</v>
      </c>
      <c r="E1170">
        <v>40</v>
      </c>
      <c r="F1170">
        <v>39.969329834</v>
      </c>
      <c r="G1170">
        <v>1381.7222899999999</v>
      </c>
      <c r="H1170">
        <v>1361.3811035000001</v>
      </c>
      <c r="I1170">
        <v>1296.9143065999999</v>
      </c>
      <c r="J1170">
        <v>1274.3023682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1096.029524</v>
      </c>
      <c r="B1171" s="1">
        <f>DATE(2013,5,1) + TIME(0,42,30)</f>
        <v>41395.029513888891</v>
      </c>
      <c r="C1171">
        <v>70</v>
      </c>
      <c r="D1171">
        <v>53.901538848999998</v>
      </c>
      <c r="E1171">
        <v>40</v>
      </c>
      <c r="F1171">
        <v>39.966415404999999</v>
      </c>
      <c r="G1171">
        <v>1392.3615723</v>
      </c>
      <c r="H1171">
        <v>1372.0609131000001</v>
      </c>
      <c r="I1171">
        <v>1286.7425536999999</v>
      </c>
      <c r="J1171">
        <v>1264.0935059000001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1096.060534</v>
      </c>
      <c r="B1172" s="1">
        <f>DATE(2013,5,1) + TIME(1,27,10)</f>
        <v>41395.060532407406</v>
      </c>
      <c r="C1172">
        <v>70</v>
      </c>
      <c r="D1172">
        <v>54.551586151000002</v>
      </c>
      <c r="E1172">
        <v>40</v>
      </c>
      <c r="F1172">
        <v>39.963279724000003</v>
      </c>
      <c r="G1172">
        <v>1396.9211425999999</v>
      </c>
      <c r="H1172">
        <v>1376.7939452999999</v>
      </c>
      <c r="I1172">
        <v>1282.6481934000001</v>
      </c>
      <c r="J1172">
        <v>1259.9844971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1096.0924379999999</v>
      </c>
      <c r="B1173" s="1">
        <f>DATE(2013,5,1) + TIME(2,13,6)</f>
        <v>41395.092430555553</v>
      </c>
      <c r="C1173">
        <v>70</v>
      </c>
      <c r="D1173">
        <v>55.193004608000003</v>
      </c>
      <c r="E1173">
        <v>40</v>
      </c>
      <c r="F1173">
        <v>39.960437775000003</v>
      </c>
      <c r="G1173">
        <v>1398.3380127</v>
      </c>
      <c r="H1173">
        <v>1378.3933105000001</v>
      </c>
      <c r="I1173">
        <v>1281.5147704999999</v>
      </c>
      <c r="J1173">
        <v>1258.8468018000001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1096.1251990000001</v>
      </c>
      <c r="B1174" s="1">
        <f>DATE(2013,5,1) + TIME(3,0,17)</f>
        <v>41395.125196759262</v>
      </c>
      <c r="C1174">
        <v>70</v>
      </c>
      <c r="D1174">
        <v>55.824024199999997</v>
      </c>
      <c r="E1174">
        <v>40</v>
      </c>
      <c r="F1174">
        <v>39.957653045999997</v>
      </c>
      <c r="G1174">
        <v>1398.7097168</v>
      </c>
      <c r="H1174">
        <v>1378.9472656</v>
      </c>
      <c r="I1174">
        <v>1281.2353516000001</v>
      </c>
      <c r="J1174">
        <v>1258.565918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1096.158844</v>
      </c>
      <c r="B1175" s="1">
        <f>DATE(2013,5,1) + TIME(3,48,44)</f>
        <v>41395.158842592595</v>
      </c>
      <c r="C1175">
        <v>70</v>
      </c>
      <c r="D1175">
        <v>56.444183350000003</v>
      </c>
      <c r="E1175">
        <v>40</v>
      </c>
      <c r="F1175">
        <v>39.954853057999998</v>
      </c>
      <c r="G1175">
        <v>1398.6994629000001</v>
      </c>
      <c r="H1175">
        <v>1379.1143798999999</v>
      </c>
      <c r="I1175">
        <v>1281.1947021000001</v>
      </c>
      <c r="J1175">
        <v>1258.5245361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1096.1934220000001</v>
      </c>
      <c r="B1176" s="1">
        <f>DATE(2013,5,1) + TIME(4,38,31)</f>
        <v>41395.193414351852</v>
      </c>
      <c r="C1176">
        <v>70</v>
      </c>
      <c r="D1176">
        <v>57.053356170999997</v>
      </c>
      <c r="E1176">
        <v>40</v>
      </c>
      <c r="F1176">
        <v>39.952014923</v>
      </c>
      <c r="G1176">
        <v>1398.5419922000001</v>
      </c>
      <c r="H1176">
        <v>1379.1286620999999</v>
      </c>
      <c r="I1176">
        <v>1281.2095947</v>
      </c>
      <c r="J1176">
        <v>1258.5390625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1096.2289929999999</v>
      </c>
      <c r="B1177" s="1">
        <f>DATE(2013,5,1) + TIME(5,29,44)</f>
        <v>41395.228981481479</v>
      </c>
      <c r="C1177">
        <v>70</v>
      </c>
      <c r="D1177">
        <v>57.651493072999997</v>
      </c>
      <c r="E1177">
        <v>40</v>
      </c>
      <c r="F1177">
        <v>39.949127197000003</v>
      </c>
      <c r="G1177">
        <v>1398.3271483999999</v>
      </c>
      <c r="H1177">
        <v>1379.0795897999999</v>
      </c>
      <c r="I1177">
        <v>1281.2297363</v>
      </c>
      <c r="J1177">
        <v>1258.5588379000001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1096.265619</v>
      </c>
      <c r="B1178" s="1">
        <f>DATE(2013,5,1) + TIME(6,22,29)</f>
        <v>41395.265613425923</v>
      </c>
      <c r="C1178">
        <v>70</v>
      </c>
      <c r="D1178">
        <v>58.238517760999997</v>
      </c>
      <c r="E1178">
        <v>40</v>
      </c>
      <c r="F1178">
        <v>39.946189879999999</v>
      </c>
      <c r="G1178">
        <v>1398.0914307</v>
      </c>
      <c r="H1178">
        <v>1379.0037841999999</v>
      </c>
      <c r="I1178">
        <v>1281.2441406</v>
      </c>
      <c r="J1178">
        <v>1258.5729980000001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1096.303373</v>
      </c>
      <c r="B1179" s="1">
        <f>DATE(2013,5,1) + TIME(7,16,51)</f>
        <v>41395.303368055553</v>
      </c>
      <c r="C1179">
        <v>70</v>
      </c>
      <c r="D1179">
        <v>58.814395904999998</v>
      </c>
      <c r="E1179">
        <v>40</v>
      </c>
      <c r="F1179">
        <v>39.943191528</v>
      </c>
      <c r="G1179">
        <v>1397.8500977000001</v>
      </c>
      <c r="H1179">
        <v>1378.9168701000001</v>
      </c>
      <c r="I1179">
        <v>1281.2528076000001</v>
      </c>
      <c r="J1179">
        <v>1258.5812988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1096.3423419999999</v>
      </c>
      <c r="B1180" s="1">
        <f>DATE(2013,5,1) + TIME(8,12,58)</f>
        <v>41395.34233796296</v>
      </c>
      <c r="C1180">
        <v>70</v>
      </c>
      <c r="D1180">
        <v>59.379161834999998</v>
      </c>
      <c r="E1180">
        <v>40</v>
      </c>
      <c r="F1180">
        <v>39.940132140999999</v>
      </c>
      <c r="G1180">
        <v>1397.6101074000001</v>
      </c>
      <c r="H1180">
        <v>1378.8256836</v>
      </c>
      <c r="I1180">
        <v>1281.2575684000001</v>
      </c>
      <c r="J1180">
        <v>1258.5856934000001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1096.3826140000001</v>
      </c>
      <c r="B1181" s="1">
        <f>DATE(2013,5,1) + TIME(9,10,57)</f>
        <v>41395.382604166669</v>
      </c>
      <c r="C1181">
        <v>70</v>
      </c>
      <c r="D1181">
        <v>59.932762146000002</v>
      </c>
      <c r="E1181">
        <v>40</v>
      </c>
      <c r="F1181">
        <v>39.937007903999998</v>
      </c>
      <c r="G1181">
        <v>1397.3742675999999</v>
      </c>
      <c r="H1181">
        <v>1378.7335204999999</v>
      </c>
      <c r="I1181">
        <v>1281.2600098</v>
      </c>
      <c r="J1181">
        <v>1258.5877685999999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1096.4242919999999</v>
      </c>
      <c r="B1182" s="1">
        <f>DATE(2013,5,1) + TIME(10,10,58)</f>
        <v>41395.42428240741</v>
      </c>
      <c r="C1182">
        <v>70</v>
      </c>
      <c r="D1182">
        <v>60.474788666000002</v>
      </c>
      <c r="E1182">
        <v>40</v>
      </c>
      <c r="F1182">
        <v>39.933811188</v>
      </c>
      <c r="G1182">
        <v>1397.144043</v>
      </c>
      <c r="H1182">
        <v>1378.6418457</v>
      </c>
      <c r="I1182">
        <v>1281.2611084</v>
      </c>
      <c r="J1182">
        <v>1258.588501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1096.4674849999999</v>
      </c>
      <c r="B1183" s="1">
        <f>DATE(2013,5,1) + TIME(11,13,10)</f>
        <v>41395.467476851853</v>
      </c>
      <c r="C1183">
        <v>70</v>
      </c>
      <c r="D1183">
        <v>61.005443573000001</v>
      </c>
      <c r="E1183">
        <v>40</v>
      </c>
      <c r="F1183">
        <v>39.930538177000003</v>
      </c>
      <c r="G1183">
        <v>1396.9197998</v>
      </c>
      <c r="H1183">
        <v>1378.5512695</v>
      </c>
      <c r="I1183">
        <v>1281.2614745999999</v>
      </c>
      <c r="J1183">
        <v>1258.588501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1096.5123189999999</v>
      </c>
      <c r="B1184" s="1">
        <f>DATE(2013,5,1) + TIME(12,17,44)</f>
        <v>41395.512314814812</v>
      </c>
      <c r="C1184">
        <v>70</v>
      </c>
      <c r="D1184">
        <v>61.524673462000003</v>
      </c>
      <c r="E1184">
        <v>40</v>
      </c>
      <c r="F1184">
        <v>39.927177428999997</v>
      </c>
      <c r="G1184">
        <v>1396.7016602000001</v>
      </c>
      <c r="H1184">
        <v>1378.4620361</v>
      </c>
      <c r="I1184">
        <v>1281.2614745999999</v>
      </c>
      <c r="J1184">
        <v>1258.5881348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1096.558933</v>
      </c>
      <c r="B1185" s="1">
        <f>DATE(2013,5,1) + TIME(13,24,51)</f>
        <v>41395.558923611112</v>
      </c>
      <c r="C1185">
        <v>70</v>
      </c>
      <c r="D1185">
        <v>62.032367706000002</v>
      </c>
      <c r="E1185">
        <v>40</v>
      </c>
      <c r="F1185">
        <v>39.923725128000001</v>
      </c>
      <c r="G1185">
        <v>1396.4893798999999</v>
      </c>
      <c r="H1185">
        <v>1378.3741454999999</v>
      </c>
      <c r="I1185">
        <v>1281.2612305</v>
      </c>
      <c r="J1185">
        <v>1258.5875243999999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1096.6074840000001</v>
      </c>
      <c r="B1186" s="1">
        <f>DATE(2013,5,1) + TIME(14,34,46)</f>
        <v>41395.607476851852</v>
      </c>
      <c r="C1186">
        <v>70</v>
      </c>
      <c r="D1186">
        <v>62.528385161999999</v>
      </c>
      <c r="E1186">
        <v>40</v>
      </c>
      <c r="F1186">
        <v>39.920173644999998</v>
      </c>
      <c r="G1186">
        <v>1396.2828368999999</v>
      </c>
      <c r="H1186">
        <v>1378.2875977000001</v>
      </c>
      <c r="I1186">
        <v>1281.2608643000001</v>
      </c>
      <c r="J1186">
        <v>1258.5867920000001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1096.65815</v>
      </c>
      <c r="B1187" s="1">
        <f>DATE(2013,5,1) + TIME(15,47,44)</f>
        <v>41395.658148148148</v>
      </c>
      <c r="C1187">
        <v>70</v>
      </c>
      <c r="D1187">
        <v>63.012569427000003</v>
      </c>
      <c r="E1187">
        <v>40</v>
      </c>
      <c r="F1187">
        <v>39.916511536000002</v>
      </c>
      <c r="G1187">
        <v>1396.0816649999999</v>
      </c>
      <c r="H1187">
        <v>1378.2022704999999</v>
      </c>
      <c r="I1187">
        <v>1281.260376</v>
      </c>
      <c r="J1187">
        <v>1258.5859375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1096.711135</v>
      </c>
      <c r="B1188" s="1">
        <f>DATE(2013,5,1) + TIME(17,4,2)</f>
        <v>41395.711134259262</v>
      </c>
      <c r="C1188">
        <v>70</v>
      </c>
      <c r="D1188">
        <v>63.484767914000003</v>
      </c>
      <c r="E1188">
        <v>40</v>
      </c>
      <c r="F1188">
        <v>39.912731170999997</v>
      </c>
      <c r="G1188">
        <v>1395.8856201000001</v>
      </c>
      <c r="H1188">
        <v>1378.1179199000001</v>
      </c>
      <c r="I1188">
        <v>1281.2598877</v>
      </c>
      <c r="J1188">
        <v>1258.5849608999999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1096.766695</v>
      </c>
      <c r="B1189" s="1">
        <f>DATE(2013,5,1) + TIME(18,24,2)</f>
        <v>41395.766689814816</v>
      </c>
      <c r="C1189">
        <v>70</v>
      </c>
      <c r="D1189">
        <v>63.944942474000001</v>
      </c>
      <c r="E1189">
        <v>40</v>
      </c>
      <c r="F1189">
        <v>39.908813477000002</v>
      </c>
      <c r="G1189">
        <v>1395.6942139</v>
      </c>
      <c r="H1189">
        <v>1378.0343018000001</v>
      </c>
      <c r="I1189">
        <v>1281.2592772999999</v>
      </c>
      <c r="J1189">
        <v>1258.5838623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1096.8250740000001</v>
      </c>
      <c r="B1190" s="1">
        <f>DATE(2013,5,1) + TIME(19,48,6)</f>
        <v>41395.825069444443</v>
      </c>
      <c r="C1190">
        <v>70</v>
      </c>
      <c r="D1190">
        <v>64.392677307</v>
      </c>
      <c r="E1190">
        <v>40</v>
      </c>
      <c r="F1190">
        <v>39.904747008999998</v>
      </c>
      <c r="G1190">
        <v>1395.5074463000001</v>
      </c>
      <c r="H1190">
        <v>1377.9512939000001</v>
      </c>
      <c r="I1190">
        <v>1281.2586670000001</v>
      </c>
      <c r="J1190">
        <v>1258.5827637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1096.8865840000001</v>
      </c>
      <c r="B1191" s="1">
        <f>DATE(2013,5,1) + TIME(21,16,40)</f>
        <v>41395.886574074073</v>
      </c>
      <c r="C1191">
        <v>70</v>
      </c>
      <c r="D1191">
        <v>64.827720642000003</v>
      </c>
      <c r="E1191">
        <v>40</v>
      </c>
      <c r="F1191">
        <v>39.900520325000002</v>
      </c>
      <c r="G1191">
        <v>1395.3248291</v>
      </c>
      <c r="H1191">
        <v>1377.8687743999999</v>
      </c>
      <c r="I1191">
        <v>1281.2579346</v>
      </c>
      <c r="J1191">
        <v>1258.5816649999999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1096.9515859999999</v>
      </c>
      <c r="B1192" s="1">
        <f>DATE(2013,5,1) + TIME(22,50,17)</f>
        <v>41395.951585648145</v>
      </c>
      <c r="C1192">
        <v>70</v>
      </c>
      <c r="D1192">
        <v>65.249847411999994</v>
      </c>
      <c r="E1192">
        <v>40</v>
      </c>
      <c r="F1192">
        <v>39.896110534999998</v>
      </c>
      <c r="G1192">
        <v>1395.1462402</v>
      </c>
      <c r="H1192">
        <v>1377.7863769999999</v>
      </c>
      <c r="I1192">
        <v>1281.2570800999999</v>
      </c>
      <c r="J1192">
        <v>1258.5803223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1097.020507</v>
      </c>
      <c r="B1193" s="1">
        <f>DATE(2013,5,2) + TIME(0,29,31)</f>
        <v>41396.020497685182</v>
      </c>
      <c r="C1193">
        <v>70</v>
      </c>
      <c r="D1193">
        <v>65.658714294000006</v>
      </c>
      <c r="E1193">
        <v>40</v>
      </c>
      <c r="F1193">
        <v>39.891494751000003</v>
      </c>
      <c r="G1193">
        <v>1394.9710693</v>
      </c>
      <c r="H1193">
        <v>1377.7041016000001</v>
      </c>
      <c r="I1193">
        <v>1281.2562256000001</v>
      </c>
      <c r="J1193">
        <v>1258.5789795000001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1097.093856</v>
      </c>
      <c r="B1194" s="1">
        <f>DATE(2013,5,2) + TIME(2,15,9)</f>
        <v>41396.093854166669</v>
      </c>
      <c r="C1194">
        <v>70</v>
      </c>
      <c r="D1194">
        <v>66.053939818999993</v>
      </c>
      <c r="E1194">
        <v>40</v>
      </c>
      <c r="F1194">
        <v>39.886653899999999</v>
      </c>
      <c r="G1194">
        <v>1394.7993164</v>
      </c>
      <c r="H1194">
        <v>1377.621582</v>
      </c>
      <c r="I1194">
        <v>1281.2553711</v>
      </c>
      <c r="J1194">
        <v>1258.5775146000001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1097.1722400000001</v>
      </c>
      <c r="B1195" s="1">
        <f>DATE(2013,5,2) + TIME(4,8,1)</f>
        <v>41396.172233796293</v>
      </c>
      <c r="C1195">
        <v>70</v>
      </c>
      <c r="D1195">
        <v>66.435112000000004</v>
      </c>
      <c r="E1195">
        <v>40</v>
      </c>
      <c r="F1195">
        <v>39.881549835000001</v>
      </c>
      <c r="G1195">
        <v>1394.6303711</v>
      </c>
      <c r="H1195">
        <v>1377.5384521000001</v>
      </c>
      <c r="I1195">
        <v>1281.2543945</v>
      </c>
      <c r="J1195">
        <v>1258.5760498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1097.2564010000001</v>
      </c>
      <c r="B1196" s="1">
        <f>DATE(2013,5,2) + TIME(6,9,13)</f>
        <v>41396.25640046296</v>
      </c>
      <c r="C1196">
        <v>70</v>
      </c>
      <c r="D1196">
        <v>66.801780700999998</v>
      </c>
      <c r="E1196">
        <v>40</v>
      </c>
      <c r="F1196">
        <v>39.876148223999998</v>
      </c>
      <c r="G1196">
        <v>1394.4639893000001</v>
      </c>
      <c r="H1196">
        <v>1377.4545897999999</v>
      </c>
      <c r="I1196">
        <v>1281.2532959</v>
      </c>
      <c r="J1196">
        <v>1258.5743408000001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1097.347248</v>
      </c>
      <c r="B1197" s="1">
        <f>DATE(2013,5,2) + TIME(8,20,2)</f>
        <v>41396.347245370373</v>
      </c>
      <c r="C1197">
        <v>70</v>
      </c>
      <c r="D1197">
        <v>67.153457642000006</v>
      </c>
      <c r="E1197">
        <v>40</v>
      </c>
      <c r="F1197">
        <v>39.870403289999999</v>
      </c>
      <c r="G1197">
        <v>1394.2996826000001</v>
      </c>
      <c r="H1197">
        <v>1377.3695068</v>
      </c>
      <c r="I1197">
        <v>1281.2521973</v>
      </c>
      <c r="J1197">
        <v>1258.5726318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1097.445917</v>
      </c>
      <c r="B1198" s="1">
        <f>DATE(2013,5,2) + TIME(10,42,7)</f>
        <v>41396.445914351854</v>
      </c>
      <c r="C1198">
        <v>70</v>
      </c>
      <c r="D1198">
        <v>67.489562988000003</v>
      </c>
      <c r="E1198">
        <v>40</v>
      </c>
      <c r="F1198">
        <v>39.864261626999998</v>
      </c>
      <c r="G1198">
        <v>1394.137207</v>
      </c>
      <c r="H1198">
        <v>1377.2829589999999</v>
      </c>
      <c r="I1198">
        <v>1281.2509766000001</v>
      </c>
      <c r="J1198">
        <v>1258.5706786999999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1097.5538879999999</v>
      </c>
      <c r="B1199" s="1">
        <f>DATE(2013,5,2) + TIME(13,17,35)</f>
        <v>41396.553877314815</v>
      </c>
      <c r="C1199">
        <v>70</v>
      </c>
      <c r="D1199">
        <v>67.809555054</v>
      </c>
      <c r="E1199">
        <v>40</v>
      </c>
      <c r="F1199">
        <v>39.857650757000002</v>
      </c>
      <c r="G1199">
        <v>1393.9758300999999</v>
      </c>
      <c r="H1199">
        <v>1377.1943358999999</v>
      </c>
      <c r="I1199">
        <v>1281.2495117000001</v>
      </c>
      <c r="J1199">
        <v>1258.5686035000001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1097.6730480000001</v>
      </c>
      <c r="B1200" s="1">
        <f>DATE(2013,5,2) + TIME(16,9,11)</f>
        <v>41396.673043981478</v>
      </c>
      <c r="C1200">
        <v>70</v>
      </c>
      <c r="D1200">
        <v>68.112709045000003</v>
      </c>
      <c r="E1200">
        <v>40</v>
      </c>
      <c r="F1200">
        <v>39.850479126000003</v>
      </c>
      <c r="G1200">
        <v>1393.8150635</v>
      </c>
      <c r="H1200">
        <v>1377.1032714999999</v>
      </c>
      <c r="I1200">
        <v>1281.2480469</v>
      </c>
      <c r="J1200">
        <v>1258.5662841999999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1097.7390580000001</v>
      </c>
      <c r="B1201" s="1">
        <f>DATE(2013,5,2) + TIME(17,44,14)</f>
        <v>41396.739050925928</v>
      </c>
      <c r="C1201">
        <v>70</v>
      </c>
      <c r="D1201">
        <v>68.266624450999998</v>
      </c>
      <c r="E1201">
        <v>40</v>
      </c>
      <c r="F1201">
        <v>39.846294403000002</v>
      </c>
      <c r="G1201">
        <v>1393.7200928</v>
      </c>
      <c r="H1201">
        <v>1377.0394286999999</v>
      </c>
      <c r="I1201">
        <v>1281.2458495999999</v>
      </c>
      <c r="J1201">
        <v>1258.5640868999999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1097.871079</v>
      </c>
      <c r="B1202" s="1">
        <f>DATE(2013,5,2) + TIME(20,54,21)</f>
        <v>41396.871076388888</v>
      </c>
      <c r="C1202">
        <v>70</v>
      </c>
      <c r="D1202">
        <v>68.526809692</v>
      </c>
      <c r="E1202">
        <v>40</v>
      </c>
      <c r="F1202">
        <v>39.838542938000003</v>
      </c>
      <c r="G1202">
        <v>1393.578125</v>
      </c>
      <c r="H1202">
        <v>1376.9625243999999</v>
      </c>
      <c r="I1202">
        <v>1281.2454834</v>
      </c>
      <c r="J1202">
        <v>1258.5623779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1098.0031389999999</v>
      </c>
      <c r="B1203" s="1">
        <f>DATE(2013,5,3) + TIME(0,4,31)</f>
        <v>41397.003136574072</v>
      </c>
      <c r="C1203">
        <v>70</v>
      </c>
      <c r="D1203">
        <v>68.746849060000002</v>
      </c>
      <c r="E1203">
        <v>40</v>
      </c>
      <c r="F1203">
        <v>39.830810546999999</v>
      </c>
      <c r="G1203">
        <v>1393.4371338000001</v>
      </c>
      <c r="H1203">
        <v>1376.8736572</v>
      </c>
      <c r="I1203">
        <v>1281.2435303</v>
      </c>
      <c r="J1203">
        <v>1258.5596923999999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1098.1365519999999</v>
      </c>
      <c r="B1204" s="1">
        <f>DATE(2013,5,3) + TIME(3,16,38)</f>
        <v>41397.136550925927</v>
      </c>
      <c r="C1204">
        <v>70</v>
      </c>
      <c r="D1204">
        <v>68.934494018999999</v>
      </c>
      <c r="E1204">
        <v>40</v>
      </c>
      <c r="F1204">
        <v>39.823032378999997</v>
      </c>
      <c r="G1204">
        <v>1393.3065185999999</v>
      </c>
      <c r="H1204">
        <v>1376.7889404</v>
      </c>
      <c r="I1204">
        <v>1281.2414550999999</v>
      </c>
      <c r="J1204">
        <v>1258.5570068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1098.2718090000001</v>
      </c>
      <c r="B1205" s="1">
        <f>DATE(2013,5,3) + TIME(6,31,24)</f>
        <v>41397.271805555552</v>
      </c>
      <c r="C1205">
        <v>70</v>
      </c>
      <c r="D1205">
        <v>69.094741821</v>
      </c>
      <c r="E1205">
        <v>40</v>
      </c>
      <c r="F1205">
        <v>39.815181731999999</v>
      </c>
      <c r="G1205">
        <v>1393.1846923999999</v>
      </c>
      <c r="H1205">
        <v>1376.7077637</v>
      </c>
      <c r="I1205">
        <v>1281.2395019999999</v>
      </c>
      <c r="J1205">
        <v>1258.5543213000001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1098.4094219999999</v>
      </c>
      <c r="B1206" s="1">
        <f>DATE(2013,5,3) + TIME(9,49,34)</f>
        <v>41397.409421296295</v>
      </c>
      <c r="C1206">
        <v>70</v>
      </c>
      <c r="D1206">
        <v>69.231727599999999</v>
      </c>
      <c r="E1206">
        <v>40</v>
      </c>
      <c r="F1206">
        <v>39.807239531999997</v>
      </c>
      <c r="G1206">
        <v>1393.0703125</v>
      </c>
      <c r="H1206">
        <v>1376.6293945</v>
      </c>
      <c r="I1206">
        <v>1281.2374268000001</v>
      </c>
      <c r="J1206">
        <v>1258.5515137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1098.5499050000001</v>
      </c>
      <c r="B1207" s="1">
        <f>DATE(2013,5,3) + TIME(13,11,51)</f>
        <v>41397.549895833334</v>
      </c>
      <c r="C1207">
        <v>70</v>
      </c>
      <c r="D1207">
        <v>69.348838806000003</v>
      </c>
      <c r="E1207">
        <v>40</v>
      </c>
      <c r="F1207">
        <v>39.799175261999999</v>
      </c>
      <c r="G1207">
        <v>1392.9621582</v>
      </c>
      <c r="H1207">
        <v>1376.5534668</v>
      </c>
      <c r="I1207">
        <v>1281.2354736</v>
      </c>
      <c r="J1207">
        <v>1258.5485839999999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1098.6937820000001</v>
      </c>
      <c r="B1208" s="1">
        <f>DATE(2013,5,3) + TIME(16,39,2)</f>
        <v>41397.693773148145</v>
      </c>
      <c r="C1208">
        <v>70</v>
      </c>
      <c r="D1208">
        <v>69.448905945000007</v>
      </c>
      <c r="E1208">
        <v>40</v>
      </c>
      <c r="F1208">
        <v>39.790966034</v>
      </c>
      <c r="G1208">
        <v>1392.859375</v>
      </c>
      <c r="H1208">
        <v>1376.4796143000001</v>
      </c>
      <c r="I1208">
        <v>1281.2332764</v>
      </c>
      <c r="J1208">
        <v>1258.5456543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1098.8416050000001</v>
      </c>
      <c r="B1209" s="1">
        <f>DATE(2013,5,3) + TIME(20,11,54)</f>
        <v>41397.841597222221</v>
      </c>
      <c r="C1209">
        <v>70</v>
      </c>
      <c r="D1209">
        <v>69.534324646000002</v>
      </c>
      <c r="E1209">
        <v>40</v>
      </c>
      <c r="F1209">
        <v>39.782581329000003</v>
      </c>
      <c r="G1209">
        <v>1392.7609863</v>
      </c>
      <c r="H1209">
        <v>1376.4074707</v>
      </c>
      <c r="I1209">
        <v>1281.2312012</v>
      </c>
      <c r="J1209">
        <v>1258.5427245999999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1098.9939649999999</v>
      </c>
      <c r="B1210" s="1">
        <f>DATE(2013,5,3) + TIME(23,51,18)</f>
        <v>41397.993958333333</v>
      </c>
      <c r="C1210">
        <v>70</v>
      </c>
      <c r="D1210">
        <v>69.607109070000007</v>
      </c>
      <c r="E1210">
        <v>40</v>
      </c>
      <c r="F1210">
        <v>39.773998259999999</v>
      </c>
      <c r="G1210">
        <v>1392.6665039</v>
      </c>
      <c r="H1210">
        <v>1376.3366699000001</v>
      </c>
      <c r="I1210">
        <v>1281.2288818</v>
      </c>
      <c r="J1210">
        <v>1258.5396728999999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1099.15158</v>
      </c>
      <c r="B1211" s="1">
        <f>DATE(2013,5,4) + TIME(3,38,16)</f>
        <v>41398.151574074072</v>
      </c>
      <c r="C1211">
        <v>70</v>
      </c>
      <c r="D1211">
        <v>69.668998717999997</v>
      </c>
      <c r="E1211">
        <v>40</v>
      </c>
      <c r="F1211">
        <v>39.765178679999998</v>
      </c>
      <c r="G1211">
        <v>1392.5750731999999</v>
      </c>
      <c r="H1211">
        <v>1376.2670897999999</v>
      </c>
      <c r="I1211">
        <v>1281.2266846</v>
      </c>
      <c r="J1211">
        <v>1258.536499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1099.3151009999999</v>
      </c>
      <c r="B1212" s="1">
        <f>DATE(2013,5,4) + TIME(7,33,44)</f>
        <v>41398.315092592595</v>
      </c>
      <c r="C1212">
        <v>70</v>
      </c>
      <c r="D1212">
        <v>69.721458435000002</v>
      </c>
      <c r="E1212">
        <v>40</v>
      </c>
      <c r="F1212">
        <v>39.756095885999997</v>
      </c>
      <c r="G1212">
        <v>1392.4860839999999</v>
      </c>
      <c r="H1212">
        <v>1376.1981201000001</v>
      </c>
      <c r="I1212">
        <v>1281.2242432</v>
      </c>
      <c r="J1212">
        <v>1258.5332031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1099.485336</v>
      </c>
      <c r="B1213" s="1">
        <f>DATE(2013,5,4) + TIME(11,38,53)</f>
        <v>41398.485335648147</v>
      </c>
      <c r="C1213">
        <v>70</v>
      </c>
      <c r="D1213">
        <v>69.765769958000007</v>
      </c>
      <c r="E1213">
        <v>40</v>
      </c>
      <c r="F1213">
        <v>39.746704102000002</v>
      </c>
      <c r="G1213">
        <v>1392.3991699000001</v>
      </c>
      <c r="H1213">
        <v>1376.1297606999999</v>
      </c>
      <c r="I1213">
        <v>1281.2218018000001</v>
      </c>
      <c r="J1213">
        <v>1258.5296631000001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1099.663204</v>
      </c>
      <c r="B1214" s="1">
        <f>DATE(2013,5,4) + TIME(15,55,0)</f>
        <v>41398.663194444445</v>
      </c>
      <c r="C1214">
        <v>70</v>
      </c>
      <c r="D1214">
        <v>69.803024292000003</v>
      </c>
      <c r="E1214">
        <v>40</v>
      </c>
      <c r="F1214">
        <v>39.736968994000001</v>
      </c>
      <c r="G1214">
        <v>1392.3137207</v>
      </c>
      <c r="H1214">
        <v>1376.0616454999999</v>
      </c>
      <c r="I1214">
        <v>1281.2191161999999</v>
      </c>
      <c r="J1214">
        <v>1258.5261230000001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1099.8497609999999</v>
      </c>
      <c r="B1215" s="1">
        <f>DATE(2013,5,4) + TIME(20,23,39)</f>
        <v>41398.849756944444</v>
      </c>
      <c r="C1215">
        <v>70</v>
      </c>
      <c r="D1215">
        <v>69.834205627000003</v>
      </c>
      <c r="E1215">
        <v>40</v>
      </c>
      <c r="F1215">
        <v>39.726840973000002</v>
      </c>
      <c r="G1215">
        <v>1392.2293701000001</v>
      </c>
      <c r="H1215">
        <v>1375.9936522999999</v>
      </c>
      <c r="I1215">
        <v>1281.2164307</v>
      </c>
      <c r="J1215">
        <v>1258.5224608999999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1100.0462439999999</v>
      </c>
      <c r="B1216" s="1">
        <f>DATE(2013,5,5) + TIME(1,6,35)</f>
        <v>41399.046238425923</v>
      </c>
      <c r="C1216">
        <v>70</v>
      </c>
      <c r="D1216">
        <v>69.860153198000006</v>
      </c>
      <c r="E1216">
        <v>40</v>
      </c>
      <c r="F1216">
        <v>39.716259002999998</v>
      </c>
      <c r="G1216">
        <v>1392.1456298999999</v>
      </c>
      <c r="H1216">
        <v>1375.925293</v>
      </c>
      <c r="I1216">
        <v>1281.2136230000001</v>
      </c>
      <c r="J1216">
        <v>1258.5185547000001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1100.2536580000001</v>
      </c>
      <c r="B1217" s="1">
        <f>DATE(2013,5,5) + TIME(6,5,16)</f>
        <v>41399.253657407404</v>
      </c>
      <c r="C1217">
        <v>70</v>
      </c>
      <c r="D1217">
        <v>69.881568908999995</v>
      </c>
      <c r="E1217">
        <v>40</v>
      </c>
      <c r="F1217">
        <v>39.705184936999999</v>
      </c>
      <c r="G1217">
        <v>1392.0618896000001</v>
      </c>
      <c r="H1217">
        <v>1375.8564452999999</v>
      </c>
      <c r="I1217">
        <v>1281.2105713000001</v>
      </c>
      <c r="J1217">
        <v>1258.5144043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1100.470795</v>
      </c>
      <c r="B1218" s="1">
        <f>DATE(2013,5,5) + TIME(11,17,56)</f>
        <v>41399.47078703704</v>
      </c>
      <c r="C1218">
        <v>70</v>
      </c>
      <c r="D1218">
        <v>69.898941039999997</v>
      </c>
      <c r="E1218">
        <v>40</v>
      </c>
      <c r="F1218">
        <v>39.693664550999998</v>
      </c>
      <c r="G1218">
        <v>1391.9781493999999</v>
      </c>
      <c r="H1218">
        <v>1375.7868652</v>
      </c>
      <c r="I1218">
        <v>1281.2073975000001</v>
      </c>
      <c r="J1218">
        <v>1258.5100098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1100.6990940000001</v>
      </c>
      <c r="B1219" s="1">
        <f>DATE(2013,5,5) + TIME(16,46,41)</f>
        <v>41399.69908564815</v>
      </c>
      <c r="C1219">
        <v>70</v>
      </c>
      <c r="D1219">
        <v>69.912948607999994</v>
      </c>
      <c r="E1219">
        <v>40</v>
      </c>
      <c r="F1219">
        <v>39.681632995999998</v>
      </c>
      <c r="G1219">
        <v>1391.8947754000001</v>
      </c>
      <c r="H1219">
        <v>1375.7171631000001</v>
      </c>
      <c r="I1219">
        <v>1281.2041016000001</v>
      </c>
      <c r="J1219">
        <v>1258.5054932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1100.940075</v>
      </c>
      <c r="B1220" s="1">
        <f>DATE(2013,5,5) + TIME(22,33,42)</f>
        <v>41399.940069444441</v>
      </c>
      <c r="C1220">
        <v>70</v>
      </c>
      <c r="D1220">
        <v>69.924179077000005</v>
      </c>
      <c r="E1220">
        <v>40</v>
      </c>
      <c r="F1220">
        <v>39.669033051</v>
      </c>
      <c r="G1220">
        <v>1391.8111572</v>
      </c>
      <c r="H1220">
        <v>1375.6470947</v>
      </c>
      <c r="I1220">
        <v>1281.2005615</v>
      </c>
      <c r="J1220">
        <v>1258.5006103999999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1101.1955519999999</v>
      </c>
      <c r="B1221" s="1">
        <f>DATE(2013,5,6) + TIME(4,41,35)</f>
        <v>41400.195543981485</v>
      </c>
      <c r="C1221">
        <v>70</v>
      </c>
      <c r="D1221">
        <v>69.933097838999998</v>
      </c>
      <c r="E1221">
        <v>40</v>
      </c>
      <c r="F1221">
        <v>39.655780792000002</v>
      </c>
      <c r="G1221">
        <v>1391.7270507999999</v>
      </c>
      <c r="H1221">
        <v>1375.5760498</v>
      </c>
      <c r="I1221">
        <v>1281.1967772999999</v>
      </c>
      <c r="J1221">
        <v>1258.4956055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1101.4667899999999</v>
      </c>
      <c r="B1222" s="1">
        <f>DATE(2013,5,6) + TIME(11,12,10)</f>
        <v>41400.466782407406</v>
      </c>
      <c r="C1222">
        <v>70</v>
      </c>
      <c r="D1222">
        <v>69.940124511999997</v>
      </c>
      <c r="E1222">
        <v>40</v>
      </c>
      <c r="F1222">
        <v>39.641826629999997</v>
      </c>
      <c r="G1222">
        <v>1391.6418457</v>
      </c>
      <c r="H1222">
        <v>1375.5040283000001</v>
      </c>
      <c r="I1222">
        <v>1281.192749</v>
      </c>
      <c r="J1222">
        <v>1258.4901123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1101.739174</v>
      </c>
      <c r="B1223" s="1">
        <f>DATE(2013,5,6) + TIME(17,44,24)</f>
        <v>41400.739166666666</v>
      </c>
      <c r="C1223">
        <v>70</v>
      </c>
      <c r="D1223">
        <v>69.945358275999993</v>
      </c>
      <c r="E1223">
        <v>40</v>
      </c>
      <c r="F1223">
        <v>39.627727509000003</v>
      </c>
      <c r="G1223">
        <v>1391.5556641000001</v>
      </c>
      <c r="H1223">
        <v>1375.4309082</v>
      </c>
      <c r="I1223">
        <v>1281.1884766000001</v>
      </c>
      <c r="J1223">
        <v>1258.4844971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1102.014009</v>
      </c>
      <c r="B1224" s="1">
        <f>DATE(2013,5,7) + TIME(0,20,10)</f>
        <v>41401.014004629629</v>
      </c>
      <c r="C1224">
        <v>70</v>
      </c>
      <c r="D1224">
        <v>69.949287415000001</v>
      </c>
      <c r="E1224">
        <v>40</v>
      </c>
      <c r="F1224">
        <v>39.613468169999997</v>
      </c>
      <c r="G1224">
        <v>1391.4727783000001</v>
      </c>
      <c r="H1224">
        <v>1375.3604736</v>
      </c>
      <c r="I1224">
        <v>1281.184082</v>
      </c>
      <c r="J1224">
        <v>1258.4787598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1102.2925299999999</v>
      </c>
      <c r="B1225" s="1">
        <f>DATE(2013,5,7) + TIME(7,1,14)</f>
        <v>41401.292523148149</v>
      </c>
      <c r="C1225">
        <v>70</v>
      </c>
      <c r="D1225">
        <v>69.952255249000004</v>
      </c>
      <c r="E1225">
        <v>40</v>
      </c>
      <c r="F1225">
        <v>39.599025726000001</v>
      </c>
      <c r="G1225">
        <v>1391.3924560999999</v>
      </c>
      <c r="H1225">
        <v>1375.2921143000001</v>
      </c>
      <c r="I1225">
        <v>1281.1798096</v>
      </c>
      <c r="J1225">
        <v>1258.4729004000001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1102.5759399999999</v>
      </c>
      <c r="B1226" s="1">
        <f>DATE(2013,5,7) + TIME(13,49,21)</f>
        <v>41401.575937499998</v>
      </c>
      <c r="C1226">
        <v>70</v>
      </c>
      <c r="D1226">
        <v>69.954513550000001</v>
      </c>
      <c r="E1226">
        <v>40</v>
      </c>
      <c r="F1226">
        <v>39.584365845000001</v>
      </c>
      <c r="G1226">
        <v>1391.3142089999999</v>
      </c>
      <c r="H1226">
        <v>1375.2255858999999</v>
      </c>
      <c r="I1226">
        <v>1281.1754149999999</v>
      </c>
      <c r="J1226">
        <v>1258.4670410000001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1102.865497</v>
      </c>
      <c r="B1227" s="1">
        <f>DATE(2013,5,7) + TIME(20,46,18)</f>
        <v>41401.865486111114</v>
      </c>
      <c r="C1227">
        <v>70</v>
      </c>
      <c r="D1227">
        <v>69.956230164000004</v>
      </c>
      <c r="E1227">
        <v>40</v>
      </c>
      <c r="F1227">
        <v>39.569450377999999</v>
      </c>
      <c r="G1227">
        <v>1391.2375488</v>
      </c>
      <c r="H1227">
        <v>1375.1604004000001</v>
      </c>
      <c r="I1227">
        <v>1281.1708983999999</v>
      </c>
      <c r="J1227">
        <v>1258.4610596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1103.162511</v>
      </c>
      <c r="B1228" s="1">
        <f>DATE(2013,5,8) + TIME(3,54,0)</f>
        <v>41402.162499999999</v>
      </c>
      <c r="C1228">
        <v>70</v>
      </c>
      <c r="D1228">
        <v>69.957542419000006</v>
      </c>
      <c r="E1228">
        <v>40</v>
      </c>
      <c r="F1228">
        <v>39.554229736000003</v>
      </c>
      <c r="G1228">
        <v>1391.1618652</v>
      </c>
      <c r="H1228">
        <v>1375.0961914</v>
      </c>
      <c r="I1228">
        <v>1281.1662598</v>
      </c>
      <c r="J1228">
        <v>1258.4549560999999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1103.468257</v>
      </c>
      <c r="B1229" s="1">
        <f>DATE(2013,5,8) + TIME(11,14,17)</f>
        <v>41402.468252314815</v>
      </c>
      <c r="C1229">
        <v>70</v>
      </c>
      <c r="D1229">
        <v>69.958557128999999</v>
      </c>
      <c r="E1229">
        <v>40</v>
      </c>
      <c r="F1229">
        <v>39.538654327000003</v>
      </c>
      <c r="G1229">
        <v>1391.0870361</v>
      </c>
      <c r="H1229">
        <v>1375.0325928</v>
      </c>
      <c r="I1229">
        <v>1281.1616211</v>
      </c>
      <c r="J1229">
        <v>1258.4486084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1103.7842189999999</v>
      </c>
      <c r="B1230" s="1">
        <f>DATE(2013,5,8) + TIME(18,49,16)</f>
        <v>41402.784212962964</v>
      </c>
      <c r="C1230">
        <v>70</v>
      </c>
      <c r="D1230">
        <v>69.959342957000004</v>
      </c>
      <c r="E1230">
        <v>40</v>
      </c>
      <c r="F1230">
        <v>39.522670746000003</v>
      </c>
      <c r="G1230">
        <v>1391.0125731999999</v>
      </c>
      <c r="H1230">
        <v>1374.9694824000001</v>
      </c>
      <c r="I1230">
        <v>1281.1567382999999</v>
      </c>
      <c r="J1230">
        <v>1258.4421387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1104.1120559999999</v>
      </c>
      <c r="B1231" s="1">
        <f>DATE(2013,5,9) + TIME(2,41,21)</f>
        <v>41403.11204861111</v>
      </c>
      <c r="C1231">
        <v>70</v>
      </c>
      <c r="D1231">
        <v>69.959945679</v>
      </c>
      <c r="E1231">
        <v>40</v>
      </c>
      <c r="F1231">
        <v>39.506206511999999</v>
      </c>
      <c r="G1231">
        <v>1390.9382324000001</v>
      </c>
      <c r="H1231">
        <v>1374.9063721</v>
      </c>
      <c r="I1231">
        <v>1281.1517334</v>
      </c>
      <c r="J1231">
        <v>1258.4354248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1104.4498169999999</v>
      </c>
      <c r="B1232" s="1">
        <f>DATE(2013,5,9) + TIME(10,47,44)</f>
        <v>41403.449814814812</v>
      </c>
      <c r="C1232">
        <v>70</v>
      </c>
      <c r="D1232">
        <v>69.960418700999995</v>
      </c>
      <c r="E1232">
        <v>40</v>
      </c>
      <c r="F1232">
        <v>39.489322661999999</v>
      </c>
      <c r="G1232">
        <v>1390.8636475000001</v>
      </c>
      <c r="H1232">
        <v>1374.8431396000001</v>
      </c>
      <c r="I1232">
        <v>1281.1466064000001</v>
      </c>
      <c r="J1232">
        <v>1258.4284668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1104.7979499999999</v>
      </c>
      <c r="B1233" s="1">
        <f>DATE(2013,5,9) + TIME(19,9,2)</f>
        <v>41403.797939814816</v>
      </c>
      <c r="C1233">
        <v>70</v>
      </c>
      <c r="D1233">
        <v>69.960784911999994</v>
      </c>
      <c r="E1233">
        <v>40</v>
      </c>
      <c r="F1233">
        <v>39.472007751</v>
      </c>
      <c r="G1233">
        <v>1390.7891846</v>
      </c>
      <c r="H1233">
        <v>1374.7801514</v>
      </c>
      <c r="I1233">
        <v>1281.1411132999999</v>
      </c>
      <c r="J1233">
        <v>1258.4212646000001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1105.157976</v>
      </c>
      <c r="B1234" s="1">
        <f>DATE(2013,5,10) + TIME(3,47,29)</f>
        <v>41404.15797453704</v>
      </c>
      <c r="C1234">
        <v>70</v>
      </c>
      <c r="D1234">
        <v>69.961074828999998</v>
      </c>
      <c r="E1234">
        <v>40</v>
      </c>
      <c r="F1234">
        <v>39.454208373999997</v>
      </c>
      <c r="G1234">
        <v>1390.7149658000001</v>
      </c>
      <c r="H1234">
        <v>1374.7174072</v>
      </c>
      <c r="I1234">
        <v>1281.1356201000001</v>
      </c>
      <c r="J1234">
        <v>1258.4139404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1105.5316359999999</v>
      </c>
      <c r="B1235" s="1">
        <f>DATE(2013,5,10) + TIME(12,45,33)</f>
        <v>41404.531631944446</v>
      </c>
      <c r="C1235">
        <v>70</v>
      </c>
      <c r="D1235">
        <v>69.961296082000004</v>
      </c>
      <c r="E1235">
        <v>40</v>
      </c>
      <c r="F1235">
        <v>39.435852050999998</v>
      </c>
      <c r="G1235">
        <v>1390.640625</v>
      </c>
      <c r="H1235">
        <v>1374.6546631000001</v>
      </c>
      <c r="I1235">
        <v>1281.1298827999999</v>
      </c>
      <c r="J1235">
        <v>1258.40625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1105.92092</v>
      </c>
      <c r="B1236" s="1">
        <f>DATE(2013,5,10) + TIME(22,6,7)</f>
        <v>41404.920914351853</v>
      </c>
      <c r="C1236">
        <v>70</v>
      </c>
      <c r="D1236">
        <v>69.961479186999995</v>
      </c>
      <c r="E1236">
        <v>40</v>
      </c>
      <c r="F1236">
        <v>39.416873932000001</v>
      </c>
      <c r="G1236">
        <v>1390.565918</v>
      </c>
      <c r="H1236">
        <v>1374.5915527</v>
      </c>
      <c r="I1236">
        <v>1281.1239014</v>
      </c>
      <c r="J1236">
        <v>1258.3983154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1106.328131</v>
      </c>
      <c r="B1237" s="1">
        <f>DATE(2013,5,11) + TIME(7,52,30)</f>
        <v>41405.328125</v>
      </c>
      <c r="C1237">
        <v>70</v>
      </c>
      <c r="D1237">
        <v>69.961616516000007</v>
      </c>
      <c r="E1237">
        <v>40</v>
      </c>
      <c r="F1237">
        <v>39.397174835000001</v>
      </c>
      <c r="G1237">
        <v>1390.4904785000001</v>
      </c>
      <c r="H1237">
        <v>1374.5279541</v>
      </c>
      <c r="I1237">
        <v>1281.1176757999999</v>
      </c>
      <c r="J1237">
        <v>1258.3900146000001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1106.7559799999999</v>
      </c>
      <c r="B1238" s="1">
        <f>DATE(2013,5,11) + TIME(18,8,36)</f>
        <v>41405.755972222221</v>
      </c>
      <c r="C1238">
        <v>70</v>
      </c>
      <c r="D1238">
        <v>69.961730957</v>
      </c>
      <c r="E1238">
        <v>40</v>
      </c>
      <c r="F1238">
        <v>39.376659392999997</v>
      </c>
      <c r="G1238">
        <v>1390.4140625</v>
      </c>
      <c r="H1238">
        <v>1374.4636230000001</v>
      </c>
      <c r="I1238">
        <v>1281.1112060999999</v>
      </c>
      <c r="J1238">
        <v>1258.3812256000001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1107.1903440000001</v>
      </c>
      <c r="B1239" s="1">
        <f>DATE(2013,5,12) + TIME(4,34,5)</f>
        <v>41406.190335648149</v>
      </c>
      <c r="C1239">
        <v>70</v>
      </c>
      <c r="D1239">
        <v>69.961814880000006</v>
      </c>
      <c r="E1239">
        <v>40</v>
      </c>
      <c r="F1239">
        <v>39.355743408000002</v>
      </c>
      <c r="G1239">
        <v>1390.3363036999999</v>
      </c>
      <c r="H1239">
        <v>1374.3981934000001</v>
      </c>
      <c r="I1239">
        <v>1281.1042480000001</v>
      </c>
      <c r="J1239">
        <v>1258.3721923999999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1107.628553</v>
      </c>
      <c r="B1240" s="1">
        <f>DATE(2013,5,12) + TIME(15,5,6)</f>
        <v>41406.628541666665</v>
      </c>
      <c r="C1240">
        <v>70</v>
      </c>
      <c r="D1240">
        <v>69.961883545000006</v>
      </c>
      <c r="E1240">
        <v>40</v>
      </c>
      <c r="F1240">
        <v>39.334575653000002</v>
      </c>
      <c r="G1240">
        <v>1390.2598877</v>
      </c>
      <c r="H1240">
        <v>1374.3338623</v>
      </c>
      <c r="I1240">
        <v>1281.097168</v>
      </c>
      <c r="J1240">
        <v>1258.3629149999999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1108.07251</v>
      </c>
      <c r="B1241" s="1">
        <f>DATE(2013,5,13) + TIME(1,44,24)</f>
        <v>41407.072500000002</v>
      </c>
      <c r="C1241">
        <v>70</v>
      </c>
      <c r="D1241">
        <v>69.961936950999998</v>
      </c>
      <c r="E1241">
        <v>40</v>
      </c>
      <c r="F1241">
        <v>39.313148499</v>
      </c>
      <c r="G1241">
        <v>1390.1850586</v>
      </c>
      <c r="H1241">
        <v>1374.2709961</v>
      </c>
      <c r="I1241">
        <v>1281.0899658000001</v>
      </c>
      <c r="J1241">
        <v>1258.3535156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1108.524085</v>
      </c>
      <c r="B1242" s="1">
        <f>DATE(2013,5,13) + TIME(12,34,40)</f>
        <v>41407.524074074077</v>
      </c>
      <c r="C1242">
        <v>70</v>
      </c>
      <c r="D1242">
        <v>69.961975097999996</v>
      </c>
      <c r="E1242">
        <v>40</v>
      </c>
      <c r="F1242">
        <v>39.291431426999999</v>
      </c>
      <c r="G1242">
        <v>1390.1114502</v>
      </c>
      <c r="H1242">
        <v>1374.2093506000001</v>
      </c>
      <c r="I1242">
        <v>1281.0827637</v>
      </c>
      <c r="J1242">
        <v>1258.3439940999999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1108.985295</v>
      </c>
      <c r="B1243" s="1">
        <f>DATE(2013,5,13) + TIME(23,38,49)</f>
        <v>41407.985289351855</v>
      </c>
      <c r="C1243">
        <v>70</v>
      </c>
      <c r="D1243">
        <v>69.961997986</v>
      </c>
      <c r="E1243">
        <v>40</v>
      </c>
      <c r="F1243">
        <v>39.269371032999999</v>
      </c>
      <c r="G1243">
        <v>1390.0388184000001</v>
      </c>
      <c r="H1243">
        <v>1374.1483154</v>
      </c>
      <c r="I1243">
        <v>1281.0754394999999</v>
      </c>
      <c r="J1243">
        <v>1258.3342285000001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1109.458183</v>
      </c>
      <c r="B1244" s="1">
        <f>DATE(2013,5,14) + TIME(10,59,46)</f>
        <v>41408.458171296297</v>
      </c>
      <c r="C1244">
        <v>70</v>
      </c>
      <c r="D1244">
        <v>69.962020874000004</v>
      </c>
      <c r="E1244">
        <v>40</v>
      </c>
      <c r="F1244">
        <v>39.246902466000002</v>
      </c>
      <c r="G1244">
        <v>1389.9667969</v>
      </c>
      <c r="H1244">
        <v>1374.0878906</v>
      </c>
      <c r="I1244">
        <v>1281.0679932</v>
      </c>
      <c r="J1244">
        <v>1258.3243408000001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1109.944839</v>
      </c>
      <c r="B1245" s="1">
        <f>DATE(2013,5,14) + TIME(22,40,34)</f>
        <v>41408.944837962961</v>
      </c>
      <c r="C1245">
        <v>70</v>
      </c>
      <c r="D1245">
        <v>69.962036132999998</v>
      </c>
      <c r="E1245">
        <v>40</v>
      </c>
      <c r="F1245">
        <v>39.223945618000002</v>
      </c>
      <c r="G1245">
        <v>1389.8948975000001</v>
      </c>
      <c r="H1245">
        <v>1374.0277100000001</v>
      </c>
      <c r="I1245">
        <v>1281.0601807</v>
      </c>
      <c r="J1245">
        <v>1258.3140868999999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1110.4476830000001</v>
      </c>
      <c r="B1246" s="1">
        <f>DATE(2013,5,15) + TIME(10,44,39)</f>
        <v>41409.44767361111</v>
      </c>
      <c r="C1246">
        <v>70</v>
      </c>
      <c r="D1246">
        <v>69.962043761999993</v>
      </c>
      <c r="E1246">
        <v>40</v>
      </c>
      <c r="F1246">
        <v>39.200416564999998</v>
      </c>
      <c r="G1246">
        <v>1389.8229980000001</v>
      </c>
      <c r="H1246">
        <v>1373.9675293</v>
      </c>
      <c r="I1246">
        <v>1281.0522461</v>
      </c>
      <c r="J1246">
        <v>1258.3035889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1110.9692729999999</v>
      </c>
      <c r="B1247" s="1">
        <f>DATE(2013,5,15) + TIME(23,15,45)</f>
        <v>41409.969270833331</v>
      </c>
      <c r="C1247">
        <v>70</v>
      </c>
      <c r="D1247">
        <v>69.962051392000006</v>
      </c>
      <c r="E1247">
        <v>40</v>
      </c>
      <c r="F1247">
        <v>39.176212311</v>
      </c>
      <c r="G1247">
        <v>1389.7506103999999</v>
      </c>
      <c r="H1247">
        <v>1373.9069824000001</v>
      </c>
      <c r="I1247">
        <v>1281.0440673999999</v>
      </c>
      <c r="J1247">
        <v>1258.2926024999999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1111.5011870000001</v>
      </c>
      <c r="B1248" s="1">
        <f>DATE(2013,5,16) + TIME(12,1,42)</f>
        <v>41410.501180555555</v>
      </c>
      <c r="C1248">
        <v>70</v>
      </c>
      <c r="D1248">
        <v>69.962051392000006</v>
      </c>
      <c r="E1248">
        <v>40</v>
      </c>
      <c r="F1248">
        <v>39.151542663999997</v>
      </c>
      <c r="G1248">
        <v>1389.6777344</v>
      </c>
      <c r="H1248">
        <v>1373.8459473</v>
      </c>
      <c r="I1248">
        <v>1281.0355225000001</v>
      </c>
      <c r="J1248">
        <v>1258.2813721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1112.0457100000001</v>
      </c>
      <c r="B1249" s="1">
        <f>DATE(2013,5,17) + TIME(1,5,49)</f>
        <v>41411.045706018522</v>
      </c>
      <c r="C1249">
        <v>70</v>
      </c>
      <c r="D1249">
        <v>69.962051392000006</v>
      </c>
      <c r="E1249">
        <v>40</v>
      </c>
      <c r="F1249">
        <v>39.126384735000002</v>
      </c>
      <c r="G1249">
        <v>1389.6052245999999</v>
      </c>
      <c r="H1249">
        <v>1373.7854004000001</v>
      </c>
      <c r="I1249">
        <v>1281.0267334</v>
      </c>
      <c r="J1249">
        <v>1258.2697754000001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1112.6051950000001</v>
      </c>
      <c r="B1250" s="1">
        <f>DATE(2013,5,17) + TIME(14,31,28)</f>
        <v>41411.605185185188</v>
      </c>
      <c r="C1250">
        <v>70</v>
      </c>
      <c r="D1250">
        <v>69.962051392000006</v>
      </c>
      <c r="E1250">
        <v>40</v>
      </c>
      <c r="F1250">
        <v>39.100677490000002</v>
      </c>
      <c r="G1250">
        <v>1389.5330810999999</v>
      </c>
      <c r="H1250">
        <v>1373.7250977000001</v>
      </c>
      <c r="I1250">
        <v>1281.0177002</v>
      </c>
      <c r="J1250">
        <v>1258.2578125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1113.1819190000001</v>
      </c>
      <c r="B1251" s="1">
        <f>DATE(2013,5,18) + TIME(4,21,57)</f>
        <v>41412.181909722225</v>
      </c>
      <c r="C1251">
        <v>70</v>
      </c>
      <c r="D1251">
        <v>69.962043761999993</v>
      </c>
      <c r="E1251">
        <v>40</v>
      </c>
      <c r="F1251">
        <v>39.074359893999997</v>
      </c>
      <c r="G1251">
        <v>1389.4609375</v>
      </c>
      <c r="H1251">
        <v>1373.6646728999999</v>
      </c>
      <c r="I1251">
        <v>1281.0084228999999</v>
      </c>
      <c r="J1251">
        <v>1258.2456055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1113.772993</v>
      </c>
      <c r="B1252" s="1">
        <f>DATE(2013,5,18) + TIME(18,33,6)</f>
        <v>41412.772986111115</v>
      </c>
      <c r="C1252">
        <v>70</v>
      </c>
      <c r="D1252">
        <v>69.962043761999993</v>
      </c>
      <c r="E1252">
        <v>40</v>
      </c>
      <c r="F1252">
        <v>39.047481537000003</v>
      </c>
      <c r="G1252">
        <v>1389.3884277</v>
      </c>
      <c r="H1252">
        <v>1373.604126</v>
      </c>
      <c r="I1252">
        <v>1280.9987793</v>
      </c>
      <c r="J1252">
        <v>1258.2329102000001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1114.3701040000001</v>
      </c>
      <c r="B1253" s="1">
        <f>DATE(2013,5,19) + TIME(8,52,56)</f>
        <v>41413.370092592595</v>
      </c>
      <c r="C1253">
        <v>70</v>
      </c>
      <c r="D1253">
        <v>69.962036132999998</v>
      </c>
      <c r="E1253">
        <v>40</v>
      </c>
      <c r="F1253">
        <v>39.020286560000002</v>
      </c>
      <c r="G1253">
        <v>1389.3160399999999</v>
      </c>
      <c r="H1253">
        <v>1373.5437012</v>
      </c>
      <c r="I1253">
        <v>1280.9888916</v>
      </c>
      <c r="J1253">
        <v>1258.2198486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1114.9758770000001</v>
      </c>
      <c r="B1254" s="1">
        <f>DATE(2013,5,19) + TIME(23,25,15)</f>
        <v>41413.975868055553</v>
      </c>
      <c r="C1254">
        <v>70</v>
      </c>
      <c r="D1254">
        <v>69.962028502999999</v>
      </c>
      <c r="E1254">
        <v>40</v>
      </c>
      <c r="F1254">
        <v>38.992771148999999</v>
      </c>
      <c r="G1254">
        <v>1389.244751</v>
      </c>
      <c r="H1254">
        <v>1373.4842529</v>
      </c>
      <c r="I1254">
        <v>1280.9787598</v>
      </c>
      <c r="J1254">
        <v>1258.2066649999999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1115.593153</v>
      </c>
      <c r="B1255" s="1">
        <f>DATE(2013,5,20) + TIME(14,14,8)</f>
        <v>41414.593148148146</v>
      </c>
      <c r="C1255">
        <v>70</v>
      </c>
      <c r="D1255">
        <v>69.962020874000004</v>
      </c>
      <c r="E1255">
        <v>40</v>
      </c>
      <c r="F1255">
        <v>38.964885711999997</v>
      </c>
      <c r="G1255">
        <v>1389.1743164</v>
      </c>
      <c r="H1255">
        <v>1373.425293</v>
      </c>
      <c r="I1255">
        <v>1280.9686279</v>
      </c>
      <c r="J1255">
        <v>1258.1932373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1116.2245600000001</v>
      </c>
      <c r="B1256" s="1">
        <f>DATE(2013,5,21) + TIME(5,23,22)</f>
        <v>41415.224560185183</v>
      </c>
      <c r="C1256">
        <v>70</v>
      </c>
      <c r="D1256">
        <v>69.962013244999994</v>
      </c>
      <c r="E1256">
        <v>40</v>
      </c>
      <c r="F1256">
        <v>38.93655777</v>
      </c>
      <c r="G1256">
        <v>1389.1042480000001</v>
      </c>
      <c r="H1256">
        <v>1373.3668213000001</v>
      </c>
      <c r="I1256">
        <v>1280.9581298999999</v>
      </c>
      <c r="J1256">
        <v>1258.1794434000001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1116.873036</v>
      </c>
      <c r="B1257" s="1">
        <f>DATE(2013,5,21) + TIME(20,57,10)</f>
        <v>41415.873032407406</v>
      </c>
      <c r="C1257">
        <v>70</v>
      </c>
      <c r="D1257">
        <v>69.962005614999995</v>
      </c>
      <c r="E1257">
        <v>40</v>
      </c>
      <c r="F1257">
        <v>38.907684326000002</v>
      </c>
      <c r="G1257">
        <v>1389.0343018000001</v>
      </c>
      <c r="H1257">
        <v>1373.3084716999999</v>
      </c>
      <c r="I1257">
        <v>1280.9475098</v>
      </c>
      <c r="J1257">
        <v>1258.1652832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1117.5418810000001</v>
      </c>
      <c r="B1258" s="1">
        <f>DATE(2013,5,22) + TIME(13,0,18)</f>
        <v>41416.541875000003</v>
      </c>
      <c r="C1258">
        <v>70</v>
      </c>
      <c r="D1258">
        <v>69.962005614999995</v>
      </c>
      <c r="E1258">
        <v>40</v>
      </c>
      <c r="F1258">
        <v>38.878154754999997</v>
      </c>
      <c r="G1258">
        <v>1388.9641113</v>
      </c>
      <c r="H1258">
        <v>1373.2498779</v>
      </c>
      <c r="I1258">
        <v>1280.9364014</v>
      </c>
      <c r="J1258">
        <v>1258.1506348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1118.2348039999999</v>
      </c>
      <c r="B1259" s="1">
        <f>DATE(2013,5,23) + TIME(5,38,7)</f>
        <v>41417.234803240739</v>
      </c>
      <c r="C1259">
        <v>70</v>
      </c>
      <c r="D1259">
        <v>69.961997986</v>
      </c>
      <c r="E1259">
        <v>40</v>
      </c>
      <c r="F1259">
        <v>38.847839354999998</v>
      </c>
      <c r="G1259">
        <v>1388.8935547000001</v>
      </c>
      <c r="H1259">
        <v>1373.190918</v>
      </c>
      <c r="I1259">
        <v>1280.9250488</v>
      </c>
      <c r="J1259">
        <v>1258.1354980000001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1118.9560819999999</v>
      </c>
      <c r="B1260" s="1">
        <f>DATE(2013,5,23) + TIME(22,56,45)</f>
        <v>41417.956076388888</v>
      </c>
      <c r="C1260">
        <v>70</v>
      </c>
      <c r="D1260">
        <v>69.961990356000001</v>
      </c>
      <c r="E1260">
        <v>40</v>
      </c>
      <c r="F1260">
        <v>38.816574097</v>
      </c>
      <c r="G1260">
        <v>1388.8221435999999</v>
      </c>
      <c r="H1260">
        <v>1373.1312256000001</v>
      </c>
      <c r="I1260">
        <v>1280.9130858999999</v>
      </c>
      <c r="J1260">
        <v>1258.119751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1119.6964559999999</v>
      </c>
      <c r="B1261" s="1">
        <f>DATE(2013,5,24) + TIME(16,42,53)</f>
        <v>41418.696446759262</v>
      </c>
      <c r="C1261">
        <v>70</v>
      </c>
      <c r="D1261">
        <v>69.961982727000006</v>
      </c>
      <c r="E1261">
        <v>40</v>
      </c>
      <c r="F1261">
        <v>38.784515380999999</v>
      </c>
      <c r="G1261">
        <v>1388.7495117000001</v>
      </c>
      <c r="H1261">
        <v>1373.0706786999999</v>
      </c>
      <c r="I1261">
        <v>1280.9006348</v>
      </c>
      <c r="J1261">
        <v>1258.1033935999999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1120.449253</v>
      </c>
      <c r="B1262" s="1">
        <f>DATE(2013,5,25) + TIME(10,46,55)</f>
        <v>41419.449247685188</v>
      </c>
      <c r="C1262">
        <v>70</v>
      </c>
      <c r="D1262">
        <v>69.961975097999996</v>
      </c>
      <c r="E1262">
        <v>40</v>
      </c>
      <c r="F1262">
        <v>38.751865387000002</v>
      </c>
      <c r="G1262">
        <v>1388.6767577999999</v>
      </c>
      <c r="H1262">
        <v>1373.0098877</v>
      </c>
      <c r="I1262">
        <v>1280.8876952999999</v>
      </c>
      <c r="J1262">
        <v>1258.0863036999999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1121.21749</v>
      </c>
      <c r="B1263" s="1">
        <f>DATE(2013,5,26) + TIME(5,13,11)</f>
        <v>41420.217488425929</v>
      </c>
      <c r="C1263">
        <v>70</v>
      </c>
      <c r="D1263">
        <v>69.961975097999996</v>
      </c>
      <c r="E1263">
        <v>40</v>
      </c>
      <c r="F1263">
        <v>38.718654633</v>
      </c>
      <c r="G1263">
        <v>1388.6044922000001</v>
      </c>
      <c r="H1263">
        <v>1372.9495850000001</v>
      </c>
      <c r="I1263">
        <v>1280.8745117000001</v>
      </c>
      <c r="J1263">
        <v>1258.0689697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1121.9951599999999</v>
      </c>
      <c r="B1264" s="1">
        <f>DATE(2013,5,26) + TIME(23,53,1)</f>
        <v>41420.995150462964</v>
      </c>
      <c r="C1264">
        <v>70</v>
      </c>
      <c r="D1264">
        <v>69.961967467999997</v>
      </c>
      <c r="E1264">
        <v>40</v>
      </c>
      <c r="F1264">
        <v>38.685039519999997</v>
      </c>
      <c r="G1264">
        <v>1388.5325928</v>
      </c>
      <c r="H1264">
        <v>1372.8894043</v>
      </c>
      <c r="I1264">
        <v>1280.8609618999999</v>
      </c>
      <c r="J1264">
        <v>1258.0510254000001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1122.7824330000001</v>
      </c>
      <c r="B1265" s="1">
        <f>DATE(2013,5,27) + TIME(18,46,42)</f>
        <v>41421.782430555555</v>
      </c>
      <c r="C1265">
        <v>70</v>
      </c>
      <c r="D1265">
        <v>69.961959839000002</v>
      </c>
      <c r="E1265">
        <v>40</v>
      </c>
      <c r="F1265">
        <v>38.651088715</v>
      </c>
      <c r="G1265">
        <v>1388.4613036999999</v>
      </c>
      <c r="H1265">
        <v>1372.8298339999999</v>
      </c>
      <c r="I1265">
        <v>1280.847168</v>
      </c>
      <c r="J1265">
        <v>1258.0328368999999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1123.583106</v>
      </c>
      <c r="B1266" s="1">
        <f>DATE(2013,5,28) + TIME(13,59,40)</f>
        <v>41422.583101851851</v>
      </c>
      <c r="C1266">
        <v>70</v>
      </c>
      <c r="D1266">
        <v>69.961959839000002</v>
      </c>
      <c r="E1266">
        <v>40</v>
      </c>
      <c r="F1266">
        <v>38.616752624999997</v>
      </c>
      <c r="G1266">
        <v>1388.3908690999999</v>
      </c>
      <c r="H1266">
        <v>1372.7709961</v>
      </c>
      <c r="I1266">
        <v>1280.8330077999999</v>
      </c>
      <c r="J1266">
        <v>1258.0141602000001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1124.4007409999999</v>
      </c>
      <c r="B1267" s="1">
        <f>DATE(2013,5,29) + TIME(9,37,4)</f>
        <v>41423.400740740741</v>
      </c>
      <c r="C1267">
        <v>70</v>
      </c>
      <c r="D1267">
        <v>69.961952209000003</v>
      </c>
      <c r="E1267">
        <v>40</v>
      </c>
      <c r="F1267">
        <v>38.581939697000003</v>
      </c>
      <c r="G1267">
        <v>1388.3208007999999</v>
      </c>
      <c r="H1267">
        <v>1372.7122803</v>
      </c>
      <c r="I1267">
        <v>1280.8187256000001</v>
      </c>
      <c r="J1267">
        <v>1257.9951172000001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1125.2392090000001</v>
      </c>
      <c r="B1268" s="1">
        <f>DATE(2013,5,30) + TIME(5,44,27)</f>
        <v>41424.239201388889</v>
      </c>
      <c r="C1268">
        <v>70</v>
      </c>
      <c r="D1268">
        <v>69.961952209000003</v>
      </c>
      <c r="E1268">
        <v>40</v>
      </c>
      <c r="F1268">
        <v>38.546524048000002</v>
      </c>
      <c r="G1268">
        <v>1388.2508545000001</v>
      </c>
      <c r="H1268">
        <v>1372.6536865</v>
      </c>
      <c r="I1268">
        <v>1280.8038329999999</v>
      </c>
      <c r="J1268">
        <v>1257.9754639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1126.0975719999999</v>
      </c>
      <c r="B1269" s="1">
        <f>DATE(2013,5,31) + TIME(2,20,30)</f>
        <v>41425.097569444442</v>
      </c>
      <c r="C1269">
        <v>70</v>
      </c>
      <c r="D1269">
        <v>69.961952209000003</v>
      </c>
      <c r="E1269">
        <v>40</v>
      </c>
      <c r="F1269">
        <v>38.510459900000001</v>
      </c>
      <c r="G1269">
        <v>1388.1805420000001</v>
      </c>
      <c r="H1269">
        <v>1372.5949707</v>
      </c>
      <c r="I1269">
        <v>1280.7885742000001</v>
      </c>
      <c r="J1269">
        <v>1257.9550781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1127</v>
      </c>
      <c r="B1270" s="1">
        <f>DATE(2013,6,1) + TIME(0,0,0)</f>
        <v>41426</v>
      </c>
      <c r="C1270">
        <v>70</v>
      </c>
      <c r="D1270">
        <v>69.961952209000003</v>
      </c>
      <c r="E1270">
        <v>40</v>
      </c>
      <c r="F1270">
        <v>38.473236084</v>
      </c>
      <c r="G1270">
        <v>1388.1102295000001</v>
      </c>
      <c r="H1270">
        <v>1372.5360106999999</v>
      </c>
      <c r="I1270">
        <v>1280.7728271000001</v>
      </c>
      <c r="J1270">
        <v>1257.9339600000001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1127.881658</v>
      </c>
      <c r="B1271" s="1">
        <f>DATE(2013,6,1) + TIME(21,9,35)</f>
        <v>41426.881655092591</v>
      </c>
      <c r="C1271">
        <v>70</v>
      </c>
      <c r="D1271">
        <v>69.961944579999994</v>
      </c>
      <c r="E1271">
        <v>40</v>
      </c>
      <c r="F1271">
        <v>38.435913085999999</v>
      </c>
      <c r="G1271">
        <v>1388.0378418</v>
      </c>
      <c r="H1271">
        <v>1372.4753418</v>
      </c>
      <c r="I1271">
        <v>1280.7559814000001</v>
      </c>
      <c r="J1271">
        <v>1257.9117432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1128.8078780000001</v>
      </c>
      <c r="B1272" s="1">
        <f>DATE(2013,6,2) + TIME(19,23,20)</f>
        <v>41427.807870370372</v>
      </c>
      <c r="C1272">
        <v>70</v>
      </c>
      <c r="D1272">
        <v>69.961944579999994</v>
      </c>
      <c r="E1272">
        <v>40</v>
      </c>
      <c r="F1272">
        <v>38.397724152000002</v>
      </c>
      <c r="G1272">
        <v>1387.9686279</v>
      </c>
      <c r="H1272">
        <v>1372.4173584</v>
      </c>
      <c r="I1272">
        <v>1280.7395019999999</v>
      </c>
      <c r="J1272">
        <v>1257.8895264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1129.741119</v>
      </c>
      <c r="B1273" s="1">
        <f>DATE(2013,6,3) + TIME(17,47,12)</f>
        <v>41428.741111111114</v>
      </c>
      <c r="C1273">
        <v>70</v>
      </c>
      <c r="D1273">
        <v>69.961944579999994</v>
      </c>
      <c r="E1273">
        <v>40</v>
      </c>
      <c r="F1273">
        <v>38.358993529999999</v>
      </c>
      <c r="G1273">
        <v>1387.8974608999999</v>
      </c>
      <c r="H1273">
        <v>1372.3575439000001</v>
      </c>
      <c r="I1273">
        <v>1280.7219238</v>
      </c>
      <c r="J1273">
        <v>1257.8660889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1130.68606</v>
      </c>
      <c r="B1274" s="1">
        <f>DATE(2013,6,4) + TIME(16,27,55)</f>
        <v>41429.686053240737</v>
      </c>
      <c r="C1274">
        <v>70</v>
      </c>
      <c r="D1274">
        <v>69.961944579999994</v>
      </c>
      <c r="E1274">
        <v>40</v>
      </c>
      <c r="F1274">
        <v>38.319831848</v>
      </c>
      <c r="G1274">
        <v>1387.8271483999999</v>
      </c>
      <c r="H1274">
        <v>1372.2985839999999</v>
      </c>
      <c r="I1274">
        <v>1280.7039795000001</v>
      </c>
      <c r="J1274">
        <v>1257.8421631000001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1131.6466840000001</v>
      </c>
      <c r="B1275" s="1">
        <f>DATE(2013,6,5) + TIME(15,31,13)</f>
        <v>41430.646678240744</v>
      </c>
      <c r="C1275">
        <v>70</v>
      </c>
      <c r="D1275">
        <v>69.961952209000003</v>
      </c>
      <c r="E1275">
        <v>40</v>
      </c>
      <c r="F1275">
        <v>38.280208588000001</v>
      </c>
      <c r="G1275">
        <v>1387.7575684000001</v>
      </c>
      <c r="H1275">
        <v>1372.2401123</v>
      </c>
      <c r="I1275">
        <v>1280.6857910000001</v>
      </c>
      <c r="J1275">
        <v>1257.8176269999999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1132.627377</v>
      </c>
      <c r="B1276" s="1">
        <f>DATE(2013,6,6) + TIME(15,3,25)</f>
        <v>41431.627372685187</v>
      </c>
      <c r="C1276">
        <v>70</v>
      </c>
      <c r="D1276">
        <v>69.961952209000003</v>
      </c>
      <c r="E1276">
        <v>40</v>
      </c>
      <c r="F1276">
        <v>38.240013122999997</v>
      </c>
      <c r="G1276">
        <v>1387.6881103999999</v>
      </c>
      <c r="H1276">
        <v>1372.1817627</v>
      </c>
      <c r="I1276">
        <v>1280.6669922000001</v>
      </c>
      <c r="J1276">
        <v>1257.7922363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1133.630764</v>
      </c>
      <c r="B1277" s="1">
        <f>DATE(2013,6,7) + TIME(15,8,17)</f>
        <v>41432.630752314813</v>
      </c>
      <c r="C1277">
        <v>70</v>
      </c>
      <c r="D1277">
        <v>69.961952209000003</v>
      </c>
      <c r="E1277">
        <v>40</v>
      </c>
      <c r="F1277">
        <v>38.199131012000002</v>
      </c>
      <c r="G1277">
        <v>1387.6187743999999</v>
      </c>
      <c r="H1277">
        <v>1372.1234131000001</v>
      </c>
      <c r="I1277">
        <v>1280.6475829999999</v>
      </c>
      <c r="J1277">
        <v>1257.7661132999999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1134.6525360000001</v>
      </c>
      <c r="B1278" s="1">
        <f>DATE(2013,6,8) + TIME(15,39,39)</f>
        <v>41433.65253472222</v>
      </c>
      <c r="C1278">
        <v>70</v>
      </c>
      <c r="D1278">
        <v>69.961959839000002</v>
      </c>
      <c r="E1278">
        <v>40</v>
      </c>
      <c r="F1278">
        <v>38.157581329000003</v>
      </c>
      <c r="G1278">
        <v>1387.5490723</v>
      </c>
      <c r="H1278">
        <v>1372.0648193</v>
      </c>
      <c r="I1278">
        <v>1280.6274414</v>
      </c>
      <c r="J1278">
        <v>1257.7388916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1135.697516</v>
      </c>
      <c r="B1279" s="1">
        <f>DATE(2013,6,9) + TIME(16,44,25)</f>
        <v>41434.697511574072</v>
      </c>
      <c r="C1279">
        <v>70</v>
      </c>
      <c r="D1279">
        <v>69.961959839000002</v>
      </c>
      <c r="E1279">
        <v>40</v>
      </c>
      <c r="F1279">
        <v>38.115295410000002</v>
      </c>
      <c r="G1279">
        <v>1387.4796143000001</v>
      </c>
      <c r="H1279">
        <v>1372.0062256000001</v>
      </c>
      <c r="I1279">
        <v>1280.6066894999999</v>
      </c>
      <c r="J1279">
        <v>1257.7106934000001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1136.770524</v>
      </c>
      <c r="B1280" s="1">
        <f>DATE(2013,6,10) + TIME(18,29,33)</f>
        <v>41435.770520833335</v>
      </c>
      <c r="C1280">
        <v>70</v>
      </c>
      <c r="D1280">
        <v>69.961967467999997</v>
      </c>
      <c r="E1280">
        <v>40</v>
      </c>
      <c r="F1280">
        <v>38.072128296000002</v>
      </c>
      <c r="G1280">
        <v>1387.4099120999999</v>
      </c>
      <c r="H1280">
        <v>1371.9475098</v>
      </c>
      <c r="I1280">
        <v>1280.5852050999999</v>
      </c>
      <c r="J1280">
        <v>1257.6815185999999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1137.8684270000001</v>
      </c>
      <c r="B1281" s="1">
        <f>DATE(2013,6,11) + TIME(20,50,32)</f>
        <v>41436.868425925924</v>
      </c>
      <c r="C1281">
        <v>70</v>
      </c>
      <c r="D1281">
        <v>69.961967467999997</v>
      </c>
      <c r="E1281">
        <v>40</v>
      </c>
      <c r="F1281">
        <v>38.028053284000002</v>
      </c>
      <c r="G1281">
        <v>1387.3397216999999</v>
      </c>
      <c r="H1281">
        <v>1371.8883057</v>
      </c>
      <c r="I1281">
        <v>1280.5628661999999</v>
      </c>
      <c r="J1281">
        <v>1257.6508789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1138.972937</v>
      </c>
      <c r="B1282" s="1">
        <f>DATE(2013,6,12) + TIME(23,21,1)</f>
        <v>41437.972928240742</v>
      </c>
      <c r="C1282">
        <v>70</v>
      </c>
      <c r="D1282">
        <v>69.961975097999996</v>
      </c>
      <c r="E1282">
        <v>40</v>
      </c>
      <c r="F1282">
        <v>37.983394623000002</v>
      </c>
      <c r="G1282">
        <v>1387.2694091999999</v>
      </c>
      <c r="H1282">
        <v>1371.8287353999999</v>
      </c>
      <c r="I1282">
        <v>1280.5395507999999</v>
      </c>
      <c r="J1282">
        <v>1257.6191406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1140.0893940000001</v>
      </c>
      <c r="B1283" s="1">
        <f>DATE(2013,6,14) + TIME(2,8,43)</f>
        <v>41439.089386574073</v>
      </c>
      <c r="C1283">
        <v>70</v>
      </c>
      <c r="D1283">
        <v>69.961982727000006</v>
      </c>
      <c r="E1283">
        <v>40</v>
      </c>
      <c r="F1283">
        <v>37.938278197999999</v>
      </c>
      <c r="G1283">
        <v>1387.1998291</v>
      </c>
      <c r="H1283">
        <v>1371.7700195</v>
      </c>
      <c r="I1283">
        <v>1280.5157471</v>
      </c>
      <c r="J1283">
        <v>1257.5865478999999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1141.222694</v>
      </c>
      <c r="B1284" s="1">
        <f>DATE(2013,6,15) + TIME(5,20,40)</f>
        <v>41440.222685185188</v>
      </c>
      <c r="C1284">
        <v>70</v>
      </c>
      <c r="D1284">
        <v>69.961990356000001</v>
      </c>
      <c r="E1284">
        <v>40</v>
      </c>
      <c r="F1284">
        <v>37.892646790000001</v>
      </c>
      <c r="G1284">
        <v>1387.1309814000001</v>
      </c>
      <c r="H1284">
        <v>1371.7117920000001</v>
      </c>
      <c r="I1284">
        <v>1280.4914550999999</v>
      </c>
      <c r="J1284">
        <v>1257.5529785000001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1142.377882</v>
      </c>
      <c r="B1285" s="1">
        <f>DATE(2013,6,16) + TIME(9,4,9)</f>
        <v>41441.377881944441</v>
      </c>
      <c r="C1285">
        <v>70</v>
      </c>
      <c r="D1285">
        <v>69.961997986</v>
      </c>
      <c r="E1285">
        <v>40</v>
      </c>
      <c r="F1285">
        <v>37.846355438000003</v>
      </c>
      <c r="G1285">
        <v>1387.0622559000001</v>
      </c>
      <c r="H1285">
        <v>1371.6535644999999</v>
      </c>
      <c r="I1285">
        <v>1280.4663086</v>
      </c>
      <c r="J1285">
        <v>1257.5181885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1143.560487</v>
      </c>
      <c r="B1286" s="1">
        <f>DATE(2013,6,17) + TIME(13,27,6)</f>
        <v>41442.560486111113</v>
      </c>
      <c r="C1286">
        <v>70</v>
      </c>
      <c r="D1286">
        <v>69.962005614999995</v>
      </c>
      <c r="E1286">
        <v>40</v>
      </c>
      <c r="F1286">
        <v>37.799213408999996</v>
      </c>
      <c r="G1286">
        <v>1386.9935303</v>
      </c>
      <c r="H1286">
        <v>1371.5953368999999</v>
      </c>
      <c r="I1286">
        <v>1280.4403076000001</v>
      </c>
      <c r="J1286">
        <v>1257.4820557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1144.7684340000001</v>
      </c>
      <c r="B1287" s="1">
        <f>DATE(2013,6,18) + TIME(18,26,32)</f>
        <v>41443.768425925926</v>
      </c>
      <c r="C1287">
        <v>70</v>
      </c>
      <c r="D1287">
        <v>69.962013244999994</v>
      </c>
      <c r="E1287">
        <v>40</v>
      </c>
      <c r="F1287">
        <v>37.751129149999997</v>
      </c>
      <c r="G1287">
        <v>1386.9245605000001</v>
      </c>
      <c r="H1287">
        <v>1371.5367432</v>
      </c>
      <c r="I1287">
        <v>1280.4132079999999</v>
      </c>
      <c r="J1287">
        <v>1257.4442139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1146.0048919999999</v>
      </c>
      <c r="B1288" s="1">
        <f>DATE(2013,6,20) + TIME(0,7,2)</f>
        <v>41445.004884259259</v>
      </c>
      <c r="C1288">
        <v>70</v>
      </c>
      <c r="D1288">
        <v>69.962020874000004</v>
      </c>
      <c r="E1288">
        <v>40</v>
      </c>
      <c r="F1288">
        <v>37.702018738</v>
      </c>
      <c r="G1288">
        <v>1386.8552245999999</v>
      </c>
      <c r="H1288">
        <v>1371.4780272999999</v>
      </c>
      <c r="I1288">
        <v>1280.3850098</v>
      </c>
      <c r="J1288">
        <v>1257.4047852000001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1147.2759140000001</v>
      </c>
      <c r="B1289" s="1">
        <f>DATE(2013,6,21) + TIME(6,37,18)</f>
        <v>41446.275902777779</v>
      </c>
      <c r="C1289">
        <v>70</v>
      </c>
      <c r="D1289">
        <v>69.962036132999998</v>
      </c>
      <c r="E1289">
        <v>40</v>
      </c>
      <c r="F1289">
        <v>37.651721954000003</v>
      </c>
      <c r="G1289">
        <v>1386.7856445</v>
      </c>
      <c r="H1289">
        <v>1371.4188231999999</v>
      </c>
      <c r="I1289">
        <v>1280.3557129000001</v>
      </c>
      <c r="J1289">
        <v>1257.3635254000001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1148.5652110000001</v>
      </c>
      <c r="B1290" s="1">
        <f>DATE(2013,6,22) + TIME(13,33,54)</f>
        <v>41447.565208333333</v>
      </c>
      <c r="C1290">
        <v>70</v>
      </c>
      <c r="D1290">
        <v>69.962043761999993</v>
      </c>
      <c r="E1290">
        <v>40</v>
      </c>
      <c r="F1290">
        <v>37.600372313999998</v>
      </c>
      <c r="G1290">
        <v>1386.715332</v>
      </c>
      <c r="H1290">
        <v>1371.3590088000001</v>
      </c>
      <c r="I1290">
        <v>1280.3249512</v>
      </c>
      <c r="J1290">
        <v>1257.3203125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1149.862404</v>
      </c>
      <c r="B1291" s="1">
        <f>DATE(2013,6,23) + TIME(20,41,51)</f>
        <v>41448.862395833334</v>
      </c>
      <c r="C1291">
        <v>70</v>
      </c>
      <c r="D1291">
        <v>69.962059021000002</v>
      </c>
      <c r="E1291">
        <v>40</v>
      </c>
      <c r="F1291">
        <v>37.548309326000002</v>
      </c>
      <c r="G1291">
        <v>1386.6452637</v>
      </c>
      <c r="H1291">
        <v>1371.2993164</v>
      </c>
      <c r="I1291">
        <v>1280.2932129000001</v>
      </c>
      <c r="J1291">
        <v>1257.2752685999999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1151.171198</v>
      </c>
      <c r="B1292" s="1">
        <f>DATE(2013,6,25) + TIME(4,6,31)</f>
        <v>41450.17119212963</v>
      </c>
      <c r="C1292">
        <v>70</v>
      </c>
      <c r="D1292">
        <v>69.962074279999996</v>
      </c>
      <c r="E1292">
        <v>40</v>
      </c>
      <c r="F1292">
        <v>37.495681763</v>
      </c>
      <c r="G1292">
        <v>1386.5760498</v>
      </c>
      <c r="H1292">
        <v>1371.2403564000001</v>
      </c>
      <c r="I1292">
        <v>1280.2606201000001</v>
      </c>
      <c r="J1292">
        <v>1257.2290039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1152.492111</v>
      </c>
      <c r="B1293" s="1">
        <f>DATE(2013,6,26) + TIME(11,48,38)</f>
        <v>41451.492106481484</v>
      </c>
      <c r="C1293">
        <v>70</v>
      </c>
      <c r="D1293">
        <v>69.962081909000005</v>
      </c>
      <c r="E1293">
        <v>40</v>
      </c>
      <c r="F1293">
        <v>37.442508697999997</v>
      </c>
      <c r="G1293">
        <v>1386.5074463000001</v>
      </c>
      <c r="H1293">
        <v>1371.1817627</v>
      </c>
      <c r="I1293">
        <v>1280.2271728999999</v>
      </c>
      <c r="J1293">
        <v>1257.1810303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1153.831003</v>
      </c>
      <c r="B1294" s="1">
        <f>DATE(2013,6,27) + TIME(19,56,38)</f>
        <v>41452.830995370372</v>
      </c>
      <c r="C1294">
        <v>70</v>
      </c>
      <c r="D1294">
        <v>69.962097168</v>
      </c>
      <c r="E1294">
        <v>40</v>
      </c>
      <c r="F1294">
        <v>37.388683319000002</v>
      </c>
      <c r="G1294">
        <v>1386.4393310999999</v>
      </c>
      <c r="H1294">
        <v>1371.1235352000001</v>
      </c>
      <c r="I1294">
        <v>1280.192749</v>
      </c>
      <c r="J1294">
        <v>1257.1314697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1155.193536</v>
      </c>
      <c r="B1295" s="1">
        <f>DATE(2013,6,29) + TIME(4,38,41)</f>
        <v>41454.193530092591</v>
      </c>
      <c r="C1295">
        <v>70</v>
      </c>
      <c r="D1295">
        <v>69.962112426999994</v>
      </c>
      <c r="E1295">
        <v>40</v>
      </c>
      <c r="F1295">
        <v>37.334011078000003</v>
      </c>
      <c r="G1295">
        <v>1386.371582</v>
      </c>
      <c r="H1295">
        <v>1371.0655518000001</v>
      </c>
      <c r="I1295">
        <v>1280.1571045000001</v>
      </c>
      <c r="J1295">
        <v>1257.0800781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1156.585527</v>
      </c>
      <c r="B1296" s="1">
        <f>DATE(2013,6,30) + TIME(14,3,9)</f>
        <v>41455.585520833331</v>
      </c>
      <c r="C1296">
        <v>70</v>
      </c>
      <c r="D1296">
        <v>69.962127686000002</v>
      </c>
      <c r="E1296">
        <v>40</v>
      </c>
      <c r="F1296">
        <v>37.278274535999998</v>
      </c>
      <c r="G1296">
        <v>1386.3035889</v>
      </c>
      <c r="H1296">
        <v>1371.0073242000001</v>
      </c>
      <c r="I1296">
        <v>1280.1202393000001</v>
      </c>
      <c r="J1296">
        <v>1257.0263672000001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1157</v>
      </c>
      <c r="B1297" s="1">
        <f>DATE(2013,7,1) + TIME(0,0,0)</f>
        <v>41456</v>
      </c>
      <c r="C1297">
        <v>70</v>
      </c>
      <c r="D1297">
        <v>69.962120056000003</v>
      </c>
      <c r="E1297">
        <v>40</v>
      </c>
      <c r="F1297">
        <v>37.248760222999998</v>
      </c>
      <c r="G1297">
        <v>1386.2358397999999</v>
      </c>
      <c r="H1297">
        <v>1370.9493408000001</v>
      </c>
      <c r="I1297">
        <v>1280.0797118999999</v>
      </c>
      <c r="J1297">
        <v>1256.9776611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1158.4280229999999</v>
      </c>
      <c r="B1298" s="1">
        <f>DATE(2013,7,2) + TIME(10,16,21)</f>
        <v>41457.428020833337</v>
      </c>
      <c r="C1298">
        <v>70</v>
      </c>
      <c r="D1298">
        <v>69.962142943999993</v>
      </c>
      <c r="E1298">
        <v>40</v>
      </c>
      <c r="F1298">
        <v>37.199405669999997</v>
      </c>
      <c r="G1298">
        <v>1386.2150879000001</v>
      </c>
      <c r="H1298">
        <v>1370.9313964999999</v>
      </c>
      <c r="I1298">
        <v>1280.0700684000001</v>
      </c>
      <c r="J1298">
        <v>1256.9511719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1159.908623</v>
      </c>
      <c r="B1299" s="1">
        <f>DATE(2013,7,3) + TIME(21,48,24)</f>
        <v>41458.90861111111</v>
      </c>
      <c r="C1299">
        <v>70</v>
      </c>
      <c r="D1299">
        <v>69.962165833</v>
      </c>
      <c r="E1299">
        <v>40</v>
      </c>
      <c r="F1299">
        <v>37.143535614000001</v>
      </c>
      <c r="G1299">
        <v>1386.1468506000001</v>
      </c>
      <c r="H1299">
        <v>1370.8728027</v>
      </c>
      <c r="I1299">
        <v>1280.0296631000001</v>
      </c>
      <c r="J1299">
        <v>1256.8929443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1161.3903130000001</v>
      </c>
      <c r="B1300" s="1">
        <f>DATE(2013,7,5) + TIME(9,22,3)</f>
        <v>41460.3903125</v>
      </c>
      <c r="C1300">
        <v>70</v>
      </c>
      <c r="D1300">
        <v>69.962181091000005</v>
      </c>
      <c r="E1300">
        <v>40</v>
      </c>
      <c r="F1300">
        <v>37.084449767999999</v>
      </c>
      <c r="G1300">
        <v>1386.0770264</v>
      </c>
      <c r="H1300">
        <v>1370.8127440999999</v>
      </c>
      <c r="I1300">
        <v>1279.9866943</v>
      </c>
      <c r="J1300">
        <v>1256.8304443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1162.8791490000001</v>
      </c>
      <c r="B1301" s="1">
        <f>DATE(2013,7,6) + TIME(21,5,58)</f>
        <v>41461.879143518519</v>
      </c>
      <c r="C1301">
        <v>70</v>
      </c>
      <c r="D1301">
        <v>69.962203978999995</v>
      </c>
      <c r="E1301">
        <v>40</v>
      </c>
      <c r="F1301">
        <v>37.023925781000003</v>
      </c>
      <c r="G1301">
        <v>1386.0081786999999</v>
      </c>
      <c r="H1301">
        <v>1370.7535399999999</v>
      </c>
      <c r="I1301">
        <v>1279.9429932</v>
      </c>
      <c r="J1301">
        <v>1256.7657471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1164.381306</v>
      </c>
      <c r="B1302" s="1">
        <f>DATE(2013,7,8) + TIME(9,9,4)</f>
        <v>41463.381296296298</v>
      </c>
      <c r="C1302">
        <v>70</v>
      </c>
      <c r="D1302">
        <v>69.962219238000003</v>
      </c>
      <c r="E1302">
        <v>40</v>
      </c>
      <c r="F1302">
        <v>36.962459564</v>
      </c>
      <c r="G1302">
        <v>1385.9401855000001</v>
      </c>
      <c r="H1302">
        <v>1370.6949463000001</v>
      </c>
      <c r="I1302">
        <v>1279.8980713000001</v>
      </c>
      <c r="J1302">
        <v>1256.6989745999999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1165.903309</v>
      </c>
      <c r="B1303" s="1">
        <f>DATE(2013,7,9) + TIME(21,40,45)</f>
        <v>41464.903298611112</v>
      </c>
      <c r="C1303">
        <v>70</v>
      </c>
      <c r="D1303">
        <v>69.962242126000007</v>
      </c>
      <c r="E1303">
        <v>40</v>
      </c>
      <c r="F1303">
        <v>36.900066375999998</v>
      </c>
      <c r="G1303">
        <v>1385.8726807</v>
      </c>
      <c r="H1303">
        <v>1370.6367187999999</v>
      </c>
      <c r="I1303">
        <v>1279.8519286999999</v>
      </c>
      <c r="J1303">
        <v>1256.6298827999999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1167.451767</v>
      </c>
      <c r="B1304" s="1">
        <f>DATE(2013,7,11) + TIME(10,50,32)</f>
        <v>41466.45175925926</v>
      </c>
      <c r="C1304">
        <v>70</v>
      </c>
      <c r="D1304">
        <v>69.962257385000001</v>
      </c>
      <c r="E1304">
        <v>40</v>
      </c>
      <c r="F1304">
        <v>36.836566925</v>
      </c>
      <c r="G1304">
        <v>1385.8052978999999</v>
      </c>
      <c r="H1304">
        <v>1370.5784911999999</v>
      </c>
      <c r="I1304">
        <v>1279.8041992000001</v>
      </c>
      <c r="J1304">
        <v>1256.5581055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1169.0331630000001</v>
      </c>
      <c r="B1305" s="1">
        <f>DATE(2013,7,13) + TIME(0,47,45)</f>
        <v>41468.033159722225</v>
      </c>
      <c r="C1305">
        <v>70</v>
      </c>
      <c r="D1305">
        <v>69.962280273000005</v>
      </c>
      <c r="E1305">
        <v>40</v>
      </c>
      <c r="F1305">
        <v>36.771717072000001</v>
      </c>
      <c r="G1305">
        <v>1385.737793</v>
      </c>
      <c r="H1305">
        <v>1370.5201416</v>
      </c>
      <c r="I1305">
        <v>1279.7547606999999</v>
      </c>
      <c r="J1305">
        <v>1256.4832764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1170.6549809999999</v>
      </c>
      <c r="B1306" s="1">
        <f>DATE(2013,7,14) + TIME(15,43,10)</f>
        <v>41469.654976851853</v>
      </c>
      <c r="C1306">
        <v>70</v>
      </c>
      <c r="D1306">
        <v>69.962303161999998</v>
      </c>
      <c r="E1306">
        <v>40</v>
      </c>
      <c r="F1306">
        <v>36.705238342000001</v>
      </c>
      <c r="G1306">
        <v>1385.6699219</v>
      </c>
      <c r="H1306">
        <v>1370.4614257999999</v>
      </c>
      <c r="I1306">
        <v>1279.7033690999999</v>
      </c>
      <c r="J1306">
        <v>1256.4050293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1172.3163030000001</v>
      </c>
      <c r="B1307" s="1">
        <f>DATE(2013,7,16) + TIME(7,35,28)</f>
        <v>41471.316296296296</v>
      </c>
      <c r="C1307">
        <v>70</v>
      </c>
      <c r="D1307">
        <v>69.962326050000001</v>
      </c>
      <c r="E1307">
        <v>40</v>
      </c>
      <c r="F1307">
        <v>36.636932373</v>
      </c>
      <c r="G1307">
        <v>1385.6014404</v>
      </c>
      <c r="H1307">
        <v>1370.4019774999999</v>
      </c>
      <c r="I1307">
        <v>1279.6495361</v>
      </c>
      <c r="J1307">
        <v>1256.322876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1173.9950739999999</v>
      </c>
      <c r="B1308" s="1">
        <f>DATE(2013,7,17) + TIME(23,52,54)</f>
        <v>41472.995069444441</v>
      </c>
      <c r="C1308">
        <v>70</v>
      </c>
      <c r="D1308">
        <v>69.962348938000005</v>
      </c>
      <c r="E1308">
        <v>40</v>
      </c>
      <c r="F1308">
        <v>36.567047119000001</v>
      </c>
      <c r="G1308">
        <v>1385.5322266000001</v>
      </c>
      <c r="H1308">
        <v>1370.3419189000001</v>
      </c>
      <c r="I1308">
        <v>1279.5933838000001</v>
      </c>
      <c r="J1308">
        <v>1256.2368164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1175.6807879999999</v>
      </c>
      <c r="B1309" s="1">
        <f>DATE(2013,7,19) + TIME(16,20,20)</f>
        <v>41474.680787037039</v>
      </c>
      <c r="C1309">
        <v>70</v>
      </c>
      <c r="D1309">
        <v>69.962371825999995</v>
      </c>
      <c r="E1309">
        <v>40</v>
      </c>
      <c r="F1309">
        <v>36.496105194000002</v>
      </c>
      <c r="G1309">
        <v>1385.463501</v>
      </c>
      <c r="H1309">
        <v>1370.2821045000001</v>
      </c>
      <c r="I1309">
        <v>1279.5356445</v>
      </c>
      <c r="J1309">
        <v>1256.1478271000001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1177.380412</v>
      </c>
      <c r="B1310" s="1">
        <f>DATE(2013,7,21) + TIME(9,7,47)</f>
        <v>41476.38040509259</v>
      </c>
      <c r="C1310">
        <v>70</v>
      </c>
      <c r="D1310">
        <v>69.962394713999998</v>
      </c>
      <c r="E1310">
        <v>40</v>
      </c>
      <c r="F1310">
        <v>36.424331664999997</v>
      </c>
      <c r="G1310">
        <v>1385.3953856999999</v>
      </c>
      <c r="H1310">
        <v>1370.2229004000001</v>
      </c>
      <c r="I1310">
        <v>1279.4765625</v>
      </c>
      <c r="J1310">
        <v>1256.0561522999999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1179.1010289999999</v>
      </c>
      <c r="B1311" s="1">
        <f>DATE(2013,7,23) + TIME(2,25,28)</f>
        <v>41478.101018518515</v>
      </c>
      <c r="C1311">
        <v>70</v>
      </c>
      <c r="D1311">
        <v>69.962425232000001</v>
      </c>
      <c r="E1311">
        <v>40</v>
      </c>
      <c r="F1311">
        <v>36.351615905999999</v>
      </c>
      <c r="G1311">
        <v>1385.3277588000001</v>
      </c>
      <c r="H1311">
        <v>1370.1639404</v>
      </c>
      <c r="I1311">
        <v>1279.4160156</v>
      </c>
      <c r="J1311">
        <v>1255.9616699000001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1180.850604</v>
      </c>
      <c r="B1312" s="1">
        <f>DATE(2013,7,24) + TIME(20,24,52)</f>
        <v>41479.850601851853</v>
      </c>
      <c r="C1312">
        <v>70</v>
      </c>
      <c r="D1312">
        <v>69.962448120000005</v>
      </c>
      <c r="E1312">
        <v>40</v>
      </c>
      <c r="F1312">
        <v>36.277721405000001</v>
      </c>
      <c r="G1312">
        <v>1385.2602539</v>
      </c>
      <c r="H1312">
        <v>1370.1051024999999</v>
      </c>
      <c r="I1312">
        <v>1279.3536377</v>
      </c>
      <c r="J1312">
        <v>1255.8638916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1182.635178</v>
      </c>
      <c r="B1313" s="1">
        <f>DATE(2013,7,26) + TIME(15,14,39)</f>
        <v>41481.63517361111</v>
      </c>
      <c r="C1313">
        <v>70</v>
      </c>
      <c r="D1313">
        <v>69.962471007999994</v>
      </c>
      <c r="E1313">
        <v>40</v>
      </c>
      <c r="F1313">
        <v>36.202377319</v>
      </c>
      <c r="G1313">
        <v>1385.1926269999999</v>
      </c>
      <c r="H1313">
        <v>1370.0460204999999</v>
      </c>
      <c r="I1313">
        <v>1279.2891846</v>
      </c>
      <c r="J1313">
        <v>1255.7624512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1184.4486489999999</v>
      </c>
      <c r="B1314" s="1">
        <f>DATE(2013,7,28) + TIME(10,46,3)</f>
        <v>41483.448645833334</v>
      </c>
      <c r="C1314">
        <v>70</v>
      </c>
      <c r="D1314">
        <v>69.962501525999997</v>
      </c>
      <c r="E1314">
        <v>40</v>
      </c>
      <c r="F1314">
        <v>36.125503539999997</v>
      </c>
      <c r="G1314">
        <v>1385.1246338000001</v>
      </c>
      <c r="H1314">
        <v>1369.9864502</v>
      </c>
      <c r="I1314">
        <v>1279.2225341999999</v>
      </c>
      <c r="J1314">
        <v>1255.6569824000001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1186.2990689999999</v>
      </c>
      <c r="B1315" s="1">
        <f>DATE(2013,7,30) + TIME(7,10,39)</f>
        <v>41485.299062500002</v>
      </c>
      <c r="C1315">
        <v>70</v>
      </c>
      <c r="D1315">
        <v>69.962532042999996</v>
      </c>
      <c r="E1315">
        <v>40</v>
      </c>
      <c r="F1315">
        <v>36.047069550000003</v>
      </c>
      <c r="G1315">
        <v>1385.0565185999999</v>
      </c>
      <c r="H1315">
        <v>1369.9267577999999</v>
      </c>
      <c r="I1315">
        <v>1279.1536865</v>
      </c>
      <c r="J1315">
        <v>1255.5476074000001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1188</v>
      </c>
      <c r="B1316" s="1">
        <f>DATE(2013,8,1) + TIME(0,0,0)</f>
        <v>41487</v>
      </c>
      <c r="C1316">
        <v>70</v>
      </c>
      <c r="D1316">
        <v>69.962554932000003</v>
      </c>
      <c r="E1316">
        <v>40</v>
      </c>
      <c r="F1316">
        <v>35.969680785999998</v>
      </c>
      <c r="G1316">
        <v>1384.9879149999999</v>
      </c>
      <c r="H1316">
        <v>1369.8665771000001</v>
      </c>
      <c r="I1316">
        <v>1279.0826416</v>
      </c>
      <c r="J1316">
        <v>1255.4350586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1189.8943850000001</v>
      </c>
      <c r="B1317" s="1">
        <f>DATE(2013,8,2) + TIME(21,27,54)</f>
        <v>41488.894375000003</v>
      </c>
      <c r="C1317">
        <v>70</v>
      </c>
      <c r="D1317">
        <v>69.962585449000002</v>
      </c>
      <c r="E1317">
        <v>40</v>
      </c>
      <c r="F1317">
        <v>35.891944885000001</v>
      </c>
      <c r="G1317">
        <v>1384.9256591999999</v>
      </c>
      <c r="H1317">
        <v>1369.8120117000001</v>
      </c>
      <c r="I1317">
        <v>1279.0159911999999</v>
      </c>
      <c r="J1317">
        <v>1255.3264160000001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1191.8115339999999</v>
      </c>
      <c r="B1318" s="1">
        <f>DATE(2013,8,4) + TIME(19,28,36)</f>
        <v>41490.811527777776</v>
      </c>
      <c r="C1318">
        <v>70</v>
      </c>
      <c r="D1318">
        <v>69.962615967000005</v>
      </c>
      <c r="E1318">
        <v>40</v>
      </c>
      <c r="F1318">
        <v>35.810894011999999</v>
      </c>
      <c r="G1318">
        <v>1384.8572998</v>
      </c>
      <c r="H1318">
        <v>1369.7518310999999</v>
      </c>
      <c r="I1318">
        <v>1278.9416504000001</v>
      </c>
      <c r="J1318">
        <v>1255.2067870999999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1193.7518600000001</v>
      </c>
      <c r="B1319" s="1">
        <f>DATE(2013,8,6) + TIME(18,2,40)</f>
        <v>41492.751851851855</v>
      </c>
      <c r="C1319">
        <v>70</v>
      </c>
      <c r="D1319">
        <v>69.962646484000004</v>
      </c>
      <c r="E1319">
        <v>40</v>
      </c>
      <c r="F1319">
        <v>35.728134154999999</v>
      </c>
      <c r="G1319">
        <v>1384.7890625</v>
      </c>
      <c r="H1319">
        <v>1369.6917725000001</v>
      </c>
      <c r="I1319">
        <v>1278.8652344</v>
      </c>
      <c r="J1319">
        <v>1255.0831298999999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1195.715735</v>
      </c>
      <c r="B1320" s="1">
        <f>DATE(2013,8,8) + TIME(17,10,39)</f>
        <v>41494.715729166666</v>
      </c>
      <c r="C1320">
        <v>70</v>
      </c>
      <c r="D1320">
        <v>69.962677002000007</v>
      </c>
      <c r="E1320">
        <v>40</v>
      </c>
      <c r="F1320">
        <v>35.644226074000002</v>
      </c>
      <c r="G1320">
        <v>1384.7208252</v>
      </c>
      <c r="H1320">
        <v>1369.6315918</v>
      </c>
      <c r="I1320">
        <v>1278.7872314000001</v>
      </c>
      <c r="J1320">
        <v>1254.9559326000001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1197.704945</v>
      </c>
      <c r="B1321" s="1">
        <f>DATE(2013,8,10) + TIME(16,55,7)</f>
        <v>41496.704942129632</v>
      </c>
      <c r="C1321">
        <v>70</v>
      </c>
      <c r="D1321">
        <v>69.962707519999995</v>
      </c>
      <c r="E1321">
        <v>40</v>
      </c>
      <c r="F1321">
        <v>35.559375762999998</v>
      </c>
      <c r="G1321">
        <v>1384.6527100000001</v>
      </c>
      <c r="H1321">
        <v>1369.5715332</v>
      </c>
      <c r="I1321">
        <v>1278.7073975000001</v>
      </c>
      <c r="J1321">
        <v>1254.8253173999999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1199.7277590000001</v>
      </c>
      <c r="B1322" s="1">
        <f>DATE(2013,8,12) + TIME(17,27,58)</f>
        <v>41498.727754629632</v>
      </c>
      <c r="C1322">
        <v>70</v>
      </c>
      <c r="D1322">
        <v>69.962738036999994</v>
      </c>
      <c r="E1322">
        <v>40</v>
      </c>
      <c r="F1322">
        <v>35.473587035999998</v>
      </c>
      <c r="G1322">
        <v>1384.5847168</v>
      </c>
      <c r="H1322">
        <v>1369.5113524999999</v>
      </c>
      <c r="I1322">
        <v>1278.6259766000001</v>
      </c>
      <c r="J1322">
        <v>1254.6911620999999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1201.7931779999999</v>
      </c>
      <c r="B1323" s="1">
        <f>DATE(2013,8,14) + TIME(19,2,10)</f>
        <v>41500.793171296296</v>
      </c>
      <c r="C1323">
        <v>70</v>
      </c>
      <c r="D1323">
        <v>69.962776184000006</v>
      </c>
      <c r="E1323">
        <v>40</v>
      </c>
      <c r="F1323">
        <v>35.386695862000003</v>
      </c>
      <c r="G1323">
        <v>1384.5163574000001</v>
      </c>
      <c r="H1323">
        <v>1369.4508057</v>
      </c>
      <c r="I1323">
        <v>1278.5427245999999</v>
      </c>
      <c r="J1323">
        <v>1254.5532227000001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1203.9098879999999</v>
      </c>
      <c r="B1324" s="1">
        <f>DATE(2013,8,16) + TIME(21,50,14)</f>
        <v>41502.909884259258</v>
      </c>
      <c r="C1324">
        <v>70</v>
      </c>
      <c r="D1324">
        <v>69.962806701999995</v>
      </c>
      <c r="E1324">
        <v>40</v>
      </c>
      <c r="F1324">
        <v>35.298500060999999</v>
      </c>
      <c r="G1324">
        <v>1384.4473877</v>
      </c>
      <c r="H1324">
        <v>1369.3896483999999</v>
      </c>
      <c r="I1324">
        <v>1278.4571533000001</v>
      </c>
      <c r="J1324">
        <v>1254.4108887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1206.0501509999999</v>
      </c>
      <c r="B1325" s="1">
        <f>DATE(2013,8,19) + TIME(1,12,13)</f>
        <v>41505.050150462965</v>
      </c>
      <c r="C1325">
        <v>70</v>
      </c>
      <c r="D1325">
        <v>69.962844849000007</v>
      </c>
      <c r="E1325">
        <v>40</v>
      </c>
      <c r="F1325">
        <v>35.209239959999998</v>
      </c>
      <c r="G1325">
        <v>1384.3776855000001</v>
      </c>
      <c r="H1325">
        <v>1369.3277588000001</v>
      </c>
      <c r="I1325">
        <v>1278.3692627</v>
      </c>
      <c r="J1325">
        <v>1254.2640381000001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1208.2076340000001</v>
      </c>
      <c r="B1326" s="1">
        <f>DATE(2013,8,21) + TIME(4,58,59)</f>
        <v>41507.207627314812</v>
      </c>
      <c r="C1326">
        <v>70</v>
      </c>
      <c r="D1326">
        <v>69.962882996000005</v>
      </c>
      <c r="E1326">
        <v>40</v>
      </c>
      <c r="F1326">
        <v>35.119689940999997</v>
      </c>
      <c r="G1326">
        <v>1384.3079834</v>
      </c>
      <c r="H1326">
        <v>1369.2657471</v>
      </c>
      <c r="I1326">
        <v>1278.2800293</v>
      </c>
      <c r="J1326">
        <v>1254.1142577999999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1210.379711</v>
      </c>
      <c r="B1327" s="1">
        <f>DATE(2013,8,23) + TIME(9,6,47)</f>
        <v>41509.379710648151</v>
      </c>
      <c r="C1327">
        <v>70</v>
      </c>
      <c r="D1327">
        <v>69.962913513000004</v>
      </c>
      <c r="E1327">
        <v>40</v>
      </c>
      <c r="F1327">
        <v>35.030361176</v>
      </c>
      <c r="G1327">
        <v>1384.2386475000001</v>
      </c>
      <c r="H1327">
        <v>1369.2041016000001</v>
      </c>
      <c r="I1327">
        <v>1278.1900635</v>
      </c>
      <c r="J1327">
        <v>1253.9621582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1212.574789</v>
      </c>
      <c r="B1328" s="1">
        <f>DATE(2013,8,25) + TIME(13,47,41)</f>
        <v>41511.574780092589</v>
      </c>
      <c r="C1328">
        <v>70</v>
      </c>
      <c r="D1328">
        <v>69.962951660000002</v>
      </c>
      <c r="E1328">
        <v>40</v>
      </c>
      <c r="F1328">
        <v>34.941505432</v>
      </c>
      <c r="G1328">
        <v>1384.1696777</v>
      </c>
      <c r="H1328">
        <v>1369.1425781</v>
      </c>
      <c r="I1328">
        <v>1278.0994873</v>
      </c>
      <c r="J1328">
        <v>1253.8083495999999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1214.8015680000001</v>
      </c>
      <c r="B1329" s="1">
        <f>DATE(2013,8,27) + TIME(19,14,15)</f>
        <v>41513.801562499997</v>
      </c>
      <c r="C1329">
        <v>70</v>
      </c>
      <c r="D1329">
        <v>69.962989807</v>
      </c>
      <c r="E1329">
        <v>40</v>
      </c>
      <c r="F1329">
        <v>34.853122710999997</v>
      </c>
      <c r="G1329">
        <v>1384.1007079999999</v>
      </c>
      <c r="H1329">
        <v>1369.0810547000001</v>
      </c>
      <c r="I1329">
        <v>1278.0083007999999</v>
      </c>
      <c r="J1329">
        <v>1253.6525879000001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1217.069506</v>
      </c>
      <c r="B1330" s="1">
        <f>DATE(2013,8,30) + TIME(1,40,5)</f>
        <v>41516.069502314815</v>
      </c>
      <c r="C1330">
        <v>70</v>
      </c>
      <c r="D1330">
        <v>69.963027953999998</v>
      </c>
      <c r="E1330">
        <v>40</v>
      </c>
      <c r="F1330">
        <v>34.765140533</v>
      </c>
      <c r="G1330">
        <v>1384.0316161999999</v>
      </c>
      <c r="H1330">
        <v>1369.0192870999999</v>
      </c>
      <c r="I1330">
        <v>1277.9162598</v>
      </c>
      <c r="J1330">
        <v>1253.4945068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1219</v>
      </c>
      <c r="B1331" s="1">
        <f>DATE(2013,9,1) + TIME(0,0,0)</f>
        <v>41518</v>
      </c>
      <c r="C1331">
        <v>70</v>
      </c>
      <c r="D1331">
        <v>69.963058472</v>
      </c>
      <c r="E1331">
        <v>40</v>
      </c>
      <c r="F1331">
        <v>34.682109832999998</v>
      </c>
      <c r="G1331">
        <v>1383.9620361</v>
      </c>
      <c r="H1331">
        <v>1368.9569091999999</v>
      </c>
      <c r="I1331">
        <v>1277.8237305</v>
      </c>
      <c r="J1331">
        <v>1253.3369141000001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1221.3193550000001</v>
      </c>
      <c r="B1332" s="1">
        <f>DATE(2013,9,3) + TIME(7,39,52)</f>
        <v>41520.319351851853</v>
      </c>
      <c r="C1332">
        <v>70</v>
      </c>
      <c r="D1332">
        <v>69.963096618999998</v>
      </c>
      <c r="E1332">
        <v>40</v>
      </c>
      <c r="F1332">
        <v>34.602523804</v>
      </c>
      <c r="G1332">
        <v>1383.9034423999999</v>
      </c>
      <c r="H1332">
        <v>1368.9042969</v>
      </c>
      <c r="I1332">
        <v>1277.7437743999999</v>
      </c>
      <c r="J1332">
        <v>1253.1948242000001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1223.7148340000001</v>
      </c>
      <c r="B1333" s="1">
        <f>DATE(2013,9,5) + TIME(17,9,21)</f>
        <v>41522.714826388888</v>
      </c>
      <c r="C1333">
        <v>70</v>
      </c>
      <c r="D1333">
        <v>69.963142395000006</v>
      </c>
      <c r="E1333">
        <v>40</v>
      </c>
      <c r="F1333">
        <v>34.518920897999998</v>
      </c>
      <c r="G1333">
        <v>1383.8338623</v>
      </c>
      <c r="H1333">
        <v>1368.8417969</v>
      </c>
      <c r="I1333">
        <v>1277.6511230000001</v>
      </c>
      <c r="J1333">
        <v>1253.0338135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1226.121549</v>
      </c>
      <c r="B1334" s="1">
        <f>DATE(2013,9,8) + TIME(2,55,1)</f>
        <v>41525.121539351851</v>
      </c>
      <c r="C1334">
        <v>70</v>
      </c>
      <c r="D1334">
        <v>69.963180542000003</v>
      </c>
      <c r="E1334">
        <v>40</v>
      </c>
      <c r="F1334">
        <v>34.435054778999998</v>
      </c>
      <c r="G1334">
        <v>1383.7626952999999</v>
      </c>
      <c r="H1334">
        <v>1368.777832</v>
      </c>
      <c r="I1334">
        <v>1277.5563964999999</v>
      </c>
      <c r="J1334">
        <v>1252.8680420000001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1228.547838</v>
      </c>
      <c r="B1335" s="1">
        <f>DATE(2013,9,10) + TIME(13,8,53)</f>
        <v>41527.547835648147</v>
      </c>
      <c r="C1335">
        <v>70</v>
      </c>
      <c r="D1335">
        <v>69.963218689000001</v>
      </c>
      <c r="E1335">
        <v>40</v>
      </c>
      <c r="F1335">
        <v>34.353302002</v>
      </c>
      <c r="G1335">
        <v>1383.6918945</v>
      </c>
      <c r="H1335">
        <v>1368.7141113</v>
      </c>
      <c r="I1335">
        <v>1277.4625243999999</v>
      </c>
      <c r="J1335">
        <v>1252.7026367000001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1231.003164</v>
      </c>
      <c r="B1336" s="1">
        <f>DATE(2013,9,13) + TIME(0,4,33)</f>
        <v>41530.003159722219</v>
      </c>
      <c r="C1336">
        <v>70</v>
      </c>
      <c r="D1336">
        <v>69.963264464999995</v>
      </c>
      <c r="E1336">
        <v>40</v>
      </c>
      <c r="F1336">
        <v>34.274402618000003</v>
      </c>
      <c r="G1336">
        <v>1383.6213379000001</v>
      </c>
      <c r="H1336">
        <v>1368.6505127</v>
      </c>
      <c r="I1336">
        <v>1277.3698730000001</v>
      </c>
      <c r="J1336">
        <v>1252.5380858999999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1233.4974239999999</v>
      </c>
      <c r="B1337" s="1">
        <f>DATE(2013,9,15) + TIME(11,56,17)</f>
        <v>41532.497418981482</v>
      </c>
      <c r="C1337">
        <v>70</v>
      </c>
      <c r="D1337">
        <v>69.963310242000006</v>
      </c>
      <c r="E1337">
        <v>40</v>
      </c>
      <c r="F1337">
        <v>34.198715210000003</v>
      </c>
      <c r="G1337">
        <v>1383.5506591999999</v>
      </c>
      <c r="H1337">
        <v>1368.5866699000001</v>
      </c>
      <c r="I1337">
        <v>1277.2781981999999</v>
      </c>
      <c r="J1337">
        <v>1252.3746338000001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1236.0414410000001</v>
      </c>
      <c r="B1338" s="1">
        <f>DATE(2013,9,18) + TIME(0,59,40)</f>
        <v>41535.041435185187</v>
      </c>
      <c r="C1338">
        <v>70</v>
      </c>
      <c r="D1338">
        <v>69.963348389000004</v>
      </c>
      <c r="E1338">
        <v>40</v>
      </c>
      <c r="F1338">
        <v>34.126548767000003</v>
      </c>
      <c r="G1338">
        <v>1383.4797363</v>
      </c>
      <c r="H1338">
        <v>1368.5224608999999</v>
      </c>
      <c r="I1338">
        <v>1277.1877440999999</v>
      </c>
      <c r="J1338">
        <v>1252.2121582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1238.623069</v>
      </c>
      <c r="B1339" s="1">
        <f>DATE(2013,9,20) + TIME(14,57,13)</f>
        <v>41537.623067129629</v>
      </c>
      <c r="C1339">
        <v>70</v>
      </c>
      <c r="D1339">
        <v>69.963394164999997</v>
      </c>
      <c r="E1339">
        <v>40</v>
      </c>
      <c r="F1339">
        <v>34.058467864999997</v>
      </c>
      <c r="G1339">
        <v>1383.4079589999999</v>
      </c>
      <c r="H1339">
        <v>1368.4575195</v>
      </c>
      <c r="I1339">
        <v>1277.0985106999999</v>
      </c>
      <c r="J1339">
        <v>1252.0510254000001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1241.234964</v>
      </c>
      <c r="B1340" s="1">
        <f>DATE(2013,9,23) + TIME(5,38,20)</f>
        <v>41540.234953703701</v>
      </c>
      <c r="C1340">
        <v>70</v>
      </c>
      <c r="D1340">
        <v>69.963439941000004</v>
      </c>
      <c r="E1340">
        <v>40</v>
      </c>
      <c r="F1340">
        <v>33.99539566</v>
      </c>
      <c r="G1340">
        <v>1383.3359375</v>
      </c>
      <c r="H1340">
        <v>1368.3920897999999</v>
      </c>
      <c r="I1340">
        <v>1277.0113524999999</v>
      </c>
      <c r="J1340">
        <v>1251.8925781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1243.866485</v>
      </c>
      <c r="B1341" s="1">
        <f>DATE(2013,9,25) + TIME(20,47,44)</f>
        <v>41542.866481481484</v>
      </c>
      <c r="C1341">
        <v>70</v>
      </c>
      <c r="D1341">
        <v>69.963485718000001</v>
      </c>
      <c r="E1341">
        <v>40</v>
      </c>
      <c r="F1341">
        <v>33.938297272</v>
      </c>
      <c r="G1341">
        <v>1383.2637939000001</v>
      </c>
      <c r="H1341">
        <v>1368.3265381000001</v>
      </c>
      <c r="I1341">
        <v>1276.9267577999999</v>
      </c>
      <c r="J1341">
        <v>1251.7381591999999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1246.545883</v>
      </c>
      <c r="B1342" s="1">
        <f>DATE(2013,9,28) + TIME(13,6,4)</f>
        <v>41545.54587962963</v>
      </c>
      <c r="C1342">
        <v>70</v>
      </c>
      <c r="D1342">
        <v>69.963531493999994</v>
      </c>
      <c r="E1342">
        <v>40</v>
      </c>
      <c r="F1342">
        <v>33.887969970999997</v>
      </c>
      <c r="G1342">
        <v>1383.1917725000001</v>
      </c>
      <c r="H1342">
        <v>1368.2611084</v>
      </c>
      <c r="I1342">
        <v>1276.8457031</v>
      </c>
      <c r="J1342">
        <v>1251.5889893000001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1249</v>
      </c>
      <c r="B1343" s="1">
        <f>DATE(2013,10,1) + TIME(0,0,0)</f>
        <v>41548</v>
      </c>
      <c r="C1343">
        <v>70</v>
      </c>
      <c r="D1343">
        <v>69.963569641000007</v>
      </c>
      <c r="E1343">
        <v>40</v>
      </c>
      <c r="F1343">
        <v>33.846172332999998</v>
      </c>
      <c r="G1343">
        <v>1383.1191406</v>
      </c>
      <c r="H1343">
        <v>1368.1949463000001</v>
      </c>
      <c r="I1343">
        <v>1276.7683105000001</v>
      </c>
      <c r="J1343">
        <v>1251.4465332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1251.7248070000001</v>
      </c>
      <c r="B1344" s="1">
        <f>DATE(2013,10,3) + TIME(17,23,43)</f>
        <v>41550.724803240744</v>
      </c>
      <c r="C1344">
        <v>70</v>
      </c>
      <c r="D1344">
        <v>69.963623046999999</v>
      </c>
      <c r="E1344">
        <v>40</v>
      </c>
      <c r="F1344">
        <v>33.813297272</v>
      </c>
      <c r="G1344">
        <v>1383.0532227000001</v>
      </c>
      <c r="H1344">
        <v>1368.1347656</v>
      </c>
      <c r="I1344">
        <v>1276.7000731999999</v>
      </c>
      <c r="J1344">
        <v>1251.3192139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1254.505801</v>
      </c>
      <c r="B1345" s="1">
        <f>DATE(2013,10,6) + TIME(12,8,21)</f>
        <v>41553.505798611113</v>
      </c>
      <c r="C1345">
        <v>70</v>
      </c>
      <c r="D1345">
        <v>69.963668823000006</v>
      </c>
      <c r="E1345">
        <v>40</v>
      </c>
      <c r="F1345">
        <v>33.788097381999997</v>
      </c>
      <c r="G1345">
        <v>1382.9808350000001</v>
      </c>
      <c r="H1345">
        <v>1368.0686035000001</v>
      </c>
      <c r="I1345">
        <v>1276.6311035000001</v>
      </c>
      <c r="J1345">
        <v>1251.1906738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1257.3043110000001</v>
      </c>
      <c r="B1346" s="1">
        <f>DATE(2013,10,9) + TIME(7,18,12)</f>
        <v>41556.304305555554</v>
      </c>
      <c r="C1346">
        <v>70</v>
      </c>
      <c r="D1346">
        <v>69.963714600000003</v>
      </c>
      <c r="E1346">
        <v>40</v>
      </c>
      <c r="F1346">
        <v>33.772808075</v>
      </c>
      <c r="G1346">
        <v>1382.9074707</v>
      </c>
      <c r="H1346">
        <v>1368.0015868999999</v>
      </c>
      <c r="I1346">
        <v>1276.5661620999999</v>
      </c>
      <c r="J1346">
        <v>1251.0690918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1260.1359</v>
      </c>
      <c r="B1347" s="1">
        <f>DATE(2013,10,12) + TIME(3,15,41)</f>
        <v>41559.135891203703</v>
      </c>
      <c r="C1347">
        <v>70</v>
      </c>
      <c r="D1347">
        <v>69.963768005000006</v>
      </c>
      <c r="E1347">
        <v>40</v>
      </c>
      <c r="F1347">
        <v>33.768825530999997</v>
      </c>
      <c r="G1347">
        <v>1382.8344727000001</v>
      </c>
      <c r="H1347">
        <v>1367.9346923999999</v>
      </c>
      <c r="I1347">
        <v>1276.5067139</v>
      </c>
      <c r="J1347">
        <v>1250.9576416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1263.0143499999999</v>
      </c>
      <c r="B1348" s="1">
        <f>DATE(2013,10,15) + TIME(0,20,39)</f>
        <v>41562.014340277776</v>
      </c>
      <c r="C1348">
        <v>70</v>
      </c>
      <c r="D1348">
        <v>69.963813782000003</v>
      </c>
      <c r="E1348">
        <v>40</v>
      </c>
      <c r="F1348">
        <v>33.777198792</v>
      </c>
      <c r="G1348">
        <v>1382.7613524999999</v>
      </c>
      <c r="H1348">
        <v>1367.8675536999999</v>
      </c>
      <c r="I1348">
        <v>1276.4528809000001</v>
      </c>
      <c r="J1348">
        <v>1250.8566894999999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1265.9169710000001</v>
      </c>
      <c r="B1349" s="1">
        <f>DATE(2013,10,17) + TIME(22,0,26)</f>
        <v>41564.916967592595</v>
      </c>
      <c r="C1349">
        <v>70</v>
      </c>
      <c r="D1349">
        <v>69.963867187999995</v>
      </c>
      <c r="E1349">
        <v>40</v>
      </c>
      <c r="F1349">
        <v>33.798969268999997</v>
      </c>
      <c r="G1349">
        <v>1382.6877440999999</v>
      </c>
      <c r="H1349">
        <v>1367.7999268000001</v>
      </c>
      <c r="I1349">
        <v>1276.4051514</v>
      </c>
      <c r="J1349">
        <v>1250.7673339999999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1268.8559479999999</v>
      </c>
      <c r="B1350" s="1">
        <f>DATE(2013,10,20) + TIME(20,32,33)</f>
        <v>41567.855937499997</v>
      </c>
      <c r="C1350">
        <v>70</v>
      </c>
      <c r="D1350">
        <v>69.963912964000002</v>
      </c>
      <c r="E1350">
        <v>40</v>
      </c>
      <c r="F1350">
        <v>33.835002899000003</v>
      </c>
      <c r="G1350">
        <v>1382.6142577999999</v>
      </c>
      <c r="H1350">
        <v>1367.7324219</v>
      </c>
      <c r="I1350">
        <v>1276.3641356999999</v>
      </c>
      <c r="J1350">
        <v>1250.6907959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1271.8177760000001</v>
      </c>
      <c r="B1351" s="1">
        <f>DATE(2013,10,23) + TIME(19,37,35)</f>
        <v>41570.817766203705</v>
      </c>
      <c r="C1351">
        <v>70</v>
      </c>
      <c r="D1351">
        <v>69.963966369999994</v>
      </c>
      <c r="E1351">
        <v>40</v>
      </c>
      <c r="F1351">
        <v>33.886173247999999</v>
      </c>
      <c r="G1351">
        <v>1382.5406493999999</v>
      </c>
      <c r="H1351">
        <v>1367.6645507999999</v>
      </c>
      <c r="I1351">
        <v>1276.3298339999999</v>
      </c>
      <c r="J1351">
        <v>1250.6279297000001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1274.8187479999999</v>
      </c>
      <c r="B1352" s="1">
        <f>DATE(2013,10,26) + TIME(19,38,59)</f>
        <v>41573.818738425929</v>
      </c>
      <c r="C1352">
        <v>70</v>
      </c>
      <c r="D1352">
        <v>69.964019774999997</v>
      </c>
      <c r="E1352">
        <v>40</v>
      </c>
      <c r="F1352">
        <v>33.953056334999999</v>
      </c>
      <c r="G1352">
        <v>1382.4672852000001</v>
      </c>
      <c r="H1352">
        <v>1367.5969238</v>
      </c>
      <c r="I1352">
        <v>1276.3027344</v>
      </c>
      <c r="J1352">
        <v>1250.5793457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1277.849375</v>
      </c>
      <c r="B1353" s="1">
        <f>DATE(2013,10,29) + TIME(20,23,6)</f>
        <v>41576.849374999998</v>
      </c>
      <c r="C1353">
        <v>70</v>
      </c>
      <c r="D1353">
        <v>69.964065551999994</v>
      </c>
      <c r="E1353">
        <v>40</v>
      </c>
      <c r="F1353">
        <v>34.036281586000001</v>
      </c>
      <c r="G1353">
        <v>1382.3939209</v>
      </c>
      <c r="H1353">
        <v>1367.5291748</v>
      </c>
      <c r="I1353">
        <v>1276.2828368999999</v>
      </c>
      <c r="J1353">
        <v>1250.5456543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1280</v>
      </c>
      <c r="B1354" s="1">
        <f>DATE(2013,11,1) + TIME(0,0,0)</f>
        <v>41579</v>
      </c>
      <c r="C1354">
        <v>70</v>
      </c>
      <c r="D1354">
        <v>69.964103699000006</v>
      </c>
      <c r="E1354">
        <v>40</v>
      </c>
      <c r="F1354">
        <v>34.127643585000001</v>
      </c>
      <c r="G1354">
        <v>1382.3205565999999</v>
      </c>
      <c r="H1354">
        <v>1367.4614257999999</v>
      </c>
      <c r="I1354">
        <v>1276.2736815999999</v>
      </c>
      <c r="J1354">
        <v>1250.5284423999999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1280.0000010000001</v>
      </c>
      <c r="B1355" s="1">
        <f>DATE(2013,11,1) + TIME(0,0,0)</f>
        <v>41579</v>
      </c>
      <c r="C1355">
        <v>70</v>
      </c>
      <c r="D1355">
        <v>69.963981627999999</v>
      </c>
      <c r="E1355">
        <v>40</v>
      </c>
      <c r="F1355">
        <v>34.127754211000003</v>
      </c>
      <c r="G1355">
        <v>1366.5886230000001</v>
      </c>
      <c r="H1355">
        <v>1352.7834473</v>
      </c>
      <c r="I1355">
        <v>1302.8060303</v>
      </c>
      <c r="J1355">
        <v>1277.1580810999999</v>
      </c>
      <c r="K1355">
        <v>0</v>
      </c>
      <c r="L1355">
        <v>2400</v>
      </c>
      <c r="M1355">
        <v>2400</v>
      </c>
      <c r="N1355">
        <v>0</v>
      </c>
    </row>
    <row r="1356" spans="1:14" x14ac:dyDescent="0.25">
      <c r="A1356">
        <v>1280.000004</v>
      </c>
      <c r="B1356" s="1">
        <f>DATE(2013,11,1) + TIME(0,0,0)</f>
        <v>41579</v>
      </c>
      <c r="C1356">
        <v>70</v>
      </c>
      <c r="D1356">
        <v>69.963676453000005</v>
      </c>
      <c r="E1356">
        <v>40</v>
      </c>
      <c r="F1356">
        <v>34.128055572999997</v>
      </c>
      <c r="G1356">
        <v>1364.3428954999999</v>
      </c>
      <c r="H1356">
        <v>1350.5371094</v>
      </c>
      <c r="I1356">
        <v>1305.2171631000001</v>
      </c>
      <c r="J1356">
        <v>1279.5845947</v>
      </c>
      <c r="K1356">
        <v>0</v>
      </c>
      <c r="L1356">
        <v>2400</v>
      </c>
      <c r="M1356">
        <v>2400</v>
      </c>
      <c r="N1356">
        <v>0</v>
      </c>
    </row>
    <row r="1357" spans="1:14" x14ac:dyDescent="0.25">
      <c r="A1357">
        <v>1280.0000130000001</v>
      </c>
      <c r="B1357" s="1">
        <f>DATE(2013,11,1) + TIME(0,0,1)</f>
        <v>41579.000011574077</v>
      </c>
      <c r="C1357">
        <v>70</v>
      </c>
      <c r="D1357">
        <v>69.963027953999998</v>
      </c>
      <c r="E1357">
        <v>40</v>
      </c>
      <c r="F1357">
        <v>34.128791808999999</v>
      </c>
      <c r="G1357">
        <v>1359.6530762</v>
      </c>
      <c r="H1357">
        <v>1345.8465576000001</v>
      </c>
      <c r="I1357">
        <v>1310.9680175999999</v>
      </c>
      <c r="J1357">
        <v>1285.3693848</v>
      </c>
      <c r="K1357">
        <v>0</v>
      </c>
      <c r="L1357">
        <v>2400</v>
      </c>
      <c r="M1357">
        <v>2400</v>
      </c>
      <c r="N1357">
        <v>0</v>
      </c>
    </row>
    <row r="1358" spans="1:14" x14ac:dyDescent="0.25">
      <c r="A1358">
        <v>1280.0000399999999</v>
      </c>
      <c r="B1358" s="1">
        <f>DATE(2013,11,1) + TIME(0,0,3)</f>
        <v>41579.000034722223</v>
      </c>
      <c r="C1358">
        <v>70</v>
      </c>
      <c r="D1358">
        <v>69.962051392000006</v>
      </c>
      <c r="E1358">
        <v>40</v>
      </c>
      <c r="F1358">
        <v>34.130218505999999</v>
      </c>
      <c r="G1358">
        <v>1352.5207519999999</v>
      </c>
      <c r="H1358">
        <v>1338.7145995999999</v>
      </c>
      <c r="I1358">
        <v>1321.515625</v>
      </c>
      <c r="J1358">
        <v>1295.9620361</v>
      </c>
      <c r="K1358">
        <v>0</v>
      </c>
      <c r="L1358">
        <v>2400</v>
      </c>
      <c r="M1358">
        <v>2400</v>
      </c>
      <c r="N1358">
        <v>0</v>
      </c>
    </row>
    <row r="1359" spans="1:14" x14ac:dyDescent="0.25">
      <c r="A1359">
        <v>1280.000121</v>
      </c>
      <c r="B1359" s="1">
        <f>DATE(2013,11,1) + TIME(0,0,10)</f>
        <v>41579.000115740739</v>
      </c>
      <c r="C1359">
        <v>70</v>
      </c>
      <c r="D1359">
        <v>69.960922241000006</v>
      </c>
      <c r="E1359">
        <v>40</v>
      </c>
      <c r="F1359">
        <v>34.132392883000001</v>
      </c>
      <c r="G1359">
        <v>1344.380249</v>
      </c>
      <c r="H1359">
        <v>1330.5799560999999</v>
      </c>
      <c r="I1359">
        <v>1335.4139404</v>
      </c>
      <c r="J1359">
        <v>1309.8859863</v>
      </c>
      <c r="K1359">
        <v>0</v>
      </c>
      <c r="L1359">
        <v>2400</v>
      </c>
      <c r="M1359">
        <v>2400</v>
      </c>
      <c r="N1359">
        <v>0</v>
      </c>
    </row>
    <row r="1360" spans="1:14" x14ac:dyDescent="0.25">
      <c r="A1360">
        <v>1280.000364</v>
      </c>
      <c r="B1360" s="1">
        <f>DATE(2013,11,1) + TIME(0,0,31)</f>
        <v>41579.000358796293</v>
      </c>
      <c r="C1360">
        <v>70</v>
      </c>
      <c r="D1360">
        <v>69.959762573000006</v>
      </c>
      <c r="E1360">
        <v>40</v>
      </c>
      <c r="F1360">
        <v>34.135791779000002</v>
      </c>
      <c r="G1360">
        <v>1336.1552733999999</v>
      </c>
      <c r="H1360">
        <v>1322.3631591999999</v>
      </c>
      <c r="I1360">
        <v>1350.2397461</v>
      </c>
      <c r="J1360">
        <v>1324.7424315999999</v>
      </c>
      <c r="K1360">
        <v>0</v>
      </c>
      <c r="L1360">
        <v>2400</v>
      </c>
      <c r="M1360">
        <v>2400</v>
      </c>
      <c r="N1360">
        <v>0</v>
      </c>
    </row>
    <row r="1361" spans="1:14" x14ac:dyDescent="0.25">
      <c r="A1361">
        <v>1280.0010930000001</v>
      </c>
      <c r="B1361" s="1">
        <f>DATE(2013,11,1) + TIME(0,1,34)</f>
        <v>41579.001087962963</v>
      </c>
      <c r="C1361">
        <v>70</v>
      </c>
      <c r="D1361">
        <v>69.958511353000006</v>
      </c>
      <c r="E1361">
        <v>40</v>
      </c>
      <c r="F1361">
        <v>34.142539978000002</v>
      </c>
      <c r="G1361">
        <v>1327.9091797000001</v>
      </c>
      <c r="H1361">
        <v>1314.1116943</v>
      </c>
      <c r="I1361">
        <v>1365.2545166</v>
      </c>
      <c r="J1361">
        <v>1339.7819824000001</v>
      </c>
      <c r="K1361">
        <v>0</v>
      </c>
      <c r="L1361">
        <v>2400</v>
      </c>
      <c r="M1361">
        <v>2400</v>
      </c>
      <c r="N1361">
        <v>0</v>
      </c>
    </row>
    <row r="1362" spans="1:14" x14ac:dyDescent="0.25">
      <c r="A1362">
        <v>1280.0032799999999</v>
      </c>
      <c r="B1362" s="1">
        <f>DATE(2013,11,1) + TIME(0,4,43)</f>
        <v>41579.003275462965</v>
      </c>
      <c r="C1362">
        <v>70</v>
      </c>
      <c r="D1362">
        <v>69.956985474000007</v>
      </c>
      <c r="E1362">
        <v>40</v>
      </c>
      <c r="F1362">
        <v>34.159271240000002</v>
      </c>
      <c r="G1362">
        <v>1319.4249268000001</v>
      </c>
      <c r="H1362">
        <v>1305.5554199000001</v>
      </c>
      <c r="I1362">
        <v>1380.40625</v>
      </c>
      <c r="J1362">
        <v>1354.9082031</v>
      </c>
      <c r="K1362">
        <v>0</v>
      </c>
      <c r="L1362">
        <v>2400</v>
      </c>
      <c r="M1362">
        <v>2400</v>
      </c>
      <c r="N1362">
        <v>0</v>
      </c>
    </row>
    <row r="1363" spans="1:14" x14ac:dyDescent="0.25">
      <c r="A1363">
        <v>1280.0098410000001</v>
      </c>
      <c r="B1363" s="1">
        <f>DATE(2013,11,1) + TIME(0,14,10)</f>
        <v>41579.009837962964</v>
      </c>
      <c r="C1363">
        <v>70</v>
      </c>
      <c r="D1363">
        <v>69.954711914000001</v>
      </c>
      <c r="E1363">
        <v>40</v>
      </c>
      <c r="F1363">
        <v>34.205654144</v>
      </c>
      <c r="G1363">
        <v>1310.8278809000001</v>
      </c>
      <c r="H1363">
        <v>1296.84375</v>
      </c>
      <c r="I1363">
        <v>1394.5587158000001</v>
      </c>
      <c r="J1363">
        <v>1368.9794922000001</v>
      </c>
      <c r="K1363">
        <v>0</v>
      </c>
      <c r="L1363">
        <v>2400</v>
      </c>
      <c r="M1363">
        <v>2400</v>
      </c>
      <c r="N1363">
        <v>0</v>
      </c>
    </row>
    <row r="1364" spans="1:14" x14ac:dyDescent="0.25">
      <c r="A1364">
        <v>1280.029524</v>
      </c>
      <c r="B1364" s="1">
        <f>DATE(2013,11,1) + TIME(0,42,30)</f>
        <v>41579.029513888891</v>
      </c>
      <c r="C1364">
        <v>70</v>
      </c>
      <c r="D1364">
        <v>69.950477599999999</v>
      </c>
      <c r="E1364">
        <v>40</v>
      </c>
      <c r="F1364">
        <v>34.338565826</v>
      </c>
      <c r="G1364">
        <v>1303.6431885</v>
      </c>
      <c r="H1364">
        <v>1289.5924072</v>
      </c>
      <c r="I1364">
        <v>1404.8304443</v>
      </c>
      <c r="J1364">
        <v>1379.2073975000001</v>
      </c>
      <c r="K1364">
        <v>0</v>
      </c>
      <c r="L1364">
        <v>2400</v>
      </c>
      <c r="M1364">
        <v>2400</v>
      </c>
      <c r="N1364">
        <v>0</v>
      </c>
    </row>
    <row r="1365" spans="1:14" x14ac:dyDescent="0.25">
      <c r="A1365">
        <v>1280.088573</v>
      </c>
      <c r="B1365" s="1">
        <f>DATE(2013,11,1) + TIME(2,7,32)</f>
        <v>41579.088564814818</v>
      </c>
      <c r="C1365">
        <v>70</v>
      </c>
      <c r="D1365">
        <v>69.940673828000001</v>
      </c>
      <c r="E1365">
        <v>40</v>
      </c>
      <c r="F1365">
        <v>34.709270476999997</v>
      </c>
      <c r="G1365">
        <v>1299.8481445</v>
      </c>
      <c r="H1365">
        <v>1285.7763672000001</v>
      </c>
      <c r="I1365">
        <v>1409.0662841999999</v>
      </c>
      <c r="J1365">
        <v>1383.5644531</v>
      </c>
      <c r="K1365">
        <v>0</v>
      </c>
      <c r="L1365">
        <v>2400</v>
      </c>
      <c r="M1365">
        <v>2400</v>
      </c>
      <c r="N1365">
        <v>0</v>
      </c>
    </row>
    <row r="1366" spans="1:14" x14ac:dyDescent="0.25">
      <c r="A1366">
        <v>1280.1746330000001</v>
      </c>
      <c r="B1366" s="1">
        <f>DATE(2013,11,1) + TIME(4,11,28)</f>
        <v>41579.174629629626</v>
      </c>
      <c r="C1366">
        <v>70</v>
      </c>
      <c r="D1366">
        <v>69.927619934000006</v>
      </c>
      <c r="E1366">
        <v>40</v>
      </c>
      <c r="F1366">
        <v>35.199539184999999</v>
      </c>
      <c r="G1366">
        <v>1298.9566649999999</v>
      </c>
      <c r="H1366">
        <v>1284.8804932</v>
      </c>
      <c r="I1366">
        <v>1409.4755858999999</v>
      </c>
      <c r="J1366">
        <v>1384.1839600000001</v>
      </c>
      <c r="K1366">
        <v>0</v>
      </c>
      <c r="L1366">
        <v>2400</v>
      </c>
      <c r="M1366">
        <v>2400</v>
      </c>
      <c r="N1366">
        <v>0</v>
      </c>
    </row>
    <row r="1367" spans="1:14" x14ac:dyDescent="0.25">
      <c r="A1367">
        <v>1280.2678269999999</v>
      </c>
      <c r="B1367" s="1">
        <f>DATE(2013,11,1) + TIME(6,25,40)</f>
        <v>41579.267824074072</v>
      </c>
      <c r="C1367">
        <v>70</v>
      </c>
      <c r="D1367">
        <v>69.914001464999998</v>
      </c>
      <c r="E1367">
        <v>40</v>
      </c>
      <c r="F1367">
        <v>35.677986144999998</v>
      </c>
      <c r="G1367">
        <v>1298.7845459</v>
      </c>
      <c r="H1367">
        <v>1284.7070312000001</v>
      </c>
      <c r="I1367">
        <v>1409.2044678</v>
      </c>
      <c r="J1367">
        <v>1384.1199951000001</v>
      </c>
      <c r="K1367">
        <v>0</v>
      </c>
      <c r="L1367">
        <v>2400</v>
      </c>
      <c r="M1367">
        <v>2400</v>
      </c>
      <c r="N1367">
        <v>0</v>
      </c>
    </row>
    <row r="1368" spans="1:14" x14ac:dyDescent="0.25">
      <c r="A1368">
        <v>1280.369377</v>
      </c>
      <c r="B1368" s="1">
        <f>DATE(2013,11,1) + TIME(8,51,54)</f>
        <v>41579.369375000002</v>
      </c>
      <c r="C1368">
        <v>70</v>
      </c>
      <c r="D1368">
        <v>69.899642943999993</v>
      </c>
      <c r="E1368">
        <v>40</v>
      </c>
      <c r="F1368">
        <v>36.143566131999997</v>
      </c>
      <c r="G1368">
        <v>1298.7460937999999</v>
      </c>
      <c r="H1368">
        <v>1284.6678466999999</v>
      </c>
      <c r="I1368">
        <v>1408.8658447</v>
      </c>
      <c r="J1368">
        <v>1383.9810791</v>
      </c>
      <c r="K1368">
        <v>0</v>
      </c>
      <c r="L1368">
        <v>2400</v>
      </c>
      <c r="M1368">
        <v>2400</v>
      </c>
      <c r="N1368">
        <v>0</v>
      </c>
    </row>
    <row r="1369" spans="1:14" x14ac:dyDescent="0.25">
      <c r="A1369">
        <v>1280.480986</v>
      </c>
      <c r="B1369" s="1">
        <f>DATE(2013,11,1) + TIME(11,32,37)</f>
        <v>41579.480983796297</v>
      </c>
      <c r="C1369">
        <v>70</v>
      </c>
      <c r="D1369">
        <v>69.884368895999998</v>
      </c>
      <c r="E1369">
        <v>40</v>
      </c>
      <c r="F1369">
        <v>36.595569611000002</v>
      </c>
      <c r="G1369">
        <v>1298.7344971</v>
      </c>
      <c r="H1369">
        <v>1284.6552733999999</v>
      </c>
      <c r="I1369">
        <v>1408.5343018000001</v>
      </c>
      <c r="J1369">
        <v>1383.8410644999999</v>
      </c>
      <c r="K1369">
        <v>0</v>
      </c>
      <c r="L1369">
        <v>2400</v>
      </c>
      <c r="M1369">
        <v>2400</v>
      </c>
      <c r="N1369">
        <v>0</v>
      </c>
    </row>
    <row r="1370" spans="1:14" x14ac:dyDescent="0.25">
      <c r="A1370">
        <v>1280.6049390000001</v>
      </c>
      <c r="B1370" s="1">
        <f>DATE(2013,11,1) + TIME(14,31,6)</f>
        <v>41579.604930555557</v>
      </c>
      <c r="C1370">
        <v>70</v>
      </c>
      <c r="D1370">
        <v>69.867973328000005</v>
      </c>
      <c r="E1370">
        <v>40</v>
      </c>
      <c r="F1370">
        <v>37.033164978000002</v>
      </c>
      <c r="G1370">
        <v>1298.7281493999999</v>
      </c>
      <c r="H1370">
        <v>1284.6480713000001</v>
      </c>
      <c r="I1370">
        <v>1408.2149658000001</v>
      </c>
      <c r="J1370">
        <v>1383.7047118999999</v>
      </c>
      <c r="K1370">
        <v>0</v>
      </c>
      <c r="L1370">
        <v>2400</v>
      </c>
      <c r="M1370">
        <v>2400</v>
      </c>
      <c r="N1370">
        <v>0</v>
      </c>
    </row>
    <row r="1371" spans="1:14" x14ac:dyDescent="0.25">
      <c r="A1371">
        <v>1280.7443330000001</v>
      </c>
      <c r="B1371" s="1">
        <f>DATE(2013,11,1) + TIME(17,51,50)</f>
        <v>41579.744328703702</v>
      </c>
      <c r="C1371">
        <v>70</v>
      </c>
      <c r="D1371">
        <v>69.850189209000007</v>
      </c>
      <c r="E1371">
        <v>40</v>
      </c>
      <c r="F1371">
        <v>37.455223083</v>
      </c>
      <c r="G1371">
        <v>1298.7226562000001</v>
      </c>
      <c r="H1371">
        <v>1284.6417236</v>
      </c>
      <c r="I1371">
        <v>1407.9066161999999</v>
      </c>
      <c r="J1371">
        <v>1383.5706786999999</v>
      </c>
      <c r="K1371">
        <v>0</v>
      </c>
      <c r="L1371">
        <v>2400</v>
      </c>
      <c r="M1371">
        <v>2400</v>
      </c>
      <c r="N1371">
        <v>0</v>
      </c>
    </row>
    <row r="1372" spans="1:14" x14ac:dyDescent="0.25">
      <c r="A1372">
        <v>1280.9035249999999</v>
      </c>
      <c r="B1372" s="1">
        <f>DATE(2013,11,1) + TIME(21,41,4)</f>
        <v>41579.90351851852</v>
      </c>
      <c r="C1372">
        <v>70</v>
      </c>
      <c r="D1372">
        <v>69.830650329999997</v>
      </c>
      <c r="E1372">
        <v>40</v>
      </c>
      <c r="F1372">
        <v>37.860229492000002</v>
      </c>
      <c r="G1372">
        <v>1298.7169189000001</v>
      </c>
      <c r="H1372">
        <v>1284.6348877</v>
      </c>
      <c r="I1372">
        <v>1407.6081543</v>
      </c>
      <c r="J1372">
        <v>1383.4379882999999</v>
      </c>
      <c r="K1372">
        <v>0</v>
      </c>
      <c r="L1372">
        <v>2400</v>
      </c>
      <c r="M1372">
        <v>2400</v>
      </c>
      <c r="N1372">
        <v>0</v>
      </c>
    </row>
    <row r="1373" spans="1:14" x14ac:dyDescent="0.25">
      <c r="A1373">
        <v>1281.0888789999999</v>
      </c>
      <c r="B1373" s="1">
        <f>DATE(2013,11,2) + TIME(2,7,59)</f>
        <v>41580.088877314818</v>
      </c>
      <c r="C1373">
        <v>70</v>
      </c>
      <c r="D1373">
        <v>69.808830260999997</v>
      </c>
      <c r="E1373">
        <v>40</v>
      </c>
      <c r="F1373">
        <v>38.246154785000002</v>
      </c>
      <c r="G1373">
        <v>1298.7104492000001</v>
      </c>
      <c r="H1373">
        <v>1284.6271973</v>
      </c>
      <c r="I1373">
        <v>1407.3193358999999</v>
      </c>
      <c r="J1373">
        <v>1383.3055420000001</v>
      </c>
      <c r="K1373">
        <v>0</v>
      </c>
      <c r="L1373">
        <v>2400</v>
      </c>
      <c r="M1373">
        <v>2400</v>
      </c>
      <c r="N1373">
        <v>0</v>
      </c>
    </row>
    <row r="1374" spans="1:14" x14ac:dyDescent="0.25">
      <c r="A1374">
        <v>1281.3101469999999</v>
      </c>
      <c r="B1374" s="1">
        <f>DATE(2013,11,2) + TIME(7,26,36)</f>
        <v>41580.31013888889</v>
      </c>
      <c r="C1374">
        <v>70</v>
      </c>
      <c r="D1374">
        <v>69.783966063999998</v>
      </c>
      <c r="E1374">
        <v>40</v>
      </c>
      <c r="F1374">
        <v>38.610198975000003</v>
      </c>
      <c r="G1374">
        <v>1298.7028809000001</v>
      </c>
      <c r="H1374">
        <v>1284.6182861</v>
      </c>
      <c r="I1374">
        <v>1407.0399170000001</v>
      </c>
      <c r="J1374">
        <v>1383.1726074000001</v>
      </c>
      <c r="K1374">
        <v>0</v>
      </c>
      <c r="L1374">
        <v>2400</v>
      </c>
      <c r="M1374">
        <v>2400</v>
      </c>
      <c r="N1374">
        <v>0</v>
      </c>
    </row>
    <row r="1375" spans="1:14" x14ac:dyDescent="0.25">
      <c r="A1375">
        <v>1281.5832109999999</v>
      </c>
      <c r="B1375" s="1">
        <f>DATE(2013,11,2) + TIME(13,59,49)</f>
        <v>41580.58320601852</v>
      </c>
      <c r="C1375">
        <v>70</v>
      </c>
      <c r="D1375">
        <v>69.754890442000004</v>
      </c>
      <c r="E1375">
        <v>40</v>
      </c>
      <c r="F1375">
        <v>38.948425293</v>
      </c>
      <c r="G1375">
        <v>1298.6938477000001</v>
      </c>
      <c r="H1375">
        <v>1284.6077881000001</v>
      </c>
      <c r="I1375">
        <v>1406.7697754000001</v>
      </c>
      <c r="J1375">
        <v>1383.0380858999999</v>
      </c>
      <c r="K1375">
        <v>0</v>
      </c>
      <c r="L1375">
        <v>2400</v>
      </c>
      <c r="M1375">
        <v>2400</v>
      </c>
      <c r="N1375">
        <v>0</v>
      </c>
    </row>
    <row r="1376" spans="1:14" x14ac:dyDescent="0.25">
      <c r="A1376">
        <v>1281.906332</v>
      </c>
      <c r="B1376" s="1">
        <f>DATE(2013,11,2) + TIME(21,45,7)</f>
        <v>41580.906331018516</v>
      </c>
      <c r="C1376">
        <v>70</v>
      </c>
      <c r="D1376">
        <v>69.721847534000005</v>
      </c>
      <c r="E1376">
        <v>40</v>
      </c>
      <c r="F1376">
        <v>39.236579894999998</v>
      </c>
      <c r="G1376">
        <v>1298.6828613</v>
      </c>
      <c r="H1376">
        <v>1284.5950928</v>
      </c>
      <c r="I1376">
        <v>1406.5225829999999</v>
      </c>
      <c r="J1376">
        <v>1382.9060059000001</v>
      </c>
      <c r="K1376">
        <v>0</v>
      </c>
      <c r="L1376">
        <v>2400</v>
      </c>
      <c r="M1376">
        <v>2400</v>
      </c>
      <c r="N1376">
        <v>0</v>
      </c>
    </row>
    <row r="1377" spans="1:14" x14ac:dyDescent="0.25">
      <c r="A1377">
        <v>1282.2346930000001</v>
      </c>
      <c r="B1377" s="1">
        <f>DATE(2013,11,3) + TIME(5,37,57)</f>
        <v>41581.2346875</v>
      </c>
      <c r="C1377">
        <v>70</v>
      </c>
      <c r="D1377">
        <v>69.687988281000003</v>
      </c>
      <c r="E1377">
        <v>40</v>
      </c>
      <c r="F1377">
        <v>39.446418762</v>
      </c>
      <c r="G1377">
        <v>1298.6695557</v>
      </c>
      <c r="H1377">
        <v>1284.5803223</v>
      </c>
      <c r="I1377">
        <v>1406.3187256000001</v>
      </c>
      <c r="J1377">
        <v>1382.7858887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1282.583218</v>
      </c>
      <c r="B1378" s="1">
        <f>DATE(2013,11,3) + TIME(13,59,50)</f>
        <v>41581.58321759259</v>
      </c>
      <c r="C1378">
        <v>70</v>
      </c>
      <c r="D1378">
        <v>69.652397156000006</v>
      </c>
      <c r="E1378">
        <v>40</v>
      </c>
      <c r="F1378">
        <v>39.603290557999998</v>
      </c>
      <c r="G1378">
        <v>1298.65625</v>
      </c>
      <c r="H1378">
        <v>1284.5653076000001</v>
      </c>
      <c r="I1378">
        <v>1406.1485596</v>
      </c>
      <c r="J1378">
        <v>1382.6795654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1282.9593600000001</v>
      </c>
      <c r="B1379" s="1">
        <f>DATE(2013,11,3) + TIME(23,1,28)</f>
        <v>41581.959351851852</v>
      </c>
      <c r="C1379">
        <v>70</v>
      </c>
      <c r="D1379">
        <v>69.614593506000006</v>
      </c>
      <c r="E1379">
        <v>40</v>
      </c>
      <c r="F1379">
        <v>39.719837189000003</v>
      </c>
      <c r="G1379">
        <v>1298.6422118999999</v>
      </c>
      <c r="H1379">
        <v>1284.5494385</v>
      </c>
      <c r="I1379">
        <v>1406.0024414</v>
      </c>
      <c r="J1379">
        <v>1382.5820312000001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1283.373668</v>
      </c>
      <c r="B1380" s="1">
        <f>DATE(2013,11,4) + TIME(8,58,4)</f>
        <v>41582.373657407406</v>
      </c>
      <c r="C1380">
        <v>70</v>
      </c>
      <c r="D1380">
        <v>69.573852539000001</v>
      </c>
      <c r="E1380">
        <v>40</v>
      </c>
      <c r="F1380">
        <v>39.805545807000001</v>
      </c>
      <c r="G1380">
        <v>1298.6271973</v>
      </c>
      <c r="H1380">
        <v>1284.5323486</v>
      </c>
      <c r="I1380">
        <v>1405.8739014</v>
      </c>
      <c r="J1380">
        <v>1382.4904785000001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1283.833437</v>
      </c>
      <c r="B1381" s="1">
        <f>DATE(2013,11,4) + TIME(20,0,8)</f>
        <v>41582.833425925928</v>
      </c>
      <c r="C1381">
        <v>70</v>
      </c>
      <c r="D1381">
        <v>69.529647827000005</v>
      </c>
      <c r="E1381">
        <v>40</v>
      </c>
      <c r="F1381">
        <v>39.866882324000002</v>
      </c>
      <c r="G1381">
        <v>1298.6107178</v>
      </c>
      <c r="H1381">
        <v>1284.5136719</v>
      </c>
      <c r="I1381">
        <v>1405.7581786999999</v>
      </c>
      <c r="J1381">
        <v>1382.402832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1284.348473</v>
      </c>
      <c r="B1382" s="1">
        <f>DATE(2013,11,5) + TIME(8,21,48)</f>
        <v>41583.34847222222</v>
      </c>
      <c r="C1382">
        <v>70</v>
      </c>
      <c r="D1382">
        <v>69.481292725000003</v>
      </c>
      <c r="E1382">
        <v>40</v>
      </c>
      <c r="F1382">
        <v>39.909450530999997</v>
      </c>
      <c r="G1382">
        <v>1298.5925293</v>
      </c>
      <c r="H1382">
        <v>1284.4931641000001</v>
      </c>
      <c r="I1382">
        <v>1405.6514893000001</v>
      </c>
      <c r="J1382">
        <v>1382.3176269999999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1284.939069</v>
      </c>
      <c r="B1383" s="1">
        <f>DATE(2013,11,5) + TIME(22,32,15)</f>
        <v>41583.939062500001</v>
      </c>
      <c r="C1383">
        <v>70</v>
      </c>
      <c r="D1383">
        <v>69.427490234000004</v>
      </c>
      <c r="E1383">
        <v>40</v>
      </c>
      <c r="F1383">
        <v>39.938175201</v>
      </c>
      <c r="G1383">
        <v>1298.5723877</v>
      </c>
      <c r="H1383">
        <v>1284.4702147999999</v>
      </c>
      <c r="I1383">
        <v>1405.5509033000001</v>
      </c>
      <c r="J1383">
        <v>1382.2336425999999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1285.6199039999999</v>
      </c>
      <c r="B1384" s="1">
        <f>DATE(2013,11,6) + TIME(14,52,39)</f>
        <v>41584.619895833333</v>
      </c>
      <c r="C1384">
        <v>70</v>
      </c>
      <c r="D1384">
        <v>69.367172241000006</v>
      </c>
      <c r="E1384">
        <v>40</v>
      </c>
      <c r="F1384">
        <v>39.956592559999997</v>
      </c>
      <c r="G1384">
        <v>1298.5491943</v>
      </c>
      <c r="H1384">
        <v>1284.4440918</v>
      </c>
      <c r="I1384">
        <v>1405.4527588000001</v>
      </c>
      <c r="J1384">
        <v>1382.1485596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1286.3053930000001</v>
      </c>
      <c r="B1385" s="1">
        <f>DATE(2013,11,7) + TIME(7,19,45)</f>
        <v>41585.305381944447</v>
      </c>
      <c r="C1385">
        <v>70</v>
      </c>
      <c r="D1385">
        <v>69.303977966000005</v>
      </c>
      <c r="E1385">
        <v>40</v>
      </c>
      <c r="F1385">
        <v>39.966930388999998</v>
      </c>
      <c r="G1385">
        <v>1298.5223389</v>
      </c>
      <c r="H1385">
        <v>1284.4144286999999</v>
      </c>
      <c r="I1385">
        <v>1405.3557129000001</v>
      </c>
      <c r="J1385">
        <v>1382.0623779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1287.0153419999999</v>
      </c>
      <c r="B1386" s="1">
        <f>DATE(2013,11,8) + TIME(0,22,5)</f>
        <v>41586.015335648146</v>
      </c>
      <c r="C1386">
        <v>70</v>
      </c>
      <c r="D1386">
        <v>69.238403320000003</v>
      </c>
      <c r="E1386">
        <v>40</v>
      </c>
      <c r="F1386">
        <v>39.972850800000003</v>
      </c>
      <c r="G1386">
        <v>1298.4956055</v>
      </c>
      <c r="H1386">
        <v>1284.3843993999999</v>
      </c>
      <c r="I1386">
        <v>1405.2698975000001</v>
      </c>
      <c r="J1386">
        <v>1381.9853516000001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1287.7693489999999</v>
      </c>
      <c r="B1387" s="1">
        <f>DATE(2013,11,8) + TIME(18,27,51)</f>
        <v>41586.76934027778</v>
      </c>
      <c r="C1387">
        <v>70</v>
      </c>
      <c r="D1387">
        <v>69.169937133999994</v>
      </c>
      <c r="E1387">
        <v>40</v>
      </c>
      <c r="F1387">
        <v>39.976272582999997</v>
      </c>
      <c r="G1387">
        <v>1298.4680175999999</v>
      </c>
      <c r="H1387">
        <v>1284.3532714999999</v>
      </c>
      <c r="I1387">
        <v>1405.1906738</v>
      </c>
      <c r="J1387">
        <v>1381.9139404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1288.5880199999999</v>
      </c>
      <c r="B1388" s="1">
        <f>DATE(2013,11,9) + TIME(14,6,44)</f>
        <v>41587.588009259256</v>
      </c>
      <c r="C1388">
        <v>70</v>
      </c>
      <c r="D1388">
        <v>69.097541809000006</v>
      </c>
      <c r="E1388">
        <v>40</v>
      </c>
      <c r="F1388">
        <v>39.978252411</v>
      </c>
      <c r="G1388">
        <v>1298.4388428</v>
      </c>
      <c r="H1388">
        <v>1284.3203125</v>
      </c>
      <c r="I1388">
        <v>1405.1148682</v>
      </c>
      <c r="J1388">
        <v>1381.8455810999999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1289.497271</v>
      </c>
      <c r="B1389" s="1">
        <f>DATE(2013,11,10) + TIME(11,56,4)</f>
        <v>41588.49726851852</v>
      </c>
      <c r="C1389">
        <v>70</v>
      </c>
      <c r="D1389">
        <v>69.019706725999995</v>
      </c>
      <c r="E1389">
        <v>40</v>
      </c>
      <c r="F1389">
        <v>39.979389191000003</v>
      </c>
      <c r="G1389">
        <v>1298.4072266000001</v>
      </c>
      <c r="H1389">
        <v>1284.2845459</v>
      </c>
      <c r="I1389">
        <v>1405.0405272999999</v>
      </c>
      <c r="J1389">
        <v>1381.7785644999999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1290.515762</v>
      </c>
      <c r="B1390" s="1">
        <f>DATE(2013,11,11) + TIME(12,22,41)</f>
        <v>41589.515752314815</v>
      </c>
      <c r="C1390">
        <v>70</v>
      </c>
      <c r="D1390">
        <v>68.934982300000001</v>
      </c>
      <c r="E1390">
        <v>40</v>
      </c>
      <c r="F1390">
        <v>39.980033874999997</v>
      </c>
      <c r="G1390">
        <v>1298.3721923999999</v>
      </c>
      <c r="H1390">
        <v>1284.2449951000001</v>
      </c>
      <c r="I1390">
        <v>1404.9654541</v>
      </c>
      <c r="J1390">
        <v>1381.7111815999999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1291.602858</v>
      </c>
      <c r="B1391" s="1">
        <f>DATE(2013,11,12) + TIME(14,28,6)</f>
        <v>41590.602847222224</v>
      </c>
      <c r="C1391">
        <v>70</v>
      </c>
      <c r="D1391">
        <v>68.844062804999993</v>
      </c>
      <c r="E1391">
        <v>40</v>
      </c>
      <c r="F1391">
        <v>39.980381012000002</v>
      </c>
      <c r="G1391">
        <v>1298.3327637</v>
      </c>
      <c r="H1391">
        <v>1284.2008057</v>
      </c>
      <c r="I1391">
        <v>1404.8892822</v>
      </c>
      <c r="J1391">
        <v>1381.6428223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1292.7130299999999</v>
      </c>
      <c r="B1392" s="1">
        <f>DATE(2013,11,13) + TIME(17,6,45)</f>
        <v>41591.713020833333</v>
      </c>
      <c r="C1392">
        <v>70</v>
      </c>
      <c r="D1392">
        <v>68.749420165999993</v>
      </c>
      <c r="E1392">
        <v>40</v>
      </c>
      <c r="F1392">
        <v>39.980567932</v>
      </c>
      <c r="G1392">
        <v>1298.2906493999999</v>
      </c>
      <c r="H1392">
        <v>1284.1535644999999</v>
      </c>
      <c r="I1392">
        <v>1404.8154297000001</v>
      </c>
      <c r="J1392">
        <v>1381.5770264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1293.8665430000001</v>
      </c>
      <c r="B1393" s="1">
        <f>DATE(2013,11,14) + TIME(20,47,49)</f>
        <v>41592.866539351853</v>
      </c>
      <c r="C1393">
        <v>70</v>
      </c>
      <c r="D1393">
        <v>68.652084350999999</v>
      </c>
      <c r="E1393">
        <v>40</v>
      </c>
      <c r="F1393">
        <v>39.980674743999998</v>
      </c>
      <c r="G1393">
        <v>1298.2475586</v>
      </c>
      <c r="H1393">
        <v>1284.1051024999999</v>
      </c>
      <c r="I1393">
        <v>1404.7468262</v>
      </c>
      <c r="J1393">
        <v>1381.5159911999999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1295.0941780000001</v>
      </c>
      <c r="B1394" s="1">
        <f>DATE(2013,11,16) + TIME(2,15,36)</f>
        <v>41594.094166666669</v>
      </c>
      <c r="C1394">
        <v>70</v>
      </c>
      <c r="D1394">
        <v>68.551261901999993</v>
      </c>
      <c r="E1394">
        <v>40</v>
      </c>
      <c r="F1394">
        <v>39.980743408000002</v>
      </c>
      <c r="G1394">
        <v>1298.2028809000001</v>
      </c>
      <c r="H1394">
        <v>1284.0545654</v>
      </c>
      <c r="I1394">
        <v>1404.6815185999999</v>
      </c>
      <c r="J1394">
        <v>1381.4582519999999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1296.4309450000001</v>
      </c>
      <c r="B1395" s="1">
        <f>DATE(2013,11,17) + TIME(10,20,33)</f>
        <v>41595.430937500001</v>
      </c>
      <c r="C1395">
        <v>70</v>
      </c>
      <c r="D1395">
        <v>68.445175171000002</v>
      </c>
      <c r="E1395">
        <v>40</v>
      </c>
      <c r="F1395">
        <v>39.98078537</v>
      </c>
      <c r="G1395">
        <v>1298.1552733999999</v>
      </c>
      <c r="H1395">
        <v>1284.0004882999999</v>
      </c>
      <c r="I1395">
        <v>1404.6174315999999</v>
      </c>
      <c r="J1395">
        <v>1381.4018555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1297.9227780000001</v>
      </c>
      <c r="B1396" s="1">
        <f>DATE(2013,11,18) + TIME(22,8,47)</f>
        <v>41596.922766203701</v>
      </c>
      <c r="C1396">
        <v>70</v>
      </c>
      <c r="D1396">
        <v>68.331321716000005</v>
      </c>
      <c r="E1396">
        <v>40</v>
      </c>
      <c r="F1396">
        <v>39.980819701999998</v>
      </c>
      <c r="G1396">
        <v>1298.1031493999999</v>
      </c>
      <c r="H1396">
        <v>1283.9414062000001</v>
      </c>
      <c r="I1396">
        <v>1404.5532227000001</v>
      </c>
      <c r="J1396">
        <v>1381.3453368999999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1299.4645169999999</v>
      </c>
      <c r="B1397" s="1">
        <f>DATE(2013,11,20) + TIME(11,8,54)</f>
        <v>41598.464513888888</v>
      </c>
      <c r="C1397">
        <v>70</v>
      </c>
      <c r="D1397">
        <v>68.210739136000001</v>
      </c>
      <c r="E1397">
        <v>40</v>
      </c>
      <c r="F1397">
        <v>39.980846405000001</v>
      </c>
      <c r="G1397">
        <v>1298.0444336</v>
      </c>
      <c r="H1397">
        <v>1283.8752440999999</v>
      </c>
      <c r="I1397">
        <v>1404.4870605000001</v>
      </c>
      <c r="J1397">
        <v>1381.2873535000001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1301.039473</v>
      </c>
      <c r="B1398" s="1">
        <f>DATE(2013,11,22) + TIME(0,56,50)</f>
        <v>41600.039467592593</v>
      </c>
      <c r="C1398">
        <v>70</v>
      </c>
      <c r="D1398">
        <v>68.086914062000005</v>
      </c>
      <c r="E1398">
        <v>40</v>
      </c>
      <c r="F1398">
        <v>39.980869292999998</v>
      </c>
      <c r="G1398">
        <v>1297.9833983999999</v>
      </c>
      <c r="H1398">
        <v>1283.8061522999999</v>
      </c>
      <c r="I1398">
        <v>1404.4240723</v>
      </c>
      <c r="J1398">
        <v>1381.2324219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1302.690599</v>
      </c>
      <c r="B1399" s="1">
        <f>DATE(2013,11,23) + TIME(16,34,27)</f>
        <v>41601.69059027778</v>
      </c>
      <c r="C1399">
        <v>70</v>
      </c>
      <c r="D1399">
        <v>67.960426330999994</v>
      </c>
      <c r="E1399">
        <v>40</v>
      </c>
      <c r="F1399">
        <v>39.980892181000002</v>
      </c>
      <c r="G1399">
        <v>1297.9206543</v>
      </c>
      <c r="H1399">
        <v>1283.7346190999999</v>
      </c>
      <c r="I1399">
        <v>1404.364624</v>
      </c>
      <c r="J1399">
        <v>1381.1806641000001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1304.463528</v>
      </c>
      <c r="B1400" s="1">
        <f>DATE(2013,11,25) + TIME(11,7,28)</f>
        <v>41603.463518518518</v>
      </c>
      <c r="C1400">
        <v>70</v>
      </c>
      <c r="D1400">
        <v>67.829437256000006</v>
      </c>
      <c r="E1400">
        <v>40</v>
      </c>
      <c r="F1400">
        <v>39.980915070000002</v>
      </c>
      <c r="G1400">
        <v>1297.8542480000001</v>
      </c>
      <c r="H1400">
        <v>1283.6586914</v>
      </c>
      <c r="I1400">
        <v>1404.3066406</v>
      </c>
      <c r="J1400">
        <v>1381.1303711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1306.405827</v>
      </c>
      <c r="B1401" s="1">
        <f>DATE(2013,11,27) + TIME(9,44,23)</f>
        <v>41605.405821759261</v>
      </c>
      <c r="C1401">
        <v>70</v>
      </c>
      <c r="D1401">
        <v>67.691246032999999</v>
      </c>
      <c r="E1401">
        <v>40</v>
      </c>
      <c r="F1401">
        <v>39.980941772000001</v>
      </c>
      <c r="G1401">
        <v>1297.7822266000001</v>
      </c>
      <c r="H1401">
        <v>1283.5761719</v>
      </c>
      <c r="I1401">
        <v>1404.2487793</v>
      </c>
      <c r="J1401">
        <v>1381.0802002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1308.458261</v>
      </c>
      <c r="B1402" s="1">
        <f>DATE(2013,11,29) + TIME(10,59,53)</f>
        <v>41607.458252314813</v>
      </c>
      <c r="C1402">
        <v>70</v>
      </c>
      <c r="D1402">
        <v>67.545089722</v>
      </c>
      <c r="E1402">
        <v>40</v>
      </c>
      <c r="F1402">
        <v>39.980968474999997</v>
      </c>
      <c r="G1402">
        <v>1297.7021483999999</v>
      </c>
      <c r="H1402">
        <v>1283.4844971</v>
      </c>
      <c r="I1402">
        <v>1404.1898193</v>
      </c>
      <c r="J1402">
        <v>1381.0291748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1310</v>
      </c>
      <c r="B1403" s="1">
        <f>DATE(2013,12,1) + TIME(0,0,0)</f>
        <v>41609</v>
      </c>
      <c r="C1403">
        <v>70</v>
      </c>
      <c r="D1403">
        <v>67.408378600999995</v>
      </c>
      <c r="E1403">
        <v>40</v>
      </c>
      <c r="F1403">
        <v>39.980987548999998</v>
      </c>
      <c r="G1403">
        <v>1297.6152344</v>
      </c>
      <c r="H1403">
        <v>1283.3864745999999</v>
      </c>
      <c r="I1403">
        <v>1404.1315918</v>
      </c>
      <c r="J1403">
        <v>1380.9788818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1312.078831</v>
      </c>
      <c r="B1404" s="1">
        <f>DATE(2013,12,3) + TIME(1,53,30)</f>
        <v>41611.078819444447</v>
      </c>
      <c r="C1404">
        <v>70</v>
      </c>
      <c r="D1404">
        <v>67.275161742999998</v>
      </c>
      <c r="E1404">
        <v>40</v>
      </c>
      <c r="F1404">
        <v>39.981014252000001</v>
      </c>
      <c r="G1404">
        <v>1297.5501709</v>
      </c>
      <c r="H1404">
        <v>1283.3082274999999</v>
      </c>
      <c r="I1404">
        <v>1404.0909423999999</v>
      </c>
      <c r="J1404">
        <v>1380.9439697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1314.3395089999999</v>
      </c>
      <c r="B1405" s="1">
        <f>DATE(2013,12,5) + TIME(8,8,53)</f>
        <v>41613.339502314811</v>
      </c>
      <c r="C1405">
        <v>70</v>
      </c>
      <c r="D1405">
        <v>67.127326964999995</v>
      </c>
      <c r="E1405">
        <v>40</v>
      </c>
      <c r="F1405">
        <v>39.981044769</v>
      </c>
      <c r="G1405">
        <v>1297.4604492000001</v>
      </c>
      <c r="H1405">
        <v>1283.2043457</v>
      </c>
      <c r="I1405">
        <v>1404.0388184000001</v>
      </c>
      <c r="J1405">
        <v>1380.8990478999999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1316.6800840000001</v>
      </c>
      <c r="B1406" s="1">
        <f>DATE(2013,12,7) + TIME(16,19,19)</f>
        <v>41615.680081018516</v>
      </c>
      <c r="C1406">
        <v>70</v>
      </c>
      <c r="D1406">
        <v>66.969856261999993</v>
      </c>
      <c r="E1406">
        <v>40</v>
      </c>
      <c r="F1406">
        <v>39.981075287000003</v>
      </c>
      <c r="G1406">
        <v>1297.3607178</v>
      </c>
      <c r="H1406">
        <v>1283.0882568</v>
      </c>
      <c r="I1406">
        <v>1403.9854736</v>
      </c>
      <c r="J1406">
        <v>1380.8531493999999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1319.0838389999999</v>
      </c>
      <c r="B1407" s="1">
        <f>DATE(2013,12,10) + TIME(2,0,43)</f>
        <v>41618.083831018521</v>
      </c>
      <c r="C1407">
        <v>70</v>
      </c>
      <c r="D1407">
        <v>66.808090210000003</v>
      </c>
      <c r="E1407">
        <v>40</v>
      </c>
      <c r="F1407">
        <v>39.981105804000002</v>
      </c>
      <c r="G1407">
        <v>1297.2548827999999</v>
      </c>
      <c r="H1407">
        <v>1282.9639893000001</v>
      </c>
      <c r="I1407">
        <v>1403.9337158000001</v>
      </c>
      <c r="J1407">
        <v>1380.8085937999999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1321.522338</v>
      </c>
      <c r="B1408" s="1">
        <f>DATE(2013,12,12) + TIME(12,32,10)</f>
        <v>41620.522337962961</v>
      </c>
      <c r="C1408">
        <v>70</v>
      </c>
      <c r="D1408">
        <v>66.644607543999996</v>
      </c>
      <c r="E1408">
        <v>40</v>
      </c>
      <c r="F1408">
        <v>39.981136321999998</v>
      </c>
      <c r="G1408">
        <v>1297.1434326000001</v>
      </c>
      <c r="H1408">
        <v>1282.8322754000001</v>
      </c>
      <c r="I1408">
        <v>1403.8835449000001</v>
      </c>
      <c r="J1408">
        <v>1380.765625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1323.993475</v>
      </c>
      <c r="B1409" s="1">
        <f>DATE(2013,12,14) + TIME(23,50,36)</f>
        <v>41622.993472222224</v>
      </c>
      <c r="C1409">
        <v>70</v>
      </c>
      <c r="D1409">
        <v>66.481025696000003</v>
      </c>
      <c r="E1409">
        <v>40</v>
      </c>
      <c r="F1409">
        <v>39.981170654000003</v>
      </c>
      <c r="G1409">
        <v>1297.0270995999999</v>
      </c>
      <c r="H1409">
        <v>1282.6938477000001</v>
      </c>
      <c r="I1409">
        <v>1403.8356934000001</v>
      </c>
      <c r="J1409">
        <v>1380.7243652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1326.489014</v>
      </c>
      <c r="B1410" s="1">
        <f>DATE(2013,12,17) + TIME(11,44,10)</f>
        <v>41625.489004629628</v>
      </c>
      <c r="C1410">
        <v>70</v>
      </c>
      <c r="D1410">
        <v>66.317901610999996</v>
      </c>
      <c r="E1410">
        <v>40</v>
      </c>
      <c r="F1410">
        <v>39.981201171999999</v>
      </c>
      <c r="G1410">
        <v>1296.9060059000001</v>
      </c>
      <c r="H1410">
        <v>1282.5484618999999</v>
      </c>
      <c r="I1410">
        <v>1403.7896728999999</v>
      </c>
      <c r="J1410">
        <v>1380.6849365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1329.01641</v>
      </c>
      <c r="B1411" s="1">
        <f>DATE(2013,12,20) + TIME(0,23,37)</f>
        <v>41628.016400462962</v>
      </c>
      <c r="C1411">
        <v>70</v>
      </c>
      <c r="D1411">
        <v>66.155403136999993</v>
      </c>
      <c r="E1411">
        <v>40</v>
      </c>
      <c r="F1411">
        <v>39.981235503999997</v>
      </c>
      <c r="G1411">
        <v>1296.7799072</v>
      </c>
      <c r="H1411">
        <v>1282.3961182</v>
      </c>
      <c r="I1411">
        <v>1403.7456055</v>
      </c>
      <c r="J1411">
        <v>1380.6470947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1331.5826910000001</v>
      </c>
      <c r="B1412" s="1">
        <f>DATE(2013,12,22) + TIME(13,59,4)</f>
        <v>41630.582685185182</v>
      </c>
      <c r="C1412">
        <v>70</v>
      </c>
      <c r="D1412">
        <v>65.993118285999998</v>
      </c>
      <c r="E1412">
        <v>40</v>
      </c>
      <c r="F1412">
        <v>39.981266022</v>
      </c>
      <c r="G1412">
        <v>1296.6481934000001</v>
      </c>
      <c r="H1412">
        <v>1282.2357178</v>
      </c>
      <c r="I1412">
        <v>1403.703125</v>
      </c>
      <c r="J1412">
        <v>1380.6105957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1334.190615</v>
      </c>
      <c r="B1413" s="1">
        <f>DATE(2013,12,25) + TIME(4,34,29)</f>
        <v>41633.190613425926</v>
      </c>
      <c r="C1413">
        <v>70</v>
      </c>
      <c r="D1413">
        <v>65.830574036000002</v>
      </c>
      <c r="E1413">
        <v>40</v>
      </c>
      <c r="F1413">
        <v>39.981300353999998</v>
      </c>
      <c r="G1413">
        <v>1296.5102539</v>
      </c>
      <c r="H1413">
        <v>1282.0666504000001</v>
      </c>
      <c r="I1413">
        <v>1403.6621094</v>
      </c>
      <c r="J1413">
        <v>1380.5751952999999</v>
      </c>
      <c r="K1413">
        <v>0</v>
      </c>
      <c r="L1413">
        <v>2400</v>
      </c>
      <c r="M1413">
        <v>2400</v>
      </c>
      <c r="N1413">
        <v>0</v>
      </c>
    </row>
    <row r="1414" spans="1:14" x14ac:dyDescent="0.25">
      <c r="A1414">
        <v>1336.8233049999999</v>
      </c>
      <c r="B1414" s="1">
        <f>DATE(2013,12,27) + TIME(19,45,33)</f>
        <v>41635.823298611111</v>
      </c>
      <c r="C1414">
        <v>70</v>
      </c>
      <c r="D1414">
        <v>65.667694092000005</v>
      </c>
      <c r="E1414">
        <v>40</v>
      </c>
      <c r="F1414">
        <v>39.981334685999997</v>
      </c>
      <c r="G1414">
        <v>1296.3654785000001</v>
      </c>
      <c r="H1414">
        <v>1281.8879394999999</v>
      </c>
      <c r="I1414">
        <v>1403.6221923999999</v>
      </c>
      <c r="J1414">
        <v>1380.5407714999999</v>
      </c>
      <c r="K1414">
        <v>0</v>
      </c>
      <c r="L1414">
        <v>2400</v>
      </c>
      <c r="M1414">
        <v>2400</v>
      </c>
      <c r="N1414">
        <v>0</v>
      </c>
    </row>
    <row r="1415" spans="1:14" x14ac:dyDescent="0.25">
      <c r="A1415">
        <v>1339.490243</v>
      </c>
      <c r="B1415" s="1">
        <f>DATE(2013,12,30) + TIME(11,45,57)</f>
        <v>41638.490243055552</v>
      </c>
      <c r="C1415">
        <v>70</v>
      </c>
      <c r="D1415">
        <v>65.504684448000006</v>
      </c>
      <c r="E1415">
        <v>40</v>
      </c>
      <c r="F1415">
        <v>39.981369018999999</v>
      </c>
      <c r="G1415">
        <v>1296.2144774999999</v>
      </c>
      <c r="H1415">
        <v>1281.7000731999999</v>
      </c>
      <c r="I1415">
        <v>1403.5836182</v>
      </c>
      <c r="J1415">
        <v>1380.5075684000001</v>
      </c>
      <c r="K1415">
        <v>0</v>
      </c>
      <c r="L1415">
        <v>2400</v>
      </c>
      <c r="M1415">
        <v>2400</v>
      </c>
      <c r="N1415">
        <v>0</v>
      </c>
    </row>
    <row r="1416" spans="1:14" x14ac:dyDescent="0.25">
      <c r="A1416">
        <v>1341</v>
      </c>
      <c r="B1416" s="1">
        <f>DATE(2014,1,1) + TIME(0,0,0)</f>
        <v>41640</v>
      </c>
      <c r="C1416">
        <v>70</v>
      </c>
      <c r="D1416">
        <v>65.367431640999996</v>
      </c>
      <c r="E1416">
        <v>40</v>
      </c>
      <c r="F1416">
        <v>39.981388092000003</v>
      </c>
      <c r="G1416">
        <v>1296.0570068</v>
      </c>
      <c r="H1416">
        <v>1281.5075684000001</v>
      </c>
      <c r="I1416">
        <v>1403.5457764</v>
      </c>
      <c r="J1416">
        <v>1380.4748535000001</v>
      </c>
      <c r="K1416">
        <v>0</v>
      </c>
      <c r="L1416">
        <v>2400</v>
      </c>
      <c r="M1416">
        <v>2400</v>
      </c>
      <c r="N1416">
        <v>0</v>
      </c>
    </row>
    <row r="1417" spans="1:14" x14ac:dyDescent="0.25">
      <c r="A1417">
        <v>1343.7087489999999</v>
      </c>
      <c r="B1417" s="1">
        <f>DATE(2014,1,3) + TIME(17,0,35)</f>
        <v>41642.708738425928</v>
      </c>
      <c r="C1417">
        <v>70</v>
      </c>
      <c r="D1417">
        <v>65.238082886000001</v>
      </c>
      <c r="E1417">
        <v>40</v>
      </c>
      <c r="F1417">
        <v>39.981422424000002</v>
      </c>
      <c r="G1417">
        <v>1295.9613036999999</v>
      </c>
      <c r="H1417">
        <v>1281.3789062000001</v>
      </c>
      <c r="I1417">
        <v>1403.5256348</v>
      </c>
      <c r="J1417">
        <v>1380.4575195</v>
      </c>
      <c r="K1417">
        <v>0</v>
      </c>
      <c r="L1417">
        <v>2400</v>
      </c>
      <c r="M1417">
        <v>2400</v>
      </c>
      <c r="N1417">
        <v>0</v>
      </c>
    </row>
    <row r="1418" spans="1:14" x14ac:dyDescent="0.25">
      <c r="A1418">
        <v>1346.4914200000001</v>
      </c>
      <c r="B1418" s="1">
        <f>DATE(2014,1,6) + TIME(11,47,38)</f>
        <v>41645.491412037038</v>
      </c>
      <c r="C1418">
        <v>70</v>
      </c>
      <c r="D1418">
        <v>65.081466675000001</v>
      </c>
      <c r="E1418">
        <v>40</v>
      </c>
      <c r="F1418">
        <v>39.981460571</v>
      </c>
      <c r="G1418">
        <v>1295.7944336</v>
      </c>
      <c r="H1418">
        <v>1281.1695557</v>
      </c>
      <c r="I1418">
        <v>1403.4899902</v>
      </c>
      <c r="J1418">
        <v>1380.4266356999999</v>
      </c>
      <c r="K1418">
        <v>0</v>
      </c>
      <c r="L1418">
        <v>2400</v>
      </c>
      <c r="M1418">
        <v>2400</v>
      </c>
      <c r="N1418">
        <v>0</v>
      </c>
    </row>
    <row r="1419" spans="1:14" x14ac:dyDescent="0.25">
      <c r="A1419">
        <v>1349.3103149999999</v>
      </c>
      <c r="B1419" s="1">
        <f>DATE(2014,1,9) + TIME(7,26,51)</f>
        <v>41648.310312499998</v>
      </c>
      <c r="C1419">
        <v>70</v>
      </c>
      <c r="D1419">
        <v>64.915885924999998</v>
      </c>
      <c r="E1419">
        <v>40</v>
      </c>
      <c r="F1419">
        <v>39.981494904000002</v>
      </c>
      <c r="G1419">
        <v>1295.6154785000001</v>
      </c>
      <c r="H1419">
        <v>1280.9421387</v>
      </c>
      <c r="I1419">
        <v>1403.4545897999999</v>
      </c>
      <c r="J1419">
        <v>1380.3961182</v>
      </c>
      <c r="K1419">
        <v>0</v>
      </c>
      <c r="L1419">
        <v>2400</v>
      </c>
      <c r="M1419">
        <v>2400</v>
      </c>
      <c r="N1419">
        <v>0</v>
      </c>
    </row>
    <row r="1420" spans="1:14" x14ac:dyDescent="0.25">
      <c r="A1420">
        <v>1352.1610069999999</v>
      </c>
      <c r="B1420" s="1">
        <f>DATE(2014,1,12) + TIME(3,51,50)</f>
        <v>41651.160995370374</v>
      </c>
      <c r="C1420">
        <v>70</v>
      </c>
      <c r="D1420">
        <v>64.746879578000005</v>
      </c>
      <c r="E1420">
        <v>40</v>
      </c>
      <c r="F1420">
        <v>39.981533051</v>
      </c>
      <c r="G1420">
        <v>1295.4277344</v>
      </c>
      <c r="H1420">
        <v>1280.7011719</v>
      </c>
      <c r="I1420">
        <v>1403.4200439000001</v>
      </c>
      <c r="J1420">
        <v>1380.3662108999999</v>
      </c>
      <c r="K1420">
        <v>0</v>
      </c>
      <c r="L1420">
        <v>2400</v>
      </c>
      <c r="M1420">
        <v>2400</v>
      </c>
      <c r="N1420">
        <v>0</v>
      </c>
    </row>
    <row r="1421" spans="1:14" x14ac:dyDescent="0.25">
      <c r="A1421">
        <v>1355.0453640000001</v>
      </c>
      <c r="B1421" s="1">
        <f>DATE(2014,1,15) + TIME(1,5,19)</f>
        <v>41654.045358796298</v>
      </c>
      <c r="C1421">
        <v>70</v>
      </c>
      <c r="D1421">
        <v>64.575622558999996</v>
      </c>
      <c r="E1421">
        <v>40</v>
      </c>
      <c r="F1421">
        <v>39.981567382999998</v>
      </c>
      <c r="G1421">
        <v>1295.2314452999999</v>
      </c>
      <c r="H1421">
        <v>1280.4473877</v>
      </c>
      <c r="I1421">
        <v>1403.3863524999999</v>
      </c>
      <c r="J1421">
        <v>1380.3370361</v>
      </c>
      <c r="K1421">
        <v>0</v>
      </c>
      <c r="L1421">
        <v>2400</v>
      </c>
      <c r="M1421">
        <v>2400</v>
      </c>
      <c r="N1421">
        <v>0</v>
      </c>
    </row>
    <row r="1422" spans="1:14" x14ac:dyDescent="0.25">
      <c r="A1422">
        <v>1357.9716020000001</v>
      </c>
      <c r="B1422" s="1">
        <f>DATE(2014,1,17) + TIME(23,19,6)</f>
        <v>41656.971597222226</v>
      </c>
      <c r="C1422">
        <v>70</v>
      </c>
      <c r="D1422">
        <v>64.401924132999994</v>
      </c>
      <c r="E1422">
        <v>40</v>
      </c>
      <c r="F1422">
        <v>39.981605530000003</v>
      </c>
      <c r="G1422">
        <v>1295.0262451000001</v>
      </c>
      <c r="H1422">
        <v>1280.1804199000001</v>
      </c>
      <c r="I1422">
        <v>1403.3535156</v>
      </c>
      <c r="J1422">
        <v>1380.3084716999999</v>
      </c>
      <c r="K1422">
        <v>0</v>
      </c>
      <c r="L1422">
        <v>2400</v>
      </c>
      <c r="M1422">
        <v>2400</v>
      </c>
      <c r="N1422">
        <v>0</v>
      </c>
    </row>
    <row r="1423" spans="1:14" x14ac:dyDescent="0.25">
      <c r="A1423">
        <v>1360.9302339999999</v>
      </c>
      <c r="B1423" s="1">
        <f>DATE(2014,1,20) + TIME(22,19,32)</f>
        <v>41659.930231481485</v>
      </c>
      <c r="C1423">
        <v>70</v>
      </c>
      <c r="D1423">
        <v>64.225273131999998</v>
      </c>
      <c r="E1423">
        <v>40</v>
      </c>
      <c r="F1423">
        <v>39.981643677000001</v>
      </c>
      <c r="G1423">
        <v>1294.8114014</v>
      </c>
      <c r="H1423">
        <v>1279.8992920000001</v>
      </c>
      <c r="I1423">
        <v>1403.3211670000001</v>
      </c>
      <c r="J1423">
        <v>1380.2803954999999</v>
      </c>
      <c r="K1423">
        <v>0</v>
      </c>
      <c r="L1423">
        <v>2400</v>
      </c>
      <c r="M1423">
        <v>2400</v>
      </c>
      <c r="N1423">
        <v>0</v>
      </c>
    </row>
    <row r="1424" spans="1:14" x14ac:dyDescent="0.25">
      <c r="A1424">
        <v>1363.9265720000001</v>
      </c>
      <c r="B1424" s="1">
        <f>DATE(2014,1,23) + TIME(22,14,15)</f>
        <v>41662.926562499997</v>
      </c>
      <c r="C1424">
        <v>70</v>
      </c>
      <c r="D1424">
        <v>64.045440674000005</v>
      </c>
      <c r="E1424">
        <v>40</v>
      </c>
      <c r="F1424">
        <v>39.981678008999999</v>
      </c>
      <c r="G1424">
        <v>1294.5874022999999</v>
      </c>
      <c r="H1424">
        <v>1279.604126</v>
      </c>
      <c r="I1424">
        <v>1403.2896728999999</v>
      </c>
      <c r="J1424">
        <v>1380.2529297000001</v>
      </c>
      <c r="K1424">
        <v>0</v>
      </c>
      <c r="L1424">
        <v>2400</v>
      </c>
      <c r="M1424">
        <v>2400</v>
      </c>
      <c r="N1424">
        <v>0</v>
      </c>
    </row>
    <row r="1425" spans="1:14" x14ac:dyDescent="0.25">
      <c r="A1425">
        <v>1366.9679430000001</v>
      </c>
      <c r="B1425" s="1">
        <f>DATE(2014,1,26) + TIME(23,13,50)</f>
        <v>41665.967939814815</v>
      </c>
      <c r="C1425">
        <v>70</v>
      </c>
      <c r="D1425">
        <v>63.861713408999996</v>
      </c>
      <c r="E1425">
        <v>40</v>
      </c>
      <c r="F1425">
        <v>39.981716155999997</v>
      </c>
      <c r="G1425">
        <v>1294.3533935999999</v>
      </c>
      <c r="H1425">
        <v>1279.2941894999999</v>
      </c>
      <c r="I1425">
        <v>1403.2586670000001</v>
      </c>
      <c r="J1425">
        <v>1380.2259521000001</v>
      </c>
      <c r="K1425">
        <v>0</v>
      </c>
      <c r="L1425">
        <v>2400</v>
      </c>
      <c r="M1425">
        <v>2400</v>
      </c>
      <c r="N1425">
        <v>0</v>
      </c>
    </row>
    <row r="1426" spans="1:14" x14ac:dyDescent="0.25">
      <c r="A1426">
        <v>1370.062977</v>
      </c>
      <c r="B1426" s="1">
        <f>DATE(2014,1,30) + TIME(1,30,41)</f>
        <v>41669.062974537039</v>
      </c>
      <c r="C1426">
        <v>70</v>
      </c>
      <c r="D1426">
        <v>63.673152924</v>
      </c>
      <c r="E1426">
        <v>40</v>
      </c>
      <c r="F1426">
        <v>39.981754303000002</v>
      </c>
      <c r="G1426">
        <v>1294.1087646000001</v>
      </c>
      <c r="H1426">
        <v>1278.9682617000001</v>
      </c>
      <c r="I1426">
        <v>1403.2280272999999</v>
      </c>
      <c r="J1426">
        <v>1380.1992187999999</v>
      </c>
      <c r="K1426">
        <v>0</v>
      </c>
      <c r="L1426">
        <v>2400</v>
      </c>
      <c r="M1426">
        <v>2400</v>
      </c>
      <c r="N1426">
        <v>0</v>
      </c>
    </row>
    <row r="1427" spans="1:14" x14ac:dyDescent="0.25">
      <c r="A1427">
        <v>1372</v>
      </c>
      <c r="B1427" s="1">
        <f>DATE(2014,2,1) + TIME(0,0,0)</f>
        <v>41671</v>
      </c>
      <c r="C1427">
        <v>70</v>
      </c>
      <c r="D1427">
        <v>63.501628875999998</v>
      </c>
      <c r="E1427">
        <v>40</v>
      </c>
      <c r="F1427">
        <v>39.981777190999999</v>
      </c>
      <c r="G1427">
        <v>1293.8554687999999</v>
      </c>
      <c r="H1427">
        <v>1278.6346435999999</v>
      </c>
      <c r="I1427">
        <v>1403.1975098</v>
      </c>
      <c r="J1427">
        <v>1380.1724853999999</v>
      </c>
      <c r="K1427">
        <v>0</v>
      </c>
      <c r="L1427">
        <v>2400</v>
      </c>
      <c r="M1427">
        <v>2400</v>
      </c>
      <c r="N1427">
        <v>0</v>
      </c>
    </row>
    <row r="1428" spans="1:14" x14ac:dyDescent="0.25">
      <c r="A1428">
        <v>1375.1429519999999</v>
      </c>
      <c r="B1428" s="1">
        <f>DATE(2014,2,4) + TIME(3,25,51)</f>
        <v>41674.142951388887</v>
      </c>
      <c r="C1428">
        <v>70</v>
      </c>
      <c r="D1428">
        <v>63.344379425</v>
      </c>
      <c r="E1428">
        <v>40</v>
      </c>
      <c r="F1428">
        <v>39.981819153000004</v>
      </c>
      <c r="G1428">
        <v>1293.6810303</v>
      </c>
      <c r="H1428">
        <v>1278.3897704999999</v>
      </c>
      <c r="I1428">
        <v>1403.1794434000001</v>
      </c>
      <c r="J1428">
        <v>1380.1567382999999</v>
      </c>
      <c r="K1428">
        <v>0</v>
      </c>
      <c r="L1428">
        <v>2400</v>
      </c>
      <c r="M1428">
        <v>2400</v>
      </c>
      <c r="N1428">
        <v>0</v>
      </c>
    </row>
    <row r="1429" spans="1:14" x14ac:dyDescent="0.25">
      <c r="A1429">
        <v>1378.347129</v>
      </c>
      <c r="B1429" s="1">
        <f>DATE(2014,2,7) + TIME(8,19,51)</f>
        <v>41677.347118055557</v>
      </c>
      <c r="C1429">
        <v>70</v>
      </c>
      <c r="D1429">
        <v>63.149692535</v>
      </c>
      <c r="E1429">
        <v>40</v>
      </c>
      <c r="F1429">
        <v>39.981857300000001</v>
      </c>
      <c r="G1429">
        <v>1293.4143065999999</v>
      </c>
      <c r="H1429">
        <v>1278.0328368999999</v>
      </c>
      <c r="I1429">
        <v>1403.1500243999999</v>
      </c>
      <c r="J1429">
        <v>1380.1309814000001</v>
      </c>
      <c r="K1429">
        <v>0</v>
      </c>
      <c r="L1429">
        <v>2400</v>
      </c>
      <c r="M1429">
        <v>2400</v>
      </c>
      <c r="N1429">
        <v>0</v>
      </c>
    </row>
    <row r="1430" spans="1:14" x14ac:dyDescent="0.25">
      <c r="A1430">
        <v>1381.5862520000001</v>
      </c>
      <c r="B1430" s="1">
        <f>DATE(2014,2,10) + TIME(14,4,12)</f>
        <v>41680.58625</v>
      </c>
      <c r="C1430">
        <v>70</v>
      </c>
      <c r="D1430">
        <v>62.940773010000001</v>
      </c>
      <c r="E1430">
        <v>40</v>
      </c>
      <c r="F1430">
        <v>39.981895446999999</v>
      </c>
      <c r="G1430">
        <v>1293.1307373</v>
      </c>
      <c r="H1430">
        <v>1277.6485596</v>
      </c>
      <c r="I1430">
        <v>1403.1208495999999</v>
      </c>
      <c r="J1430">
        <v>1380.1053466999999</v>
      </c>
      <c r="K1430">
        <v>0</v>
      </c>
      <c r="L1430">
        <v>2400</v>
      </c>
      <c r="M1430">
        <v>2400</v>
      </c>
      <c r="N1430">
        <v>0</v>
      </c>
    </row>
    <row r="1431" spans="1:14" x14ac:dyDescent="0.25">
      <c r="A1431">
        <v>1384.869766</v>
      </c>
      <c r="B1431" s="1">
        <f>DATE(2014,2,13) + TIME(20,52,27)</f>
        <v>41683.869756944441</v>
      </c>
      <c r="C1431">
        <v>70</v>
      </c>
      <c r="D1431">
        <v>62.722965240000001</v>
      </c>
      <c r="E1431">
        <v>40</v>
      </c>
      <c r="F1431">
        <v>39.981937408</v>
      </c>
      <c r="G1431">
        <v>1292.8355713000001</v>
      </c>
      <c r="H1431">
        <v>1277.2459716999999</v>
      </c>
      <c r="I1431">
        <v>1403.0921631000001</v>
      </c>
      <c r="J1431">
        <v>1380.0800781</v>
      </c>
      <c r="K1431">
        <v>0</v>
      </c>
      <c r="L1431">
        <v>2400</v>
      </c>
      <c r="M1431">
        <v>2400</v>
      </c>
      <c r="N1431">
        <v>0</v>
      </c>
    </row>
    <row r="1432" spans="1:14" x14ac:dyDescent="0.25">
      <c r="A1432">
        <v>1388.206191</v>
      </c>
      <c r="B1432" s="1">
        <f>DATE(2014,2,17) + TIME(4,56,54)</f>
        <v>41687.206180555557</v>
      </c>
      <c r="C1432">
        <v>70</v>
      </c>
      <c r="D1432">
        <v>62.496326447000001</v>
      </c>
      <c r="E1432">
        <v>40</v>
      </c>
      <c r="F1432">
        <v>39.981975554999998</v>
      </c>
      <c r="G1432">
        <v>1292.5289307</v>
      </c>
      <c r="H1432">
        <v>1276.8251952999999</v>
      </c>
      <c r="I1432">
        <v>1403.0635986</v>
      </c>
      <c r="J1432">
        <v>1380.0550536999999</v>
      </c>
      <c r="K1432">
        <v>0</v>
      </c>
      <c r="L1432">
        <v>2400</v>
      </c>
      <c r="M1432">
        <v>2400</v>
      </c>
      <c r="N1432">
        <v>0</v>
      </c>
    </row>
    <row r="1433" spans="1:14" x14ac:dyDescent="0.25">
      <c r="A1433">
        <v>1391.6050279999999</v>
      </c>
      <c r="B1433" s="1">
        <f>DATE(2014,2,20) + TIME(14,31,14)</f>
        <v>41690.605023148149</v>
      </c>
      <c r="C1433">
        <v>70</v>
      </c>
      <c r="D1433">
        <v>62.259746552000003</v>
      </c>
      <c r="E1433">
        <v>40</v>
      </c>
      <c r="F1433">
        <v>39.982017517000003</v>
      </c>
      <c r="G1433">
        <v>1292.2098389</v>
      </c>
      <c r="H1433">
        <v>1276.3856201000001</v>
      </c>
      <c r="I1433">
        <v>1403.0352783000001</v>
      </c>
      <c r="J1433">
        <v>1380.0301514</v>
      </c>
      <c r="K1433">
        <v>0</v>
      </c>
      <c r="L1433">
        <v>2400</v>
      </c>
      <c r="M1433">
        <v>2400</v>
      </c>
      <c r="N1433">
        <v>0</v>
      </c>
    </row>
    <row r="1434" spans="1:14" x14ac:dyDescent="0.25">
      <c r="A1434">
        <v>1395.0461419999999</v>
      </c>
      <c r="B1434" s="1">
        <f>DATE(2014,2,24) + TIME(1,6,26)</f>
        <v>41694.046134259261</v>
      </c>
      <c r="C1434">
        <v>70</v>
      </c>
      <c r="D1434">
        <v>62.012176513999997</v>
      </c>
      <c r="E1434">
        <v>40</v>
      </c>
      <c r="F1434">
        <v>39.982055664000001</v>
      </c>
      <c r="G1434">
        <v>1291.8778076000001</v>
      </c>
      <c r="H1434">
        <v>1275.9260254000001</v>
      </c>
      <c r="I1434">
        <v>1403.0069579999999</v>
      </c>
      <c r="J1434">
        <v>1380.0051269999999</v>
      </c>
      <c r="K1434">
        <v>0</v>
      </c>
      <c r="L1434">
        <v>2400</v>
      </c>
      <c r="M1434">
        <v>2400</v>
      </c>
      <c r="N1434">
        <v>0</v>
      </c>
    </row>
    <row r="1435" spans="1:14" x14ac:dyDescent="0.25">
      <c r="A1435">
        <v>1398.5305960000001</v>
      </c>
      <c r="B1435" s="1">
        <f>DATE(2014,2,27) + TIME(12,44,3)</f>
        <v>41697.530590277776</v>
      </c>
      <c r="C1435">
        <v>70</v>
      </c>
      <c r="D1435">
        <v>61.753597259999999</v>
      </c>
      <c r="E1435">
        <v>40</v>
      </c>
      <c r="F1435">
        <v>39.982097625999998</v>
      </c>
      <c r="G1435">
        <v>1291.5341797000001</v>
      </c>
      <c r="H1435">
        <v>1275.4482422000001</v>
      </c>
      <c r="I1435">
        <v>1402.9788818</v>
      </c>
      <c r="J1435">
        <v>1379.9803466999999</v>
      </c>
      <c r="K1435">
        <v>0</v>
      </c>
      <c r="L1435">
        <v>2400</v>
      </c>
      <c r="M1435">
        <v>2400</v>
      </c>
      <c r="N1435">
        <v>0</v>
      </c>
    </row>
    <row r="1436" spans="1:14" x14ac:dyDescent="0.25">
      <c r="A1436">
        <v>1400</v>
      </c>
      <c r="B1436" s="1">
        <f>DATE(2014,3,1) + TIME(0,0,0)</f>
        <v>41699</v>
      </c>
      <c r="C1436">
        <v>70</v>
      </c>
      <c r="D1436">
        <v>61.539901733000001</v>
      </c>
      <c r="E1436">
        <v>40</v>
      </c>
      <c r="F1436">
        <v>39.982112884999999</v>
      </c>
      <c r="G1436">
        <v>1291.1887207</v>
      </c>
      <c r="H1436">
        <v>1274.9815673999999</v>
      </c>
      <c r="I1436">
        <v>1402.9503173999999</v>
      </c>
      <c r="J1436">
        <v>1379.9549560999999</v>
      </c>
      <c r="K1436">
        <v>0</v>
      </c>
      <c r="L1436">
        <v>2400</v>
      </c>
      <c r="M1436">
        <v>2400</v>
      </c>
      <c r="N1436">
        <v>0</v>
      </c>
    </row>
    <row r="1437" spans="1:14" x14ac:dyDescent="0.25">
      <c r="A1437">
        <v>1403.5361969999999</v>
      </c>
      <c r="B1437" s="1">
        <f>DATE(2014,3,4) + TIME(12,52,7)</f>
        <v>41702.536192129628</v>
      </c>
      <c r="C1437">
        <v>70</v>
      </c>
      <c r="D1437">
        <v>61.346313477000002</v>
      </c>
      <c r="E1437">
        <v>40</v>
      </c>
      <c r="F1437">
        <v>39.982154846</v>
      </c>
      <c r="G1437">
        <v>1291.0118408000001</v>
      </c>
      <c r="H1437">
        <v>1274.7087402</v>
      </c>
      <c r="I1437">
        <v>1402.9393310999999</v>
      </c>
      <c r="J1437">
        <v>1379.9451904</v>
      </c>
      <c r="K1437">
        <v>0</v>
      </c>
      <c r="L1437">
        <v>2400</v>
      </c>
      <c r="M1437">
        <v>2400</v>
      </c>
      <c r="N1437">
        <v>0</v>
      </c>
    </row>
    <row r="1438" spans="1:14" x14ac:dyDescent="0.25">
      <c r="A1438">
        <v>1407.1394620000001</v>
      </c>
      <c r="B1438" s="1">
        <f>DATE(2014,3,8) + TIME(3,20,49)</f>
        <v>41706.139456018522</v>
      </c>
      <c r="C1438">
        <v>70</v>
      </c>
      <c r="D1438">
        <v>61.073886870999999</v>
      </c>
      <c r="E1438">
        <v>40</v>
      </c>
      <c r="F1438">
        <v>39.982196807999998</v>
      </c>
      <c r="G1438">
        <v>1290.6547852000001</v>
      </c>
      <c r="H1438">
        <v>1274.2136230000001</v>
      </c>
      <c r="I1438">
        <v>1402.911499</v>
      </c>
      <c r="J1438">
        <v>1379.9205322</v>
      </c>
      <c r="K1438">
        <v>0</v>
      </c>
      <c r="L1438">
        <v>2400</v>
      </c>
      <c r="M1438">
        <v>2400</v>
      </c>
      <c r="N1438">
        <v>0</v>
      </c>
    </row>
    <row r="1439" spans="1:14" x14ac:dyDescent="0.25">
      <c r="A1439">
        <v>1410.7798660000001</v>
      </c>
      <c r="B1439" s="1">
        <f>DATE(2014,3,11) + TIME(18,43,0)</f>
        <v>41709.779861111114</v>
      </c>
      <c r="C1439">
        <v>70</v>
      </c>
      <c r="D1439">
        <v>60.774040221999996</v>
      </c>
      <c r="E1439">
        <v>40</v>
      </c>
      <c r="F1439">
        <v>39.982238770000002</v>
      </c>
      <c r="G1439">
        <v>1290.2744141000001</v>
      </c>
      <c r="H1439">
        <v>1273.6781006000001</v>
      </c>
      <c r="I1439">
        <v>1402.8835449000001</v>
      </c>
      <c r="J1439">
        <v>1379.8957519999999</v>
      </c>
      <c r="K1439">
        <v>0</v>
      </c>
      <c r="L1439">
        <v>2400</v>
      </c>
      <c r="M1439">
        <v>2400</v>
      </c>
      <c r="N1439">
        <v>0</v>
      </c>
    </row>
    <row r="1440" spans="1:14" x14ac:dyDescent="0.25">
      <c r="A1440">
        <v>1414.468339</v>
      </c>
      <c r="B1440" s="1">
        <f>DATE(2014,3,15) + TIME(11,14,24)</f>
        <v>41713.468333333331</v>
      </c>
      <c r="C1440">
        <v>70</v>
      </c>
      <c r="D1440">
        <v>60.457641602000002</v>
      </c>
      <c r="E1440">
        <v>40</v>
      </c>
      <c r="F1440">
        <v>39.982280731000003</v>
      </c>
      <c r="G1440">
        <v>1289.8819579999999</v>
      </c>
      <c r="H1440">
        <v>1273.1217041</v>
      </c>
      <c r="I1440">
        <v>1402.8555908000001</v>
      </c>
      <c r="J1440">
        <v>1379.8708495999999</v>
      </c>
      <c r="K1440">
        <v>0</v>
      </c>
      <c r="L1440">
        <v>2400</v>
      </c>
      <c r="M1440">
        <v>2400</v>
      </c>
      <c r="N1440">
        <v>0</v>
      </c>
    </row>
    <row r="1441" spans="1:14" x14ac:dyDescent="0.25">
      <c r="A1441">
        <v>1418.213935</v>
      </c>
      <c r="B1441" s="1">
        <f>DATE(2014,3,19) + TIME(5,8,3)</f>
        <v>41717.213923611111</v>
      </c>
      <c r="C1441">
        <v>70</v>
      </c>
      <c r="D1441">
        <v>60.125385283999996</v>
      </c>
      <c r="E1441">
        <v>40</v>
      </c>
      <c r="F1441">
        <v>39.982322693</v>
      </c>
      <c r="G1441">
        <v>1289.4783935999999</v>
      </c>
      <c r="H1441">
        <v>1272.5467529</v>
      </c>
      <c r="I1441">
        <v>1402.8276367000001</v>
      </c>
      <c r="J1441">
        <v>1379.8459473</v>
      </c>
      <c r="K1441">
        <v>0</v>
      </c>
      <c r="L1441">
        <v>2400</v>
      </c>
      <c r="M1441">
        <v>2400</v>
      </c>
      <c r="N1441">
        <v>0</v>
      </c>
    </row>
    <row r="1442" spans="1:14" x14ac:dyDescent="0.25">
      <c r="A1442">
        <v>1422.0275059999999</v>
      </c>
      <c r="B1442" s="1">
        <f>DATE(2014,3,23) + TIME(0,39,36)</f>
        <v>41721.027499999997</v>
      </c>
      <c r="C1442">
        <v>70</v>
      </c>
      <c r="D1442">
        <v>59.776371001999998</v>
      </c>
      <c r="E1442">
        <v>40</v>
      </c>
      <c r="F1442">
        <v>39.982364654999998</v>
      </c>
      <c r="G1442">
        <v>1289.0632324000001</v>
      </c>
      <c r="H1442">
        <v>1271.9530029</v>
      </c>
      <c r="I1442">
        <v>1402.7995605000001</v>
      </c>
      <c r="J1442">
        <v>1379.8208007999999</v>
      </c>
      <c r="K1442">
        <v>0</v>
      </c>
      <c r="L1442">
        <v>2400</v>
      </c>
      <c r="M1442">
        <v>2400</v>
      </c>
      <c r="N1442">
        <v>0</v>
      </c>
    </row>
    <row r="1443" spans="1:14" x14ac:dyDescent="0.25">
      <c r="A1443">
        <v>1425.8959199999999</v>
      </c>
      <c r="B1443" s="1">
        <f>DATE(2014,3,26) + TIME(21,30,7)</f>
        <v>41724.895914351851</v>
      </c>
      <c r="C1443">
        <v>70</v>
      </c>
      <c r="D1443">
        <v>59.408576965000002</v>
      </c>
      <c r="E1443">
        <v>40</v>
      </c>
      <c r="F1443">
        <v>39.982406615999999</v>
      </c>
      <c r="G1443">
        <v>1288.6359863</v>
      </c>
      <c r="H1443">
        <v>1271.3392334</v>
      </c>
      <c r="I1443">
        <v>1402.7711182</v>
      </c>
      <c r="J1443">
        <v>1379.7954102000001</v>
      </c>
      <c r="K1443">
        <v>0</v>
      </c>
      <c r="L1443">
        <v>2400</v>
      </c>
      <c r="M1443">
        <v>2400</v>
      </c>
      <c r="N1443">
        <v>0</v>
      </c>
    </row>
    <row r="1444" spans="1:14" x14ac:dyDescent="0.25">
      <c r="A1444">
        <v>1429.826714</v>
      </c>
      <c r="B1444" s="1">
        <f>DATE(2014,3,30) + TIME(19,50,28)</f>
        <v>41728.82671296296</v>
      </c>
      <c r="C1444">
        <v>70</v>
      </c>
      <c r="D1444">
        <v>59.022289276000002</v>
      </c>
      <c r="E1444">
        <v>40</v>
      </c>
      <c r="F1444">
        <v>39.982448578000003</v>
      </c>
      <c r="G1444">
        <v>1288.197876</v>
      </c>
      <c r="H1444">
        <v>1270.7072754000001</v>
      </c>
      <c r="I1444">
        <v>1402.7424315999999</v>
      </c>
      <c r="J1444">
        <v>1379.7696533000001</v>
      </c>
      <c r="K1444">
        <v>0</v>
      </c>
      <c r="L1444">
        <v>2400</v>
      </c>
      <c r="M1444">
        <v>2400</v>
      </c>
      <c r="N1444">
        <v>0</v>
      </c>
    </row>
    <row r="1445" spans="1:14" x14ac:dyDescent="0.25">
      <c r="A1445">
        <v>1431</v>
      </c>
      <c r="B1445" s="1">
        <f>DATE(2014,4,1) + TIME(0,0,0)</f>
        <v>41730</v>
      </c>
      <c r="C1445">
        <v>70</v>
      </c>
      <c r="D1445">
        <v>58.731590271000002</v>
      </c>
      <c r="E1445">
        <v>40</v>
      </c>
      <c r="F1445">
        <v>39.982460021999998</v>
      </c>
      <c r="G1445">
        <v>1287.7650146000001</v>
      </c>
      <c r="H1445">
        <v>1270.1153564000001</v>
      </c>
      <c r="I1445">
        <v>1402.7126464999999</v>
      </c>
      <c r="J1445">
        <v>1379.7427978999999</v>
      </c>
      <c r="K1445">
        <v>0</v>
      </c>
      <c r="L1445">
        <v>2400</v>
      </c>
      <c r="M1445">
        <v>2400</v>
      </c>
      <c r="N1445">
        <v>0</v>
      </c>
    </row>
    <row r="1446" spans="1:14" x14ac:dyDescent="0.25">
      <c r="A1446">
        <v>1435.0059000000001</v>
      </c>
      <c r="B1446" s="1">
        <f>DATE(2014,4,5) + TIME(0,8,29)</f>
        <v>41734.005891203706</v>
      </c>
      <c r="C1446">
        <v>70</v>
      </c>
      <c r="D1446">
        <v>58.462882995999998</v>
      </c>
      <c r="E1446">
        <v>40</v>
      </c>
      <c r="F1446">
        <v>39.982505797999998</v>
      </c>
      <c r="G1446">
        <v>1287.5931396000001</v>
      </c>
      <c r="H1446">
        <v>1269.8175048999999</v>
      </c>
      <c r="I1446">
        <v>1402.7047118999999</v>
      </c>
      <c r="J1446">
        <v>1379.7357178</v>
      </c>
      <c r="K1446">
        <v>0</v>
      </c>
      <c r="L1446">
        <v>2400</v>
      </c>
      <c r="M1446">
        <v>2400</v>
      </c>
      <c r="N1446">
        <v>0</v>
      </c>
    </row>
    <row r="1447" spans="1:14" x14ac:dyDescent="0.25">
      <c r="A1447">
        <v>1439.1213720000001</v>
      </c>
      <c r="B1447" s="1">
        <f>DATE(2014,4,9) + TIME(2,54,46)</f>
        <v>41738.121365740742</v>
      </c>
      <c r="C1447">
        <v>70</v>
      </c>
      <c r="D1447">
        <v>58.054607390999998</v>
      </c>
      <c r="E1447">
        <v>40</v>
      </c>
      <c r="F1447">
        <v>39.982547760000003</v>
      </c>
      <c r="G1447">
        <v>1287.1494141000001</v>
      </c>
      <c r="H1447">
        <v>1269.1813964999999</v>
      </c>
      <c r="I1447">
        <v>1402.6751709</v>
      </c>
      <c r="J1447">
        <v>1379.7091064000001</v>
      </c>
      <c r="K1447">
        <v>0</v>
      </c>
      <c r="L1447">
        <v>2400</v>
      </c>
      <c r="M1447">
        <v>2400</v>
      </c>
      <c r="N1447">
        <v>0</v>
      </c>
    </row>
    <row r="1448" spans="1:14" x14ac:dyDescent="0.25">
      <c r="A1448">
        <v>1443.3062190000001</v>
      </c>
      <c r="B1448" s="1">
        <f>DATE(2014,4,13) + TIME(7,20,57)</f>
        <v>41742.306215277778</v>
      </c>
      <c r="C1448">
        <v>70</v>
      </c>
      <c r="D1448">
        <v>57.602050781000003</v>
      </c>
      <c r="E1448">
        <v>40</v>
      </c>
      <c r="F1448">
        <v>39.982593536000003</v>
      </c>
      <c r="G1448">
        <v>1286.6762695</v>
      </c>
      <c r="H1448">
        <v>1268.4910889</v>
      </c>
      <c r="I1448">
        <v>1402.6448975000001</v>
      </c>
      <c r="J1448">
        <v>1379.6817627</v>
      </c>
      <c r="K1448">
        <v>0</v>
      </c>
      <c r="L1448">
        <v>2400</v>
      </c>
      <c r="M1448">
        <v>2400</v>
      </c>
      <c r="N1448">
        <v>0</v>
      </c>
    </row>
    <row r="1449" spans="1:14" x14ac:dyDescent="0.25">
      <c r="A1449">
        <v>1447.573394</v>
      </c>
      <c r="B1449" s="1">
        <f>DATE(2014,4,17) + TIME(13,45,41)</f>
        <v>41746.573391203703</v>
      </c>
      <c r="C1449">
        <v>70</v>
      </c>
      <c r="D1449">
        <v>57.124423981</v>
      </c>
      <c r="E1449">
        <v>40</v>
      </c>
      <c r="F1449">
        <v>39.982639313</v>
      </c>
      <c r="G1449">
        <v>1286.1904297000001</v>
      </c>
      <c r="H1449">
        <v>1267.7773437999999</v>
      </c>
      <c r="I1449">
        <v>1402.6141356999999</v>
      </c>
      <c r="J1449">
        <v>1379.6538086</v>
      </c>
      <c r="K1449">
        <v>0</v>
      </c>
      <c r="L1449">
        <v>2400</v>
      </c>
      <c r="M1449">
        <v>2400</v>
      </c>
      <c r="N1449">
        <v>0</v>
      </c>
    </row>
    <row r="1450" spans="1:14" x14ac:dyDescent="0.25">
      <c r="A1450">
        <v>1451.938895</v>
      </c>
      <c r="B1450" s="1">
        <f>DATE(2014,4,21) + TIME(22,32,0)</f>
        <v>41750.938888888886</v>
      </c>
      <c r="C1450">
        <v>70</v>
      </c>
      <c r="D1450">
        <v>56.622974395999996</v>
      </c>
      <c r="E1450">
        <v>40</v>
      </c>
      <c r="F1450">
        <v>39.982681274000001</v>
      </c>
      <c r="G1450">
        <v>1285.6937256000001</v>
      </c>
      <c r="H1450">
        <v>1267.0440673999999</v>
      </c>
      <c r="I1450">
        <v>1402.5826416</v>
      </c>
      <c r="J1450">
        <v>1379.6252440999999</v>
      </c>
      <c r="K1450">
        <v>0</v>
      </c>
      <c r="L1450">
        <v>2400</v>
      </c>
      <c r="M1450">
        <v>2400</v>
      </c>
      <c r="N1450">
        <v>0</v>
      </c>
    </row>
    <row r="1451" spans="1:14" x14ac:dyDescent="0.25">
      <c r="A1451">
        <v>1456.417293</v>
      </c>
      <c r="B1451" s="1">
        <f>DATE(2014,4,26) + TIME(10,0,54)</f>
        <v>41755.417291666665</v>
      </c>
      <c r="C1451">
        <v>70</v>
      </c>
      <c r="D1451">
        <v>56.096839905000003</v>
      </c>
      <c r="E1451">
        <v>40</v>
      </c>
      <c r="F1451">
        <v>39.982727050999998</v>
      </c>
      <c r="G1451">
        <v>1285.1853027</v>
      </c>
      <c r="H1451">
        <v>1266.2902832</v>
      </c>
      <c r="I1451">
        <v>1402.550293</v>
      </c>
      <c r="J1451">
        <v>1379.5959473</v>
      </c>
      <c r="K1451">
        <v>0</v>
      </c>
      <c r="L1451">
        <v>2400</v>
      </c>
      <c r="M1451">
        <v>2400</v>
      </c>
      <c r="N1451">
        <v>0</v>
      </c>
    </row>
    <row r="1452" spans="1:14" x14ac:dyDescent="0.25">
      <c r="A1452">
        <v>1461</v>
      </c>
      <c r="B1452" s="1">
        <f>DATE(2014,5,1) + TIME(0,0,0)</f>
        <v>41760</v>
      </c>
      <c r="C1452">
        <v>70</v>
      </c>
      <c r="D1452">
        <v>55.544464111000003</v>
      </c>
      <c r="E1452">
        <v>40</v>
      </c>
      <c r="F1452">
        <v>39.982776641999997</v>
      </c>
      <c r="G1452">
        <v>1284.6645507999999</v>
      </c>
      <c r="H1452">
        <v>1265.5147704999999</v>
      </c>
      <c r="I1452">
        <v>1402.5170897999999</v>
      </c>
      <c r="J1452">
        <v>1379.5655518000001</v>
      </c>
      <c r="K1452">
        <v>0</v>
      </c>
      <c r="L1452">
        <v>2400</v>
      </c>
      <c r="M1452">
        <v>2400</v>
      </c>
      <c r="N1452">
        <v>0</v>
      </c>
    </row>
    <row r="1453" spans="1:14" x14ac:dyDescent="0.25">
      <c r="A1453">
        <v>1461.0000010000001</v>
      </c>
      <c r="B1453" s="1">
        <f>DATE(2014,5,1) + TIME(0,0,0)</f>
        <v>41760</v>
      </c>
      <c r="C1453">
        <v>70</v>
      </c>
      <c r="D1453">
        <v>55.54460907</v>
      </c>
      <c r="E1453">
        <v>40</v>
      </c>
      <c r="F1453">
        <v>39.982669829999999</v>
      </c>
      <c r="G1453">
        <v>1305.2570800999999</v>
      </c>
      <c r="H1453">
        <v>1285.6275635</v>
      </c>
      <c r="I1453">
        <v>1378.6905518000001</v>
      </c>
      <c r="J1453">
        <v>1356.0875243999999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1461.000004</v>
      </c>
      <c r="B1454" s="1">
        <f>DATE(2014,5,1) + TIME(0,0,0)</f>
        <v>41760</v>
      </c>
      <c r="C1454">
        <v>70</v>
      </c>
      <c r="D1454">
        <v>55.544990540000001</v>
      </c>
      <c r="E1454">
        <v>40</v>
      </c>
      <c r="F1454">
        <v>39.982383728000002</v>
      </c>
      <c r="G1454">
        <v>1307.6158447</v>
      </c>
      <c r="H1454">
        <v>1288.1623535000001</v>
      </c>
      <c r="I1454">
        <v>1376.3154297000001</v>
      </c>
      <c r="J1454">
        <v>1353.7116699000001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1461.0000130000001</v>
      </c>
      <c r="B1455" s="1">
        <f>DATE(2014,5,1) + TIME(0,0,1)</f>
        <v>41760.000011574077</v>
      </c>
      <c r="C1455">
        <v>70</v>
      </c>
      <c r="D1455">
        <v>55.545875549000002</v>
      </c>
      <c r="E1455">
        <v>40</v>
      </c>
      <c r="F1455">
        <v>39.981719970999997</v>
      </c>
      <c r="G1455">
        <v>1312.9111327999999</v>
      </c>
      <c r="H1455">
        <v>1293.7078856999999</v>
      </c>
      <c r="I1455">
        <v>1370.7858887</v>
      </c>
      <c r="J1455">
        <v>1348.1811522999999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1461.0000399999999</v>
      </c>
      <c r="B1456" s="1">
        <f>DATE(2014,5,1) + TIME(0,0,3)</f>
        <v>41760.000034722223</v>
      </c>
      <c r="C1456">
        <v>70</v>
      </c>
      <c r="D1456">
        <v>55.547546386999997</v>
      </c>
      <c r="E1456">
        <v>40</v>
      </c>
      <c r="F1456">
        <v>39.980548859000002</v>
      </c>
      <c r="G1456">
        <v>1321.7797852000001</v>
      </c>
      <c r="H1456">
        <v>1302.6973877</v>
      </c>
      <c r="I1456">
        <v>1361.0305175999999</v>
      </c>
      <c r="J1456">
        <v>1338.4256591999999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1461.000121</v>
      </c>
      <c r="B1457" s="1">
        <f>DATE(2014,5,1) + TIME(0,0,10)</f>
        <v>41760.000115740739</v>
      </c>
      <c r="C1457">
        <v>70</v>
      </c>
      <c r="D1457">
        <v>55.550479889000002</v>
      </c>
      <c r="E1457">
        <v>40</v>
      </c>
      <c r="F1457">
        <v>39.979049683</v>
      </c>
      <c r="G1457">
        <v>1332.6671143000001</v>
      </c>
      <c r="H1457">
        <v>1313.5153809000001</v>
      </c>
      <c r="I1457">
        <v>1348.5694579999999</v>
      </c>
      <c r="J1457">
        <v>1325.9681396000001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1461.000364</v>
      </c>
      <c r="B1458" s="1">
        <f>DATE(2014,5,1) + TIME(0,0,31)</f>
        <v>41760.000358796293</v>
      </c>
      <c r="C1458">
        <v>70</v>
      </c>
      <c r="D1458">
        <v>55.556564330999997</v>
      </c>
      <c r="E1458">
        <v>40</v>
      </c>
      <c r="F1458">
        <v>39.977470398000001</v>
      </c>
      <c r="G1458">
        <v>1344.0227050999999</v>
      </c>
      <c r="H1458">
        <v>1324.7586670000001</v>
      </c>
      <c r="I1458">
        <v>1335.5333252</v>
      </c>
      <c r="J1458">
        <v>1312.9395752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1461.0010930000001</v>
      </c>
      <c r="B1459" s="1">
        <f>DATE(2014,5,1) + TIME(0,1,34)</f>
        <v>41760.001087962963</v>
      </c>
      <c r="C1459">
        <v>70</v>
      </c>
      <c r="D1459">
        <v>55.572036742999998</v>
      </c>
      <c r="E1459">
        <v>40</v>
      </c>
      <c r="F1459">
        <v>39.975856780999997</v>
      </c>
      <c r="G1459">
        <v>1355.6864014</v>
      </c>
      <c r="H1459">
        <v>1336.2922363</v>
      </c>
      <c r="I1459">
        <v>1322.5031738</v>
      </c>
      <c r="J1459">
        <v>1299.9199219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1461.0032799999999</v>
      </c>
      <c r="B1460" s="1">
        <f>DATE(2014,5,1) + TIME(0,4,43)</f>
        <v>41760.003275462965</v>
      </c>
      <c r="C1460">
        <v>70</v>
      </c>
      <c r="D1460">
        <v>55.615802764999998</v>
      </c>
      <c r="E1460">
        <v>40</v>
      </c>
      <c r="F1460">
        <v>39.974124908</v>
      </c>
      <c r="G1460">
        <v>1368.0073242000001</v>
      </c>
      <c r="H1460">
        <v>1348.4521483999999</v>
      </c>
      <c r="I1460">
        <v>1309.4489745999999</v>
      </c>
      <c r="J1460">
        <v>1286.8632812000001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1461.0098410000001</v>
      </c>
      <c r="B1461" s="1">
        <f>DATE(2014,5,1) + TIME(0,14,10)</f>
        <v>41760.009837962964</v>
      </c>
      <c r="C1461">
        <v>70</v>
      </c>
      <c r="D1461">
        <v>55.743980407999999</v>
      </c>
      <c r="E1461">
        <v>40</v>
      </c>
      <c r="F1461">
        <v>39.972122192</v>
      </c>
      <c r="G1461">
        <v>1380.5073242000001</v>
      </c>
      <c r="H1461">
        <v>1360.8157959</v>
      </c>
      <c r="I1461">
        <v>1296.8188477000001</v>
      </c>
      <c r="J1461">
        <v>1274.1955565999999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1461.029524</v>
      </c>
      <c r="B1462" s="1">
        <f>DATE(2014,5,1) + TIME(0,42,30)</f>
        <v>41760.029513888891</v>
      </c>
      <c r="C1462">
        <v>70</v>
      </c>
      <c r="D1462">
        <v>56.117118834999999</v>
      </c>
      <c r="E1462">
        <v>40</v>
      </c>
      <c r="F1462">
        <v>39.969470977999997</v>
      </c>
      <c r="G1462">
        <v>1390.6627197</v>
      </c>
      <c r="H1462">
        <v>1370.9774170000001</v>
      </c>
      <c r="I1462">
        <v>1286.8704834</v>
      </c>
      <c r="J1462">
        <v>1264.2049560999999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1461.062173</v>
      </c>
      <c r="B1463" s="1">
        <f>DATE(2014,5,1) + TIME(1,29,31)</f>
        <v>41760.062164351853</v>
      </c>
      <c r="C1463">
        <v>70</v>
      </c>
      <c r="D1463">
        <v>56.709236144999998</v>
      </c>
      <c r="E1463">
        <v>40</v>
      </c>
      <c r="F1463">
        <v>39.966598511000001</v>
      </c>
      <c r="G1463">
        <v>1395.0887451000001</v>
      </c>
      <c r="H1463">
        <v>1375.5484618999999</v>
      </c>
      <c r="I1463">
        <v>1282.8498535000001</v>
      </c>
      <c r="J1463">
        <v>1260.1674805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1461.095808</v>
      </c>
      <c r="B1464" s="1">
        <f>DATE(2014,5,1) + TIME(2,17,57)</f>
        <v>41760.09579861111</v>
      </c>
      <c r="C1464">
        <v>70</v>
      </c>
      <c r="D1464">
        <v>57.292705536</v>
      </c>
      <c r="E1464">
        <v>40</v>
      </c>
      <c r="F1464">
        <v>39.964019774999997</v>
      </c>
      <c r="G1464">
        <v>1396.4263916</v>
      </c>
      <c r="H1464">
        <v>1377.0433350000001</v>
      </c>
      <c r="I1464">
        <v>1281.7899170000001</v>
      </c>
      <c r="J1464">
        <v>1259.1029053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1461.130388</v>
      </c>
      <c r="B1465" s="1">
        <f>DATE(2014,5,1) + TIME(3,7,45)</f>
        <v>41760.130381944444</v>
      </c>
      <c r="C1465">
        <v>70</v>
      </c>
      <c r="D1465">
        <v>57.865798949999999</v>
      </c>
      <c r="E1465">
        <v>40</v>
      </c>
      <c r="F1465">
        <v>39.961494446000003</v>
      </c>
      <c r="G1465">
        <v>1396.7680664</v>
      </c>
      <c r="H1465">
        <v>1377.5429687999999</v>
      </c>
      <c r="I1465">
        <v>1281.5452881000001</v>
      </c>
      <c r="J1465">
        <v>1258.8566894999999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1461.1659440000001</v>
      </c>
      <c r="B1466" s="1">
        <f>DATE(2014,5,1) + TIME(3,58,57)</f>
        <v>41760.165937500002</v>
      </c>
      <c r="C1466">
        <v>70</v>
      </c>
      <c r="D1466">
        <v>58.428081511999999</v>
      </c>
      <c r="E1466">
        <v>40</v>
      </c>
      <c r="F1466">
        <v>39.958953856999997</v>
      </c>
      <c r="G1466">
        <v>1396.7564697</v>
      </c>
      <c r="H1466">
        <v>1377.6856689000001</v>
      </c>
      <c r="I1466">
        <v>1281.5158690999999</v>
      </c>
      <c r="J1466">
        <v>1258.8266602000001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1461.202534</v>
      </c>
      <c r="B1467" s="1">
        <f>DATE(2014,5,1) + TIME(4,51,38)</f>
        <v>41760.202523148146</v>
      </c>
      <c r="C1467">
        <v>70</v>
      </c>
      <c r="D1467">
        <v>58.979438782000003</v>
      </c>
      <c r="E1467">
        <v>40</v>
      </c>
      <c r="F1467">
        <v>39.956375121999997</v>
      </c>
      <c r="G1467">
        <v>1396.612793</v>
      </c>
      <c r="H1467">
        <v>1377.6914062000001</v>
      </c>
      <c r="I1467">
        <v>1281.5321045000001</v>
      </c>
      <c r="J1467">
        <v>1258.8425293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1461.240219</v>
      </c>
      <c r="B1468" s="1">
        <f>DATE(2014,5,1) + TIME(5,45,54)</f>
        <v>41760.240208333336</v>
      </c>
      <c r="C1468">
        <v>70</v>
      </c>
      <c r="D1468">
        <v>59.519741058000001</v>
      </c>
      <c r="E1468">
        <v>40</v>
      </c>
      <c r="F1468">
        <v>39.95375061</v>
      </c>
      <c r="G1468">
        <v>1396.4189452999999</v>
      </c>
      <c r="H1468">
        <v>1377.6419678</v>
      </c>
      <c r="I1468">
        <v>1281.5504149999999</v>
      </c>
      <c r="J1468">
        <v>1258.8605957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1461.279084</v>
      </c>
      <c r="B1469" s="1">
        <f>DATE(2014,5,1) + TIME(6,41,52)</f>
        <v>41760.279074074075</v>
      </c>
      <c r="C1469">
        <v>70</v>
      </c>
      <c r="D1469">
        <v>60.049053192000002</v>
      </c>
      <c r="E1469">
        <v>40</v>
      </c>
      <c r="F1469">
        <v>39.951076508</v>
      </c>
      <c r="G1469">
        <v>1396.2072754000001</v>
      </c>
      <c r="H1469">
        <v>1377.5698242000001</v>
      </c>
      <c r="I1469">
        <v>1281.5627440999999</v>
      </c>
      <c r="J1469">
        <v>1258.8725586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1461.3192160000001</v>
      </c>
      <c r="B1470" s="1">
        <f>DATE(2014,5,1) + TIME(7,39,40)</f>
        <v>41760.319212962961</v>
      </c>
      <c r="C1470">
        <v>70</v>
      </c>
      <c r="D1470">
        <v>60.567050934000001</v>
      </c>
      <c r="E1470">
        <v>40</v>
      </c>
      <c r="F1470">
        <v>39.948345183999997</v>
      </c>
      <c r="G1470">
        <v>1395.9913329999999</v>
      </c>
      <c r="H1470">
        <v>1377.4884033000001</v>
      </c>
      <c r="I1470">
        <v>1281.5698242000001</v>
      </c>
      <c r="J1470">
        <v>1258.8793945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1461.3607119999999</v>
      </c>
      <c r="B1471" s="1">
        <f>DATE(2014,5,1) + TIME(8,39,25)</f>
        <v>41760.360706018517</v>
      </c>
      <c r="C1471">
        <v>70</v>
      </c>
      <c r="D1471">
        <v>61.074039458999998</v>
      </c>
      <c r="E1471">
        <v>40</v>
      </c>
      <c r="F1471">
        <v>39.945552825999997</v>
      </c>
      <c r="G1471">
        <v>1395.7767334</v>
      </c>
      <c r="H1471">
        <v>1377.4036865</v>
      </c>
      <c r="I1471">
        <v>1281.5734863</v>
      </c>
      <c r="J1471">
        <v>1258.8828125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1461.403677</v>
      </c>
      <c r="B1472" s="1">
        <f>DATE(2014,5,1) + TIME(9,41,17)</f>
        <v>41760.403668981482</v>
      </c>
      <c r="C1472">
        <v>70</v>
      </c>
      <c r="D1472">
        <v>61.569984435999999</v>
      </c>
      <c r="E1472">
        <v>40</v>
      </c>
      <c r="F1472">
        <v>39.942695618000002</v>
      </c>
      <c r="G1472">
        <v>1395.5660399999999</v>
      </c>
      <c r="H1472">
        <v>1377.3182373</v>
      </c>
      <c r="I1472">
        <v>1281.5751952999999</v>
      </c>
      <c r="J1472">
        <v>1258.8841553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1461.448232</v>
      </c>
      <c r="B1473" s="1">
        <f>DATE(2014,5,1) + TIME(10,45,27)</f>
        <v>41760.448229166665</v>
      </c>
      <c r="C1473">
        <v>70</v>
      </c>
      <c r="D1473">
        <v>62.054828643999997</v>
      </c>
      <c r="E1473">
        <v>40</v>
      </c>
      <c r="F1473">
        <v>39.939769745</v>
      </c>
      <c r="G1473">
        <v>1395.3602295000001</v>
      </c>
      <c r="H1473">
        <v>1377.2335204999999</v>
      </c>
      <c r="I1473">
        <v>1281.5759277</v>
      </c>
      <c r="J1473">
        <v>1258.8846435999999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1461.49451</v>
      </c>
      <c r="B1474" s="1">
        <f>DATE(2014,5,1) + TIME(11,52,5)</f>
        <v>41760.494502314818</v>
      </c>
      <c r="C1474">
        <v>70</v>
      </c>
      <c r="D1474">
        <v>62.528503418</v>
      </c>
      <c r="E1474">
        <v>40</v>
      </c>
      <c r="F1474">
        <v>39.936767578000001</v>
      </c>
      <c r="G1474">
        <v>1395.159668</v>
      </c>
      <c r="H1474">
        <v>1377.1496582</v>
      </c>
      <c r="I1474">
        <v>1281.5761719</v>
      </c>
      <c r="J1474">
        <v>1258.8843993999999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1461.5426620000001</v>
      </c>
      <c r="B1475" s="1">
        <f>DATE(2014,5,1) + TIME(13,1,25)</f>
        <v>41760.542650462965</v>
      </c>
      <c r="C1475">
        <v>70</v>
      </c>
      <c r="D1475">
        <v>62.990921020999998</v>
      </c>
      <c r="E1475">
        <v>40</v>
      </c>
      <c r="F1475">
        <v>39.933677672999998</v>
      </c>
      <c r="G1475">
        <v>1394.9642334</v>
      </c>
      <c r="H1475">
        <v>1377.0670166</v>
      </c>
      <c r="I1475">
        <v>1281.5760498</v>
      </c>
      <c r="J1475">
        <v>1258.8840332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1461.592856</v>
      </c>
      <c r="B1476" s="1">
        <f>DATE(2014,5,1) + TIME(14,13,42)</f>
        <v>41760.592847222222</v>
      </c>
      <c r="C1476">
        <v>70</v>
      </c>
      <c r="D1476">
        <v>63.441970824999999</v>
      </c>
      <c r="E1476">
        <v>40</v>
      </c>
      <c r="F1476">
        <v>39.930500031000001</v>
      </c>
      <c r="G1476">
        <v>1394.7739257999999</v>
      </c>
      <c r="H1476">
        <v>1376.9854736</v>
      </c>
      <c r="I1476">
        <v>1281.5756836</v>
      </c>
      <c r="J1476">
        <v>1258.8834228999999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1461.6452859999999</v>
      </c>
      <c r="B1477" s="1">
        <f>DATE(2014,5,1) + TIME(15,29,12)</f>
        <v>41760.645277777781</v>
      </c>
      <c r="C1477">
        <v>70</v>
      </c>
      <c r="D1477">
        <v>63.881526946999998</v>
      </c>
      <c r="E1477">
        <v>40</v>
      </c>
      <c r="F1477">
        <v>39.927223206000001</v>
      </c>
      <c r="G1477">
        <v>1394.588501</v>
      </c>
      <c r="H1477">
        <v>1376.9049072</v>
      </c>
      <c r="I1477">
        <v>1281.5753173999999</v>
      </c>
      <c r="J1477">
        <v>1258.8825684000001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1461.70019</v>
      </c>
      <c r="B1478" s="1">
        <f>DATE(2014,5,1) + TIME(16,48,16)</f>
        <v>41760.700185185182</v>
      </c>
      <c r="C1478">
        <v>70</v>
      </c>
      <c r="D1478">
        <v>64.309585571</v>
      </c>
      <c r="E1478">
        <v>40</v>
      </c>
      <c r="F1478">
        <v>39.923831939999999</v>
      </c>
      <c r="G1478">
        <v>1394.4075928</v>
      </c>
      <c r="H1478">
        <v>1376.8253173999999</v>
      </c>
      <c r="I1478">
        <v>1281.5748291</v>
      </c>
      <c r="J1478">
        <v>1258.8818358999999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1461.7578140000001</v>
      </c>
      <c r="B1479" s="1">
        <f>DATE(2014,5,1) + TIME(18,11,15)</f>
        <v>41760.7578125</v>
      </c>
      <c r="C1479">
        <v>70</v>
      </c>
      <c r="D1479">
        <v>64.725891113000003</v>
      </c>
      <c r="E1479">
        <v>40</v>
      </c>
      <c r="F1479">
        <v>39.920318604000002</v>
      </c>
      <c r="G1479">
        <v>1394.2310791</v>
      </c>
      <c r="H1479">
        <v>1376.7464600000001</v>
      </c>
      <c r="I1479">
        <v>1281.5743408000001</v>
      </c>
      <c r="J1479">
        <v>1258.8808594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1461.8184429999999</v>
      </c>
      <c r="B1480" s="1">
        <f>DATE(2014,5,1) + TIME(19,38,33)</f>
        <v>41760.818437499998</v>
      </c>
      <c r="C1480">
        <v>70</v>
      </c>
      <c r="D1480">
        <v>65.130226135000001</v>
      </c>
      <c r="E1480">
        <v>40</v>
      </c>
      <c r="F1480">
        <v>39.916671753000003</v>
      </c>
      <c r="G1480">
        <v>1394.0584716999999</v>
      </c>
      <c r="H1480">
        <v>1376.6682129000001</v>
      </c>
      <c r="I1480">
        <v>1281.5737305</v>
      </c>
      <c r="J1480">
        <v>1258.8798827999999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1461.882419</v>
      </c>
      <c r="B1481" s="1">
        <f>DATE(2014,5,1) + TIME(21,10,40)</f>
        <v>41760.882407407407</v>
      </c>
      <c r="C1481">
        <v>70</v>
      </c>
      <c r="D1481">
        <v>65.522415160999998</v>
      </c>
      <c r="E1481">
        <v>40</v>
      </c>
      <c r="F1481">
        <v>39.912872313999998</v>
      </c>
      <c r="G1481">
        <v>1393.8897704999999</v>
      </c>
      <c r="H1481">
        <v>1376.5902100000001</v>
      </c>
      <c r="I1481">
        <v>1281.5731201000001</v>
      </c>
      <c r="J1481">
        <v>1258.8789062000001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1461.9501419999999</v>
      </c>
      <c r="B1482" s="1">
        <f>DATE(2014,5,1) + TIME(22,48,12)</f>
        <v>41760.950138888889</v>
      </c>
      <c r="C1482">
        <v>70</v>
      </c>
      <c r="D1482">
        <v>65.902130127000007</v>
      </c>
      <c r="E1482">
        <v>40</v>
      </c>
      <c r="F1482">
        <v>39.908901215</v>
      </c>
      <c r="G1482">
        <v>1393.7244873</v>
      </c>
      <c r="H1482">
        <v>1376.5125731999999</v>
      </c>
      <c r="I1482">
        <v>1281.5723877</v>
      </c>
      <c r="J1482">
        <v>1258.8776855000001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1462.0220870000001</v>
      </c>
      <c r="B1483" s="1">
        <f>DATE(2014,5,2) + TIME(0,31,48)</f>
        <v>41761.022083333337</v>
      </c>
      <c r="C1483">
        <v>70</v>
      </c>
      <c r="D1483">
        <v>66.269096375000004</v>
      </c>
      <c r="E1483">
        <v>40</v>
      </c>
      <c r="F1483">
        <v>39.904743195000002</v>
      </c>
      <c r="G1483">
        <v>1393.5625</v>
      </c>
      <c r="H1483">
        <v>1376.4348144999999</v>
      </c>
      <c r="I1483">
        <v>1281.5716553</v>
      </c>
      <c r="J1483">
        <v>1258.8764647999999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1462.098821</v>
      </c>
      <c r="B1484" s="1">
        <f>DATE(2014,5,2) + TIME(2,22,18)</f>
        <v>41761.098819444444</v>
      </c>
      <c r="C1484">
        <v>70</v>
      </c>
      <c r="D1484">
        <v>66.623001099000007</v>
      </c>
      <c r="E1484">
        <v>40</v>
      </c>
      <c r="F1484">
        <v>39.900371552000003</v>
      </c>
      <c r="G1484">
        <v>1393.4033202999999</v>
      </c>
      <c r="H1484">
        <v>1376.3568115</v>
      </c>
      <c r="I1484">
        <v>1281.5708007999999</v>
      </c>
      <c r="J1484">
        <v>1258.8752440999999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1462.18103</v>
      </c>
      <c r="B1485" s="1">
        <f>DATE(2014,5,2) + TIME(4,20,41)</f>
        <v>41761.181030092594</v>
      </c>
      <c r="C1485">
        <v>70</v>
      </c>
      <c r="D1485">
        <v>66.963470459000007</v>
      </c>
      <c r="E1485">
        <v>40</v>
      </c>
      <c r="F1485">
        <v>39.895755768000001</v>
      </c>
      <c r="G1485">
        <v>1393.2468262</v>
      </c>
      <c r="H1485">
        <v>1376.2784423999999</v>
      </c>
      <c r="I1485">
        <v>1281.5699463000001</v>
      </c>
      <c r="J1485">
        <v>1258.8739014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1462.2695550000001</v>
      </c>
      <c r="B1486" s="1">
        <f>DATE(2014,5,2) + TIME(6,28,9)</f>
        <v>41761.269548611112</v>
      </c>
      <c r="C1486">
        <v>70</v>
      </c>
      <c r="D1486">
        <v>67.290107727000006</v>
      </c>
      <c r="E1486">
        <v>40</v>
      </c>
      <c r="F1486">
        <v>39.890853882000002</v>
      </c>
      <c r="G1486">
        <v>1393.0925293</v>
      </c>
      <c r="H1486">
        <v>1376.1992187999999</v>
      </c>
      <c r="I1486">
        <v>1281.5689697</v>
      </c>
      <c r="J1486">
        <v>1258.8723144999999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1462.3654369999999</v>
      </c>
      <c r="B1487" s="1">
        <f>DATE(2014,5,2) + TIME(8,46,13)</f>
        <v>41761.365428240744</v>
      </c>
      <c r="C1487">
        <v>70</v>
      </c>
      <c r="D1487">
        <v>67.602455139</v>
      </c>
      <c r="E1487">
        <v>40</v>
      </c>
      <c r="F1487">
        <v>39.885631560999997</v>
      </c>
      <c r="G1487">
        <v>1392.9400635</v>
      </c>
      <c r="H1487">
        <v>1376.1187743999999</v>
      </c>
      <c r="I1487">
        <v>1281.5679932</v>
      </c>
      <c r="J1487">
        <v>1258.8707274999999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1462.469994</v>
      </c>
      <c r="B1488" s="1">
        <f>DATE(2014,5,2) + TIME(11,16,47)</f>
        <v>41761.469988425924</v>
      </c>
      <c r="C1488">
        <v>70</v>
      </c>
      <c r="D1488">
        <v>67.899986267000003</v>
      </c>
      <c r="E1488">
        <v>40</v>
      </c>
      <c r="F1488">
        <v>39.880027771000002</v>
      </c>
      <c r="G1488">
        <v>1392.7889404</v>
      </c>
      <c r="H1488">
        <v>1376.0369873</v>
      </c>
      <c r="I1488">
        <v>1281.5667725000001</v>
      </c>
      <c r="J1488">
        <v>1258.8690185999999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1462.5849909999999</v>
      </c>
      <c r="B1489" s="1">
        <f>DATE(2014,5,2) + TIME(14,2,23)</f>
        <v>41761.584988425922</v>
      </c>
      <c r="C1489">
        <v>70</v>
      </c>
      <c r="D1489">
        <v>68.182266235</v>
      </c>
      <c r="E1489">
        <v>40</v>
      </c>
      <c r="F1489">
        <v>39.873970032000003</v>
      </c>
      <c r="G1489">
        <v>1392.6387939000001</v>
      </c>
      <c r="H1489">
        <v>1375.9532471</v>
      </c>
      <c r="I1489">
        <v>1281.5655518000001</v>
      </c>
      <c r="J1489">
        <v>1258.8670654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1462.712579</v>
      </c>
      <c r="B1490" s="1">
        <f>DATE(2014,5,2) + TIME(17,6,6)</f>
        <v>41761.712569444448</v>
      </c>
      <c r="C1490">
        <v>70</v>
      </c>
      <c r="D1490">
        <v>68.448425293</v>
      </c>
      <c r="E1490">
        <v>40</v>
      </c>
      <c r="F1490">
        <v>39.867370604999998</v>
      </c>
      <c r="G1490">
        <v>1392.4890137</v>
      </c>
      <c r="H1490">
        <v>1375.8669434000001</v>
      </c>
      <c r="I1490">
        <v>1281.5642089999999</v>
      </c>
      <c r="J1490">
        <v>1258.8649902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1462.8493699999999</v>
      </c>
      <c r="B1491" s="1">
        <f>DATE(2014,5,2) + TIME(20,23,5)</f>
        <v>41761.849363425928</v>
      </c>
      <c r="C1491">
        <v>70</v>
      </c>
      <c r="D1491">
        <v>68.688339232999994</v>
      </c>
      <c r="E1491">
        <v>40</v>
      </c>
      <c r="F1491">
        <v>39.860385895</v>
      </c>
      <c r="G1491">
        <v>1392.3438721</v>
      </c>
      <c r="H1491">
        <v>1375.7800293</v>
      </c>
      <c r="I1491">
        <v>1281.5626221</v>
      </c>
      <c r="J1491">
        <v>1258.8626709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1462.986369</v>
      </c>
      <c r="B1492" s="1">
        <f>DATE(2014,5,2) + TIME(23,40,22)</f>
        <v>41761.98636574074</v>
      </c>
      <c r="C1492">
        <v>70</v>
      </c>
      <c r="D1492">
        <v>68.890312195000007</v>
      </c>
      <c r="E1492">
        <v>40</v>
      </c>
      <c r="F1492">
        <v>39.853416443</v>
      </c>
      <c r="G1492">
        <v>1392.2102050999999</v>
      </c>
      <c r="H1492">
        <v>1375.6962891000001</v>
      </c>
      <c r="I1492">
        <v>1281.5607910000001</v>
      </c>
      <c r="J1492">
        <v>1258.8602295000001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1463.1247049999999</v>
      </c>
      <c r="B1493" s="1">
        <f>DATE(2014,5,3) + TIME(2,59,34)</f>
        <v>41762.124699074076</v>
      </c>
      <c r="C1493">
        <v>70</v>
      </c>
      <c r="D1493">
        <v>69.061500549000002</v>
      </c>
      <c r="E1493">
        <v>40</v>
      </c>
      <c r="F1493">
        <v>39.846408844000003</v>
      </c>
      <c r="G1493">
        <v>1392.0869141000001</v>
      </c>
      <c r="H1493">
        <v>1375.6168213000001</v>
      </c>
      <c r="I1493">
        <v>1281.559082</v>
      </c>
      <c r="J1493">
        <v>1258.8577881000001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1463.2649469999999</v>
      </c>
      <c r="B1494" s="1">
        <f>DATE(2014,5,3) + TIME(6,21,31)</f>
        <v>41762.26494212963</v>
      </c>
      <c r="C1494">
        <v>70</v>
      </c>
      <c r="D1494">
        <v>69.206855774000005</v>
      </c>
      <c r="E1494">
        <v>40</v>
      </c>
      <c r="F1494">
        <v>39.839344025000003</v>
      </c>
      <c r="G1494">
        <v>1391.9722899999999</v>
      </c>
      <c r="H1494">
        <v>1375.5408935999999</v>
      </c>
      <c r="I1494">
        <v>1281.557251</v>
      </c>
      <c r="J1494">
        <v>1258.8553466999999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1463.4076640000001</v>
      </c>
      <c r="B1495" s="1">
        <f>DATE(2014,5,3) + TIME(9,47,2)</f>
        <v>41762.40766203704</v>
      </c>
      <c r="C1495">
        <v>70</v>
      </c>
      <c r="D1495">
        <v>69.330406189000001</v>
      </c>
      <c r="E1495">
        <v>40</v>
      </c>
      <c r="F1495">
        <v>39.832191467000001</v>
      </c>
      <c r="G1495">
        <v>1391.8649902</v>
      </c>
      <c r="H1495">
        <v>1375.4678954999999</v>
      </c>
      <c r="I1495">
        <v>1281.5554199000001</v>
      </c>
      <c r="J1495">
        <v>1258.8527832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1463.5534279999999</v>
      </c>
      <c r="B1496" s="1">
        <f>DATE(2014,5,3) + TIME(13,16,56)</f>
        <v>41762.553425925929</v>
      </c>
      <c r="C1496">
        <v>70</v>
      </c>
      <c r="D1496">
        <v>69.435470581000004</v>
      </c>
      <c r="E1496">
        <v>40</v>
      </c>
      <c r="F1496">
        <v>39.824928284000002</v>
      </c>
      <c r="G1496">
        <v>1391.7636719</v>
      </c>
      <c r="H1496">
        <v>1375.3974608999999</v>
      </c>
      <c r="I1496">
        <v>1281.5535889</v>
      </c>
      <c r="J1496">
        <v>1258.8502197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1463.7028190000001</v>
      </c>
      <c r="B1497" s="1">
        <f>DATE(2014,5,3) + TIME(16,52,3)</f>
        <v>41762.7028125</v>
      </c>
      <c r="C1497">
        <v>70</v>
      </c>
      <c r="D1497">
        <v>69.524757385000001</v>
      </c>
      <c r="E1497">
        <v>40</v>
      </c>
      <c r="F1497">
        <v>39.817531586000001</v>
      </c>
      <c r="G1497">
        <v>1391.6676024999999</v>
      </c>
      <c r="H1497">
        <v>1375.3289795000001</v>
      </c>
      <c r="I1497">
        <v>1281.5517577999999</v>
      </c>
      <c r="J1497">
        <v>1258.8476562000001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1463.8564530000001</v>
      </c>
      <c r="B1498" s="1">
        <f>DATE(2014,5,3) + TIME(20,33,17)</f>
        <v>41762.856446759259</v>
      </c>
      <c r="C1498">
        <v>70</v>
      </c>
      <c r="D1498">
        <v>69.600555420000006</v>
      </c>
      <c r="E1498">
        <v>40</v>
      </c>
      <c r="F1498">
        <v>39.809978485000002</v>
      </c>
      <c r="G1498">
        <v>1391.5759277</v>
      </c>
      <c r="H1498">
        <v>1375.262207</v>
      </c>
      <c r="I1498">
        <v>1281.5498047000001</v>
      </c>
      <c r="J1498">
        <v>1258.8449707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1464.015048</v>
      </c>
      <c r="B1499" s="1">
        <f>DATE(2014,5,4) + TIME(0,21,40)</f>
        <v>41763.015046296299</v>
      </c>
      <c r="C1499">
        <v>70</v>
      </c>
      <c r="D1499">
        <v>69.664794921999999</v>
      </c>
      <c r="E1499">
        <v>40</v>
      </c>
      <c r="F1499">
        <v>39.802230835000003</v>
      </c>
      <c r="G1499">
        <v>1391.487793</v>
      </c>
      <c r="H1499">
        <v>1375.1968993999999</v>
      </c>
      <c r="I1499">
        <v>1281.5478516000001</v>
      </c>
      <c r="J1499">
        <v>1258.8421631000001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1464.1792849999999</v>
      </c>
      <c r="B1500" s="1">
        <f>DATE(2014,5,4) + TIME(4,18,10)</f>
        <v>41763.179282407407</v>
      </c>
      <c r="C1500">
        <v>70</v>
      </c>
      <c r="D1500">
        <v>69.719100952000005</v>
      </c>
      <c r="E1500">
        <v>40</v>
      </c>
      <c r="F1500">
        <v>39.794265746999997</v>
      </c>
      <c r="G1500">
        <v>1391.4025879000001</v>
      </c>
      <c r="H1500">
        <v>1375.1325684000001</v>
      </c>
      <c r="I1500">
        <v>1281.5457764</v>
      </c>
      <c r="J1500">
        <v>1258.8392334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1464.34996</v>
      </c>
      <c r="B1501" s="1">
        <f>DATE(2014,5,4) + TIME(8,23,56)</f>
        <v>41763.349953703706</v>
      </c>
      <c r="C1501">
        <v>70</v>
      </c>
      <c r="D1501">
        <v>69.764854431000003</v>
      </c>
      <c r="E1501">
        <v>40</v>
      </c>
      <c r="F1501">
        <v>39.786052703999999</v>
      </c>
      <c r="G1501">
        <v>1391.3198242000001</v>
      </c>
      <c r="H1501">
        <v>1375.0690918</v>
      </c>
      <c r="I1501">
        <v>1281.5435791</v>
      </c>
      <c r="J1501">
        <v>1258.8363036999999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1464.5279829999999</v>
      </c>
      <c r="B1502" s="1">
        <f>DATE(2014,5,4) + TIME(12,40,17)</f>
        <v>41763.527974537035</v>
      </c>
      <c r="C1502">
        <v>70</v>
      </c>
      <c r="D1502">
        <v>69.803253174000005</v>
      </c>
      <c r="E1502">
        <v>40</v>
      </c>
      <c r="F1502">
        <v>39.777549743999998</v>
      </c>
      <c r="G1502">
        <v>1391.2388916</v>
      </c>
      <c r="H1502">
        <v>1375.0062256000001</v>
      </c>
      <c r="I1502">
        <v>1281.5413818</v>
      </c>
      <c r="J1502">
        <v>1258.8331298999999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1464.714399</v>
      </c>
      <c r="B1503" s="1">
        <f>DATE(2014,5,4) + TIME(17,8,44)</f>
        <v>41763.714398148149</v>
      </c>
      <c r="C1503">
        <v>70</v>
      </c>
      <c r="D1503">
        <v>69.835327148000005</v>
      </c>
      <c r="E1503">
        <v>40</v>
      </c>
      <c r="F1503">
        <v>39.768718718999999</v>
      </c>
      <c r="G1503">
        <v>1391.1594238</v>
      </c>
      <c r="H1503">
        <v>1374.9436035000001</v>
      </c>
      <c r="I1503">
        <v>1281.5389404</v>
      </c>
      <c r="J1503">
        <v>1258.8298339999999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1464.9104170000001</v>
      </c>
      <c r="B1504" s="1">
        <f>DATE(2014,5,4) + TIME(21,51,0)</f>
        <v>41763.910416666666</v>
      </c>
      <c r="C1504">
        <v>70</v>
      </c>
      <c r="D1504">
        <v>69.861984253000003</v>
      </c>
      <c r="E1504">
        <v>40</v>
      </c>
      <c r="F1504">
        <v>39.759510040000002</v>
      </c>
      <c r="G1504">
        <v>1391.0808105000001</v>
      </c>
      <c r="H1504">
        <v>1374.8808594</v>
      </c>
      <c r="I1504">
        <v>1281.536499</v>
      </c>
      <c r="J1504">
        <v>1258.8265381000001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1465.117465</v>
      </c>
      <c r="B1505" s="1">
        <f>DATE(2014,5,5) + TIME(2,49,8)</f>
        <v>41764.1174537037</v>
      </c>
      <c r="C1505">
        <v>70</v>
      </c>
      <c r="D1505">
        <v>69.883987426999994</v>
      </c>
      <c r="E1505">
        <v>40</v>
      </c>
      <c r="F1505">
        <v>39.749870299999998</v>
      </c>
      <c r="G1505">
        <v>1391.0028076000001</v>
      </c>
      <c r="H1505">
        <v>1374.8179932</v>
      </c>
      <c r="I1505">
        <v>1281.5339355000001</v>
      </c>
      <c r="J1505">
        <v>1258.822876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1465.3343159999999</v>
      </c>
      <c r="B1506" s="1">
        <f>DATE(2014,5,5) + TIME(8,1,24)</f>
        <v>41764.334305555552</v>
      </c>
      <c r="C1506">
        <v>70</v>
      </c>
      <c r="D1506">
        <v>69.901847838999998</v>
      </c>
      <c r="E1506">
        <v>40</v>
      </c>
      <c r="F1506">
        <v>39.739841460999997</v>
      </c>
      <c r="G1506">
        <v>1390.9248047000001</v>
      </c>
      <c r="H1506">
        <v>1374.7545166</v>
      </c>
      <c r="I1506">
        <v>1281.5311279</v>
      </c>
      <c r="J1506">
        <v>1258.8190918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1465.5620309999999</v>
      </c>
      <c r="B1507" s="1">
        <f>DATE(2014,5,5) + TIME(13,29,19)</f>
        <v>41764.562025462961</v>
      </c>
      <c r="C1507">
        <v>70</v>
      </c>
      <c r="D1507">
        <v>69.916236877000003</v>
      </c>
      <c r="E1507">
        <v>40</v>
      </c>
      <c r="F1507">
        <v>39.729381560999997</v>
      </c>
      <c r="G1507">
        <v>1390.8472899999999</v>
      </c>
      <c r="H1507">
        <v>1374.6910399999999</v>
      </c>
      <c r="I1507">
        <v>1281.5283202999999</v>
      </c>
      <c r="J1507">
        <v>1258.8150635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1465.8021220000001</v>
      </c>
      <c r="B1508" s="1">
        <f>DATE(2014,5,5) + TIME(19,15,3)</f>
        <v>41764.802118055559</v>
      </c>
      <c r="C1508">
        <v>70</v>
      </c>
      <c r="D1508">
        <v>69.927749633999994</v>
      </c>
      <c r="E1508">
        <v>40</v>
      </c>
      <c r="F1508">
        <v>39.718437195</v>
      </c>
      <c r="G1508">
        <v>1390.7700195</v>
      </c>
      <c r="H1508">
        <v>1374.6273193</v>
      </c>
      <c r="I1508">
        <v>1281.5252685999999</v>
      </c>
      <c r="J1508">
        <v>1258.8109131000001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1466.0563609999999</v>
      </c>
      <c r="B1509" s="1">
        <f>DATE(2014,5,6) + TIME(1,21,9)</f>
        <v>41765.056354166663</v>
      </c>
      <c r="C1509">
        <v>70</v>
      </c>
      <c r="D1509">
        <v>69.936889648000005</v>
      </c>
      <c r="E1509">
        <v>40</v>
      </c>
      <c r="F1509">
        <v>39.706943512000002</v>
      </c>
      <c r="G1509">
        <v>1390.6923827999999</v>
      </c>
      <c r="H1509">
        <v>1374.5629882999999</v>
      </c>
      <c r="I1509">
        <v>1281.5220947</v>
      </c>
      <c r="J1509">
        <v>1258.8065185999999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1466.326867</v>
      </c>
      <c r="B1510" s="1">
        <f>DATE(2014,5,6) + TIME(7,50,41)</f>
        <v>41765.326863425929</v>
      </c>
      <c r="C1510">
        <v>70</v>
      </c>
      <c r="D1510">
        <v>69.944091796999999</v>
      </c>
      <c r="E1510">
        <v>40</v>
      </c>
      <c r="F1510">
        <v>39.694820403999998</v>
      </c>
      <c r="G1510">
        <v>1390.6140137</v>
      </c>
      <c r="H1510">
        <v>1374.4979248</v>
      </c>
      <c r="I1510">
        <v>1281.5186768000001</v>
      </c>
      <c r="J1510">
        <v>1258.8018798999999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1466.6091160000001</v>
      </c>
      <c r="B1511" s="1">
        <f>DATE(2014,5,6) + TIME(14,37,7)</f>
        <v>41765.6091087963</v>
      </c>
      <c r="C1511">
        <v>70</v>
      </c>
      <c r="D1511">
        <v>69.949615479000002</v>
      </c>
      <c r="E1511">
        <v>40</v>
      </c>
      <c r="F1511">
        <v>39.682216644</v>
      </c>
      <c r="G1511">
        <v>1390.534668</v>
      </c>
      <c r="H1511">
        <v>1374.4316406</v>
      </c>
      <c r="I1511">
        <v>1281.5150146000001</v>
      </c>
      <c r="J1511">
        <v>1258.796875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1466.8933300000001</v>
      </c>
      <c r="B1512" s="1">
        <f>DATE(2014,5,6) + TIME(21,26,23)</f>
        <v>41765.893321759257</v>
      </c>
      <c r="C1512">
        <v>70</v>
      </c>
      <c r="D1512">
        <v>69.953704834000007</v>
      </c>
      <c r="E1512">
        <v>40</v>
      </c>
      <c r="F1512">
        <v>39.669460297000001</v>
      </c>
      <c r="G1512">
        <v>1390.4555664</v>
      </c>
      <c r="H1512">
        <v>1374.3656006000001</v>
      </c>
      <c r="I1512">
        <v>1281.5111084</v>
      </c>
      <c r="J1512">
        <v>1258.7917480000001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1467.180963</v>
      </c>
      <c r="B1513" s="1">
        <f>DATE(2014,5,7) + TIME(4,20,35)</f>
        <v>41766.180960648147</v>
      </c>
      <c r="C1513">
        <v>70</v>
      </c>
      <c r="D1513">
        <v>69.956764221</v>
      </c>
      <c r="E1513">
        <v>40</v>
      </c>
      <c r="F1513">
        <v>39.656528473000002</v>
      </c>
      <c r="G1513">
        <v>1390.3792725000001</v>
      </c>
      <c r="H1513">
        <v>1374.3018798999999</v>
      </c>
      <c r="I1513">
        <v>1281.5072021000001</v>
      </c>
      <c r="J1513">
        <v>1258.786499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1467.4733819999999</v>
      </c>
      <c r="B1514" s="1">
        <f>DATE(2014,5,7) + TIME(11,21,40)</f>
        <v>41766.473379629628</v>
      </c>
      <c r="C1514">
        <v>70</v>
      </c>
      <c r="D1514">
        <v>69.959053040000001</v>
      </c>
      <c r="E1514">
        <v>40</v>
      </c>
      <c r="F1514">
        <v>39.643402100000003</v>
      </c>
      <c r="G1514">
        <v>1390.3052978999999</v>
      </c>
      <c r="H1514">
        <v>1374.2398682</v>
      </c>
      <c r="I1514">
        <v>1281.5031738</v>
      </c>
      <c r="J1514">
        <v>1258.78125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1467.77207</v>
      </c>
      <c r="B1515" s="1">
        <f>DATE(2014,5,7) + TIME(18,31,46)</f>
        <v>41766.772060185183</v>
      </c>
      <c r="C1515">
        <v>70</v>
      </c>
      <c r="D1515">
        <v>69.960784911999994</v>
      </c>
      <c r="E1515">
        <v>40</v>
      </c>
      <c r="F1515">
        <v>39.630039214999996</v>
      </c>
      <c r="G1515">
        <v>1390.2329102000001</v>
      </c>
      <c r="H1515">
        <v>1374.1793213000001</v>
      </c>
      <c r="I1515">
        <v>1281.4992675999999</v>
      </c>
      <c r="J1515">
        <v>1258.7758789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1468.0783309999999</v>
      </c>
      <c r="B1516" s="1">
        <f>DATE(2014,5,8) + TIME(1,52,47)</f>
        <v>41767.078321759262</v>
      </c>
      <c r="C1516">
        <v>70</v>
      </c>
      <c r="D1516">
        <v>69.962089539000004</v>
      </c>
      <c r="E1516">
        <v>40</v>
      </c>
      <c r="F1516">
        <v>39.616401672000002</v>
      </c>
      <c r="G1516">
        <v>1390.1617432</v>
      </c>
      <c r="H1516">
        <v>1374.119751</v>
      </c>
      <c r="I1516">
        <v>1281.4951172000001</v>
      </c>
      <c r="J1516">
        <v>1258.7702637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1468.3936490000001</v>
      </c>
      <c r="B1517" s="1">
        <f>DATE(2014,5,8) + TIME(9,26,51)</f>
        <v>41767.393645833334</v>
      </c>
      <c r="C1517">
        <v>70</v>
      </c>
      <c r="D1517">
        <v>69.963088988999999</v>
      </c>
      <c r="E1517">
        <v>40</v>
      </c>
      <c r="F1517">
        <v>39.602447509999998</v>
      </c>
      <c r="G1517">
        <v>1390.0913086</v>
      </c>
      <c r="H1517">
        <v>1374.0609131000001</v>
      </c>
      <c r="I1517">
        <v>1281.4909668</v>
      </c>
      <c r="J1517">
        <v>1258.7646483999999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1468.7196550000001</v>
      </c>
      <c r="B1518" s="1">
        <f>DATE(2014,5,8) + TIME(17,16,18)</f>
        <v>41767.719652777778</v>
      </c>
      <c r="C1518">
        <v>70</v>
      </c>
      <c r="D1518">
        <v>69.963851929</v>
      </c>
      <c r="E1518">
        <v>40</v>
      </c>
      <c r="F1518">
        <v>39.588111877000003</v>
      </c>
      <c r="G1518">
        <v>1390.0214844</v>
      </c>
      <c r="H1518">
        <v>1374.0025635</v>
      </c>
      <c r="I1518">
        <v>1281.4866943</v>
      </c>
      <c r="J1518">
        <v>1258.7587891000001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1469.0559490000001</v>
      </c>
      <c r="B1519" s="1">
        <f>DATE(2014,5,9) + TIME(1,20,34)</f>
        <v>41768.055949074071</v>
      </c>
      <c r="C1519">
        <v>70</v>
      </c>
      <c r="D1519">
        <v>69.964439392000003</v>
      </c>
      <c r="E1519">
        <v>40</v>
      </c>
      <c r="F1519">
        <v>39.573410033999998</v>
      </c>
      <c r="G1519">
        <v>1389.9516602000001</v>
      </c>
      <c r="H1519">
        <v>1373.9443358999999</v>
      </c>
      <c r="I1519">
        <v>1281.4821777</v>
      </c>
      <c r="J1519">
        <v>1258.7528076000001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1469.4015039999999</v>
      </c>
      <c r="B1520" s="1">
        <f>DATE(2014,5,9) + TIME(9,38,9)</f>
        <v>41768.401493055557</v>
      </c>
      <c r="C1520">
        <v>70</v>
      </c>
      <c r="D1520">
        <v>69.964881896999998</v>
      </c>
      <c r="E1520">
        <v>40</v>
      </c>
      <c r="F1520">
        <v>39.558368682999998</v>
      </c>
      <c r="G1520">
        <v>1389.8822021000001</v>
      </c>
      <c r="H1520">
        <v>1373.8863524999999</v>
      </c>
      <c r="I1520">
        <v>1281.4775391000001</v>
      </c>
      <c r="J1520">
        <v>1258.746582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1469.757732</v>
      </c>
      <c r="B1521" s="1">
        <f>DATE(2014,5,9) + TIME(18,11,8)</f>
        <v>41768.757731481484</v>
      </c>
      <c r="C1521">
        <v>70</v>
      </c>
      <c r="D1521">
        <v>69.965225219999994</v>
      </c>
      <c r="E1521">
        <v>40</v>
      </c>
      <c r="F1521">
        <v>39.542945862000003</v>
      </c>
      <c r="G1521">
        <v>1389.8131103999999</v>
      </c>
      <c r="H1521">
        <v>1373.8288574000001</v>
      </c>
      <c r="I1521">
        <v>1281.4727783000001</v>
      </c>
      <c r="J1521">
        <v>1258.7401123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1470.1262850000001</v>
      </c>
      <c r="B1522" s="1">
        <f>DATE(2014,5,10) + TIME(3,1,51)</f>
        <v>41769.126284722224</v>
      </c>
      <c r="C1522">
        <v>70</v>
      </c>
      <c r="D1522">
        <v>69.965492248999993</v>
      </c>
      <c r="E1522">
        <v>40</v>
      </c>
      <c r="F1522">
        <v>39.527088165000002</v>
      </c>
      <c r="G1522">
        <v>1389.7442627</v>
      </c>
      <c r="H1522">
        <v>1373.7714844</v>
      </c>
      <c r="I1522">
        <v>1281.4678954999999</v>
      </c>
      <c r="J1522">
        <v>1258.7335204999999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1470.5090190000001</v>
      </c>
      <c r="B1523" s="1">
        <f>DATE(2014,5,10) + TIME(12,12,59)</f>
        <v>41769.509016203701</v>
      </c>
      <c r="C1523">
        <v>70</v>
      </c>
      <c r="D1523">
        <v>69.965698242000002</v>
      </c>
      <c r="E1523">
        <v>40</v>
      </c>
      <c r="F1523">
        <v>39.510738373000002</v>
      </c>
      <c r="G1523">
        <v>1389.675293</v>
      </c>
      <c r="H1523">
        <v>1373.7141113</v>
      </c>
      <c r="I1523">
        <v>1281.4628906</v>
      </c>
      <c r="J1523">
        <v>1258.7266846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1470.9080590000001</v>
      </c>
      <c r="B1524" s="1">
        <f>DATE(2014,5,10) + TIME(21,47,36)</f>
        <v>41769.908055555556</v>
      </c>
      <c r="C1524">
        <v>70</v>
      </c>
      <c r="D1524">
        <v>69.965866089000002</v>
      </c>
      <c r="E1524">
        <v>40</v>
      </c>
      <c r="F1524">
        <v>39.493820190000001</v>
      </c>
      <c r="G1524">
        <v>1389.605957</v>
      </c>
      <c r="H1524">
        <v>1373.6564940999999</v>
      </c>
      <c r="I1524">
        <v>1281.4575195</v>
      </c>
      <c r="J1524">
        <v>1258.7196045000001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1471.325875</v>
      </c>
      <c r="B1525" s="1">
        <f>DATE(2014,5,11) + TIME(7,49,15)</f>
        <v>41770.325868055559</v>
      </c>
      <c r="C1525">
        <v>70</v>
      </c>
      <c r="D1525">
        <v>69.965995789000004</v>
      </c>
      <c r="E1525">
        <v>40</v>
      </c>
      <c r="F1525">
        <v>39.476257324000002</v>
      </c>
      <c r="G1525">
        <v>1389.5360106999999</v>
      </c>
      <c r="H1525">
        <v>1373.5985106999999</v>
      </c>
      <c r="I1525">
        <v>1281.4520264</v>
      </c>
      <c r="J1525">
        <v>1258.7121582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1471.765382</v>
      </c>
      <c r="B1526" s="1">
        <f>DATE(2014,5,11) + TIME(18,22,8)</f>
        <v>41770.765370370369</v>
      </c>
      <c r="C1526">
        <v>70</v>
      </c>
      <c r="D1526">
        <v>69.966094971000004</v>
      </c>
      <c r="E1526">
        <v>40</v>
      </c>
      <c r="F1526">
        <v>39.457942963000001</v>
      </c>
      <c r="G1526">
        <v>1389.4650879000001</v>
      </c>
      <c r="H1526">
        <v>1373.5396728999999</v>
      </c>
      <c r="I1526">
        <v>1281.4462891000001</v>
      </c>
      <c r="J1526">
        <v>1258.7043457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1472.215089</v>
      </c>
      <c r="B1527" s="1">
        <f>DATE(2014,5,12) + TIME(5,9,43)</f>
        <v>41771.215081018519</v>
      </c>
      <c r="C1527">
        <v>70</v>
      </c>
      <c r="D1527">
        <v>69.966171265</v>
      </c>
      <c r="E1527">
        <v>40</v>
      </c>
      <c r="F1527">
        <v>39.439170836999999</v>
      </c>
      <c r="G1527">
        <v>1389.3928223</v>
      </c>
      <c r="H1527">
        <v>1373.4798584</v>
      </c>
      <c r="I1527">
        <v>1281.4401855000001</v>
      </c>
      <c r="J1527">
        <v>1258.6961670000001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1472.669095</v>
      </c>
      <c r="B1528" s="1">
        <f>DATE(2014,5,12) + TIME(16,3,29)</f>
        <v>41771.669085648151</v>
      </c>
      <c r="C1528">
        <v>70</v>
      </c>
      <c r="D1528">
        <v>69.966232300000001</v>
      </c>
      <c r="E1528">
        <v>40</v>
      </c>
      <c r="F1528">
        <v>39.420139313</v>
      </c>
      <c r="G1528">
        <v>1389.3212891000001</v>
      </c>
      <c r="H1528">
        <v>1373.4205322</v>
      </c>
      <c r="I1528">
        <v>1281.4338379000001</v>
      </c>
      <c r="J1528">
        <v>1258.6878661999999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1473.1295299999999</v>
      </c>
      <c r="B1529" s="1">
        <f>DATE(2014,5,13) + TIME(3,6,31)</f>
        <v>41772.129525462966</v>
      </c>
      <c r="C1529">
        <v>70</v>
      </c>
      <c r="D1529">
        <v>69.966270446999999</v>
      </c>
      <c r="E1529">
        <v>40</v>
      </c>
      <c r="F1529">
        <v>39.400848388999997</v>
      </c>
      <c r="G1529">
        <v>1389.2513428</v>
      </c>
      <c r="H1529">
        <v>1373.3626709</v>
      </c>
      <c r="I1529">
        <v>1281.4274902</v>
      </c>
      <c r="J1529">
        <v>1258.6793213000001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1473.5985780000001</v>
      </c>
      <c r="B1530" s="1">
        <f>DATE(2014,5,13) + TIME(14,21,57)</f>
        <v>41772.598576388889</v>
      </c>
      <c r="C1530">
        <v>70</v>
      </c>
      <c r="D1530">
        <v>69.966308593999997</v>
      </c>
      <c r="E1530">
        <v>40</v>
      </c>
      <c r="F1530">
        <v>39.381267547999997</v>
      </c>
      <c r="G1530">
        <v>1389.1824951000001</v>
      </c>
      <c r="H1530">
        <v>1373.3057861</v>
      </c>
      <c r="I1530">
        <v>1281.4210204999999</v>
      </c>
      <c r="J1530">
        <v>1258.6707764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1474.0784120000001</v>
      </c>
      <c r="B1531" s="1">
        <f>DATE(2014,5,14) + TIME(1,52,54)</f>
        <v>41773.078402777777</v>
      </c>
      <c r="C1531">
        <v>70</v>
      </c>
      <c r="D1531">
        <v>69.966331482000001</v>
      </c>
      <c r="E1531">
        <v>40</v>
      </c>
      <c r="F1531">
        <v>39.361343384000001</v>
      </c>
      <c r="G1531">
        <v>1389.1143798999999</v>
      </c>
      <c r="H1531">
        <v>1373.2496338000001</v>
      </c>
      <c r="I1531">
        <v>1281.4144286999999</v>
      </c>
      <c r="J1531">
        <v>1258.6618652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1474.571218</v>
      </c>
      <c r="B1532" s="1">
        <f>DATE(2014,5,14) + TIME(13,42,33)</f>
        <v>41773.571215277778</v>
      </c>
      <c r="C1532">
        <v>70</v>
      </c>
      <c r="D1532">
        <v>69.966346740999995</v>
      </c>
      <c r="E1532">
        <v>40</v>
      </c>
      <c r="F1532">
        <v>39.341022490999997</v>
      </c>
      <c r="G1532">
        <v>1389.046875</v>
      </c>
      <c r="H1532">
        <v>1373.1937256000001</v>
      </c>
      <c r="I1532">
        <v>1281.4077147999999</v>
      </c>
      <c r="J1532">
        <v>1258.652832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1475.0794840000001</v>
      </c>
      <c r="B1533" s="1">
        <f>DATE(2014,5,15) + TIME(1,54,27)</f>
        <v>41774.079479166663</v>
      </c>
      <c r="C1533">
        <v>70</v>
      </c>
      <c r="D1533">
        <v>69.966354370000005</v>
      </c>
      <c r="E1533">
        <v>40</v>
      </c>
      <c r="F1533">
        <v>39.320220947000003</v>
      </c>
      <c r="G1533">
        <v>1388.9793701000001</v>
      </c>
      <c r="H1533">
        <v>1373.1381836</v>
      </c>
      <c r="I1533">
        <v>1281.4007568</v>
      </c>
      <c r="J1533">
        <v>1258.6435547000001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1475.60599</v>
      </c>
      <c r="B1534" s="1">
        <f>DATE(2014,5,15) + TIME(14,32,37)</f>
        <v>41774.605983796297</v>
      </c>
      <c r="C1534">
        <v>70</v>
      </c>
      <c r="D1534">
        <v>69.966362000000004</v>
      </c>
      <c r="E1534">
        <v>40</v>
      </c>
      <c r="F1534">
        <v>39.298851012999997</v>
      </c>
      <c r="G1534">
        <v>1388.9117432</v>
      </c>
      <c r="H1534">
        <v>1373.0823975000001</v>
      </c>
      <c r="I1534">
        <v>1281.3936768000001</v>
      </c>
      <c r="J1534">
        <v>1258.6340332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1476.1437269999999</v>
      </c>
      <c r="B1535" s="1">
        <f>DATE(2014,5,16) + TIME(3,26,57)</f>
        <v>41775.14371527778</v>
      </c>
      <c r="C1535">
        <v>70</v>
      </c>
      <c r="D1535">
        <v>69.966369628999999</v>
      </c>
      <c r="E1535">
        <v>40</v>
      </c>
      <c r="F1535">
        <v>39.277065276999998</v>
      </c>
      <c r="G1535">
        <v>1388.8436279</v>
      </c>
      <c r="H1535">
        <v>1373.0262451000001</v>
      </c>
      <c r="I1535">
        <v>1281.3861084</v>
      </c>
      <c r="J1535">
        <v>1258.6240233999999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1476.6931569999999</v>
      </c>
      <c r="B1536" s="1">
        <f>DATE(2014,5,16) + TIME(16,38,8)</f>
        <v>41775.693148148152</v>
      </c>
      <c r="C1536">
        <v>70</v>
      </c>
      <c r="D1536">
        <v>69.966369628999999</v>
      </c>
      <c r="E1536">
        <v>40</v>
      </c>
      <c r="F1536">
        <v>39.254871368000003</v>
      </c>
      <c r="G1536">
        <v>1388.776001</v>
      </c>
      <c r="H1536">
        <v>1372.9704589999999</v>
      </c>
      <c r="I1536">
        <v>1281.3785399999999</v>
      </c>
      <c r="J1536">
        <v>1258.6138916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1477.2567610000001</v>
      </c>
      <c r="B1537" s="1">
        <f>DATE(2014,5,17) + TIME(6,9,44)</f>
        <v>41776.25675925926</v>
      </c>
      <c r="C1537">
        <v>70</v>
      </c>
      <c r="D1537">
        <v>69.966362000000004</v>
      </c>
      <c r="E1537">
        <v>40</v>
      </c>
      <c r="F1537">
        <v>39.232227324999997</v>
      </c>
      <c r="G1537">
        <v>1388.7088623</v>
      </c>
      <c r="H1537">
        <v>1372.9151611</v>
      </c>
      <c r="I1537">
        <v>1281.3707274999999</v>
      </c>
      <c r="J1537">
        <v>1258.6033935999999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1477.836814</v>
      </c>
      <c r="B1538" s="1">
        <f>DATE(2014,5,17) + TIME(20,5,0)</f>
        <v>41776.836805555555</v>
      </c>
      <c r="C1538">
        <v>70</v>
      </c>
      <c r="D1538">
        <v>69.966362000000004</v>
      </c>
      <c r="E1538">
        <v>40</v>
      </c>
      <c r="F1538">
        <v>39.209072112999998</v>
      </c>
      <c r="G1538">
        <v>1388.6417236</v>
      </c>
      <c r="H1538">
        <v>1372.8598632999999</v>
      </c>
      <c r="I1538">
        <v>1281.3626709</v>
      </c>
      <c r="J1538">
        <v>1258.5926514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1478.436068</v>
      </c>
      <c r="B1539" s="1">
        <f>DATE(2014,5,18) + TIME(10,27,56)</f>
        <v>41777.436064814814</v>
      </c>
      <c r="C1539">
        <v>70</v>
      </c>
      <c r="D1539">
        <v>69.966354370000005</v>
      </c>
      <c r="E1539">
        <v>40</v>
      </c>
      <c r="F1539">
        <v>39.185329437</v>
      </c>
      <c r="G1539">
        <v>1388.5744629000001</v>
      </c>
      <c r="H1539">
        <v>1372.8044434000001</v>
      </c>
      <c r="I1539">
        <v>1281.3543701000001</v>
      </c>
      <c r="J1539">
        <v>1258.581543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1479.0515800000001</v>
      </c>
      <c r="B1540" s="1">
        <f>DATE(2014,5,19) + TIME(1,14,16)</f>
        <v>41778.051574074074</v>
      </c>
      <c r="C1540">
        <v>70</v>
      </c>
      <c r="D1540">
        <v>69.966346740999995</v>
      </c>
      <c r="E1540">
        <v>40</v>
      </c>
      <c r="F1540">
        <v>39.161041259999998</v>
      </c>
      <c r="G1540">
        <v>1388.5068358999999</v>
      </c>
      <c r="H1540">
        <v>1372.7487793</v>
      </c>
      <c r="I1540">
        <v>1281.3458252</v>
      </c>
      <c r="J1540">
        <v>1258.5700684000001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1479.675166</v>
      </c>
      <c r="B1541" s="1">
        <f>DATE(2014,5,19) + TIME(16,12,14)</f>
        <v>41778.675162037034</v>
      </c>
      <c r="C1541">
        <v>70</v>
      </c>
      <c r="D1541">
        <v>69.966346740999995</v>
      </c>
      <c r="E1541">
        <v>40</v>
      </c>
      <c r="F1541">
        <v>39.13640213</v>
      </c>
      <c r="G1541">
        <v>1388.4390868999999</v>
      </c>
      <c r="H1541">
        <v>1372.6931152</v>
      </c>
      <c r="I1541">
        <v>1281.3369141000001</v>
      </c>
      <c r="J1541">
        <v>1258.5582274999999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1480.309972</v>
      </c>
      <c r="B1542" s="1">
        <f>DATE(2014,5,20) + TIME(7,26,21)</f>
        <v>41779.309965277775</v>
      </c>
      <c r="C1542">
        <v>70</v>
      </c>
      <c r="D1542">
        <v>69.966339110999996</v>
      </c>
      <c r="E1542">
        <v>40</v>
      </c>
      <c r="F1542">
        <v>39.111404419000003</v>
      </c>
      <c r="G1542">
        <v>1388.3723144999999</v>
      </c>
      <c r="H1542">
        <v>1372.6381836</v>
      </c>
      <c r="I1542">
        <v>1281.3278809000001</v>
      </c>
      <c r="J1542">
        <v>1258.5461425999999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1480.9588309999999</v>
      </c>
      <c r="B1543" s="1">
        <f>DATE(2014,5,20) + TIME(23,0,43)</f>
        <v>41779.958831018521</v>
      </c>
      <c r="C1543">
        <v>70</v>
      </c>
      <c r="D1543">
        <v>69.966331482000001</v>
      </c>
      <c r="E1543">
        <v>40</v>
      </c>
      <c r="F1543">
        <v>39.086002350000001</v>
      </c>
      <c r="G1543">
        <v>1388.3060303</v>
      </c>
      <c r="H1543">
        <v>1372.5836182</v>
      </c>
      <c r="I1543">
        <v>1281.3186035000001</v>
      </c>
      <c r="J1543">
        <v>1258.5338135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1481.6249949999999</v>
      </c>
      <c r="B1544" s="1">
        <f>DATE(2014,5,21) + TIME(14,59,59)</f>
        <v>41780.624988425923</v>
      </c>
      <c r="C1544">
        <v>70</v>
      </c>
      <c r="D1544">
        <v>69.966323853000006</v>
      </c>
      <c r="E1544">
        <v>40</v>
      </c>
      <c r="F1544">
        <v>39.060108184999997</v>
      </c>
      <c r="G1544">
        <v>1388.2399902</v>
      </c>
      <c r="H1544">
        <v>1372.5291748</v>
      </c>
      <c r="I1544">
        <v>1281.3092041</v>
      </c>
      <c r="J1544">
        <v>1258.5212402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1482.312034</v>
      </c>
      <c r="B1545" s="1">
        <f>DATE(2014,5,22) + TIME(7,29,19)</f>
        <v>41781.312025462961</v>
      </c>
      <c r="C1545">
        <v>70</v>
      </c>
      <c r="D1545">
        <v>69.966316223000007</v>
      </c>
      <c r="E1545">
        <v>40</v>
      </c>
      <c r="F1545">
        <v>39.033630371000001</v>
      </c>
      <c r="G1545">
        <v>1388.1738281</v>
      </c>
      <c r="H1545">
        <v>1372.4747314000001</v>
      </c>
      <c r="I1545">
        <v>1281.2994385</v>
      </c>
      <c r="J1545">
        <v>1258.5081786999999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1483.0239610000001</v>
      </c>
      <c r="B1546" s="1">
        <f>DATE(2014,5,23) + TIME(0,34,30)</f>
        <v>41782.023958333331</v>
      </c>
      <c r="C1546">
        <v>70</v>
      </c>
      <c r="D1546">
        <v>69.966308593999997</v>
      </c>
      <c r="E1546">
        <v>40</v>
      </c>
      <c r="F1546">
        <v>39.006435394</v>
      </c>
      <c r="G1546">
        <v>1388.1071777</v>
      </c>
      <c r="H1546">
        <v>1372.4199219</v>
      </c>
      <c r="I1546">
        <v>1281.2894286999999</v>
      </c>
      <c r="J1546">
        <v>1258.4946289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1483.765394</v>
      </c>
      <c r="B1547" s="1">
        <f>DATE(2014,5,23) + TIME(18,22,10)</f>
        <v>41782.765393518515</v>
      </c>
      <c r="C1547">
        <v>70</v>
      </c>
      <c r="D1547">
        <v>69.966300963999998</v>
      </c>
      <c r="E1547">
        <v>40</v>
      </c>
      <c r="F1547">
        <v>38.978385924999998</v>
      </c>
      <c r="G1547">
        <v>1388.0399170000001</v>
      </c>
      <c r="H1547">
        <v>1372.3645019999999</v>
      </c>
      <c r="I1547">
        <v>1281.2789307</v>
      </c>
      <c r="J1547">
        <v>1258.4805908000001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1484.5206619999999</v>
      </c>
      <c r="B1548" s="1">
        <f>DATE(2014,5,24) + TIME(12,29,45)</f>
        <v>41783.52065972222</v>
      </c>
      <c r="C1548">
        <v>70</v>
      </c>
      <c r="D1548">
        <v>69.966293335000003</v>
      </c>
      <c r="E1548">
        <v>40</v>
      </c>
      <c r="F1548">
        <v>38.949733733999999</v>
      </c>
      <c r="G1548">
        <v>1387.9714355000001</v>
      </c>
      <c r="H1548">
        <v>1372.3082274999999</v>
      </c>
      <c r="I1548">
        <v>1281.2679443</v>
      </c>
      <c r="J1548">
        <v>1258.4658202999999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1485.288282</v>
      </c>
      <c r="B1549" s="1">
        <f>DATE(2014,5,25) + TIME(6,55,7)</f>
        <v>41784.288275462961</v>
      </c>
      <c r="C1549">
        <v>70</v>
      </c>
      <c r="D1549">
        <v>69.966285705999994</v>
      </c>
      <c r="E1549">
        <v>40</v>
      </c>
      <c r="F1549">
        <v>38.920604705999999</v>
      </c>
      <c r="G1549">
        <v>1387.9034423999999</v>
      </c>
      <c r="H1549">
        <v>1372.2521973</v>
      </c>
      <c r="I1549">
        <v>1281.2565918</v>
      </c>
      <c r="J1549">
        <v>1258.4508057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1486.0714390000001</v>
      </c>
      <c r="B1550" s="1">
        <f>DATE(2014,5,26) + TIME(1,42,52)</f>
        <v>41785.071435185186</v>
      </c>
      <c r="C1550">
        <v>70</v>
      </c>
      <c r="D1550">
        <v>69.966278075999995</v>
      </c>
      <c r="E1550">
        <v>40</v>
      </c>
      <c r="F1550">
        <v>38.891006470000001</v>
      </c>
      <c r="G1550">
        <v>1387.8360596</v>
      </c>
      <c r="H1550">
        <v>1372.1966553</v>
      </c>
      <c r="I1550">
        <v>1281.2451172000001</v>
      </c>
      <c r="J1550">
        <v>1258.4353027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1486.873679</v>
      </c>
      <c r="B1551" s="1">
        <f>DATE(2014,5,26) + TIME(20,58,5)</f>
        <v>41785.873668981483</v>
      </c>
      <c r="C1551">
        <v>70</v>
      </c>
      <c r="D1551">
        <v>69.966270446999999</v>
      </c>
      <c r="E1551">
        <v>40</v>
      </c>
      <c r="F1551">
        <v>38.860881804999998</v>
      </c>
      <c r="G1551">
        <v>1387.7687988</v>
      </c>
      <c r="H1551">
        <v>1372.1412353999999</v>
      </c>
      <c r="I1551">
        <v>1281.2332764</v>
      </c>
      <c r="J1551">
        <v>1258.4194336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1487.690564</v>
      </c>
      <c r="B1552" s="1">
        <f>DATE(2014,5,27) + TIME(16,34,24)</f>
        <v>41786.690555555557</v>
      </c>
      <c r="C1552">
        <v>70</v>
      </c>
      <c r="D1552">
        <v>69.966270446999999</v>
      </c>
      <c r="E1552">
        <v>40</v>
      </c>
      <c r="F1552">
        <v>38.830287933000001</v>
      </c>
      <c r="G1552">
        <v>1387.7015381000001</v>
      </c>
      <c r="H1552">
        <v>1372.0858154</v>
      </c>
      <c r="I1552">
        <v>1281.2210693</v>
      </c>
      <c r="J1552">
        <v>1258.4030762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1488.521767</v>
      </c>
      <c r="B1553" s="1">
        <f>DATE(2014,5,28) + TIME(12,31,20)</f>
        <v>41787.52175925926</v>
      </c>
      <c r="C1553">
        <v>70</v>
      </c>
      <c r="D1553">
        <v>69.966262817</v>
      </c>
      <c r="E1553">
        <v>40</v>
      </c>
      <c r="F1553">
        <v>38.799263000000003</v>
      </c>
      <c r="G1553">
        <v>1387.6346435999999</v>
      </c>
      <c r="H1553">
        <v>1372.0306396000001</v>
      </c>
      <c r="I1553">
        <v>1281.2086182</v>
      </c>
      <c r="J1553">
        <v>1258.3863524999999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1489.3713600000001</v>
      </c>
      <c r="B1554" s="1">
        <f>DATE(2014,5,29) + TIME(8,54,45)</f>
        <v>41788.371354166666</v>
      </c>
      <c r="C1554">
        <v>70</v>
      </c>
      <c r="D1554">
        <v>69.966255188000005</v>
      </c>
      <c r="E1554">
        <v>40</v>
      </c>
      <c r="F1554">
        <v>38.767749786000003</v>
      </c>
      <c r="G1554">
        <v>1387.5681152</v>
      </c>
      <c r="H1554">
        <v>1371.9757079999999</v>
      </c>
      <c r="I1554">
        <v>1281.1958007999999</v>
      </c>
      <c r="J1554">
        <v>1258.3690185999999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1490.239251</v>
      </c>
      <c r="B1555" s="1">
        <f>DATE(2014,5,30) + TIME(5,44,31)</f>
        <v>41789.239247685182</v>
      </c>
      <c r="C1555">
        <v>70</v>
      </c>
      <c r="D1555">
        <v>69.966255188000005</v>
      </c>
      <c r="E1555">
        <v>40</v>
      </c>
      <c r="F1555">
        <v>38.735721587999997</v>
      </c>
      <c r="G1555">
        <v>1387.5017089999999</v>
      </c>
      <c r="H1555">
        <v>1371.9207764</v>
      </c>
      <c r="I1555">
        <v>1281.1826172000001</v>
      </c>
      <c r="J1555">
        <v>1258.3513184000001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1491.128156</v>
      </c>
      <c r="B1556" s="1">
        <f>DATE(2014,5,31) + TIME(3,4,32)</f>
        <v>41790.128148148149</v>
      </c>
      <c r="C1556">
        <v>70</v>
      </c>
      <c r="D1556">
        <v>69.966247558999996</v>
      </c>
      <c r="E1556">
        <v>40</v>
      </c>
      <c r="F1556">
        <v>38.703125</v>
      </c>
      <c r="G1556">
        <v>1387.4351807</v>
      </c>
      <c r="H1556">
        <v>1371.8659668</v>
      </c>
      <c r="I1556">
        <v>1281.1690673999999</v>
      </c>
      <c r="J1556">
        <v>1258.3330077999999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1492</v>
      </c>
      <c r="B1557" s="1">
        <f>DATE(2014,6,1) + TIME(0,0,0)</f>
        <v>41791</v>
      </c>
      <c r="C1557">
        <v>70</v>
      </c>
      <c r="D1557">
        <v>69.966247558999996</v>
      </c>
      <c r="E1557">
        <v>40</v>
      </c>
      <c r="F1557">
        <v>38.670616150000001</v>
      </c>
      <c r="G1557">
        <v>1387.3686522999999</v>
      </c>
      <c r="H1557">
        <v>1371.8109131000001</v>
      </c>
      <c r="I1557">
        <v>1281.1549072</v>
      </c>
      <c r="J1557">
        <v>1258.3140868999999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1492.914454</v>
      </c>
      <c r="B1558" s="1">
        <f>DATE(2014,6,1) + TIME(21,56,48)</f>
        <v>41791.914444444446</v>
      </c>
      <c r="C1558">
        <v>70</v>
      </c>
      <c r="D1558">
        <v>69.966239928999997</v>
      </c>
      <c r="E1558">
        <v>40</v>
      </c>
      <c r="F1558">
        <v>38.637454986999998</v>
      </c>
      <c r="G1558">
        <v>1387.3048096</v>
      </c>
      <c r="H1558">
        <v>1371.7580565999999</v>
      </c>
      <c r="I1558">
        <v>1281.1412353999999</v>
      </c>
      <c r="J1558">
        <v>1258.2951660000001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1493.878921</v>
      </c>
      <c r="B1559" s="1">
        <f>DATE(2014,6,2) + TIME(21,5,38)</f>
        <v>41792.878912037035</v>
      </c>
      <c r="C1559">
        <v>70</v>
      </c>
      <c r="D1559">
        <v>69.966239928999997</v>
      </c>
      <c r="E1559">
        <v>40</v>
      </c>
      <c r="F1559">
        <v>38.603141784999998</v>
      </c>
      <c r="G1559">
        <v>1387.2392577999999</v>
      </c>
      <c r="H1559">
        <v>1371.7037353999999</v>
      </c>
      <c r="I1559">
        <v>1281.1265868999999</v>
      </c>
      <c r="J1559">
        <v>1258.2752685999999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1494.851907</v>
      </c>
      <c r="B1560" s="1">
        <f>DATE(2014,6,3) + TIME(20,26,44)</f>
        <v>41793.851898148147</v>
      </c>
      <c r="C1560">
        <v>70</v>
      </c>
      <c r="D1560">
        <v>69.966239928999997</v>
      </c>
      <c r="E1560">
        <v>40</v>
      </c>
      <c r="F1560">
        <v>38.568107605000002</v>
      </c>
      <c r="G1560">
        <v>1387.1715088000001</v>
      </c>
      <c r="H1560">
        <v>1371.6477050999999</v>
      </c>
      <c r="I1560">
        <v>1281.1108397999999</v>
      </c>
      <c r="J1560">
        <v>1258.2540283000001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1495.838041</v>
      </c>
      <c r="B1561" s="1">
        <f>DATE(2014,6,4) + TIME(20,6,46)</f>
        <v>41794.83803240741</v>
      </c>
      <c r="C1561">
        <v>70</v>
      </c>
      <c r="D1561">
        <v>69.966239928999997</v>
      </c>
      <c r="E1561">
        <v>40</v>
      </c>
      <c r="F1561">
        <v>38.532558440999999</v>
      </c>
      <c r="G1561">
        <v>1387.1046143000001</v>
      </c>
      <c r="H1561">
        <v>1371.5922852000001</v>
      </c>
      <c r="I1561">
        <v>1281.0949707</v>
      </c>
      <c r="J1561">
        <v>1258.2322998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1496.8421149999999</v>
      </c>
      <c r="B1562" s="1">
        <f>DATE(2014,6,5) + TIME(20,12,38)</f>
        <v>41795.842106481483</v>
      </c>
      <c r="C1562">
        <v>70</v>
      </c>
      <c r="D1562">
        <v>69.966239928999997</v>
      </c>
      <c r="E1562">
        <v>40</v>
      </c>
      <c r="F1562">
        <v>38.496509551999999</v>
      </c>
      <c r="G1562">
        <v>1387.0383300999999</v>
      </c>
      <c r="H1562">
        <v>1371.5372314000001</v>
      </c>
      <c r="I1562">
        <v>1281.0786132999999</v>
      </c>
      <c r="J1562">
        <v>1258.2100829999999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1497.868817</v>
      </c>
      <c r="B1563" s="1">
        <f>DATE(2014,6,6) + TIME(20,51,5)</f>
        <v>41796.868807870371</v>
      </c>
      <c r="C1563">
        <v>70</v>
      </c>
      <c r="D1563">
        <v>69.966239928999997</v>
      </c>
      <c r="E1563">
        <v>40</v>
      </c>
      <c r="F1563">
        <v>38.459873199</v>
      </c>
      <c r="G1563">
        <v>1386.972168</v>
      </c>
      <c r="H1563">
        <v>1371.4822998</v>
      </c>
      <c r="I1563">
        <v>1281.0617675999999</v>
      </c>
      <c r="J1563">
        <v>1258.1870117000001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1498.9124569999999</v>
      </c>
      <c r="B1564" s="1">
        <f>DATE(2014,6,7) + TIME(21,53,56)</f>
        <v>41797.912453703706</v>
      </c>
      <c r="C1564">
        <v>70</v>
      </c>
      <c r="D1564">
        <v>69.966239928999997</v>
      </c>
      <c r="E1564">
        <v>40</v>
      </c>
      <c r="F1564">
        <v>38.422687531000001</v>
      </c>
      <c r="G1564">
        <v>1386.9058838000001</v>
      </c>
      <c r="H1564">
        <v>1371.4272461</v>
      </c>
      <c r="I1564">
        <v>1281.0444336</v>
      </c>
      <c r="J1564">
        <v>1258.1630858999999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1499.9779490000001</v>
      </c>
      <c r="B1565" s="1">
        <f>DATE(2014,6,8) + TIME(23,28,14)</f>
        <v>41798.977939814817</v>
      </c>
      <c r="C1565">
        <v>70</v>
      </c>
      <c r="D1565">
        <v>69.966239928999997</v>
      </c>
      <c r="E1565">
        <v>40</v>
      </c>
      <c r="F1565">
        <v>38.384906768999997</v>
      </c>
      <c r="G1565">
        <v>1386.8398437999999</v>
      </c>
      <c r="H1565">
        <v>1371.3723144999999</v>
      </c>
      <c r="I1565">
        <v>1281.0264893000001</v>
      </c>
      <c r="J1565">
        <v>1258.1384277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1501.0704940000001</v>
      </c>
      <c r="B1566" s="1">
        <f>DATE(2014,6,10) + TIME(1,41,30)</f>
        <v>41800.070486111108</v>
      </c>
      <c r="C1566">
        <v>70</v>
      </c>
      <c r="D1566">
        <v>69.966239928999997</v>
      </c>
      <c r="E1566">
        <v>40</v>
      </c>
      <c r="F1566">
        <v>38.346412659000002</v>
      </c>
      <c r="G1566">
        <v>1386.7738036999999</v>
      </c>
      <c r="H1566">
        <v>1371.3173827999999</v>
      </c>
      <c r="I1566">
        <v>1281.0080565999999</v>
      </c>
      <c r="J1566">
        <v>1258.1129149999999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1502.1959469999999</v>
      </c>
      <c r="B1567" s="1">
        <f>DATE(2014,6,11) + TIME(4,42,9)</f>
        <v>41801.195937500001</v>
      </c>
      <c r="C1567">
        <v>70</v>
      </c>
      <c r="D1567">
        <v>69.966239928999997</v>
      </c>
      <c r="E1567">
        <v>40</v>
      </c>
      <c r="F1567">
        <v>38.307037354000002</v>
      </c>
      <c r="G1567">
        <v>1386.7073975000001</v>
      </c>
      <c r="H1567">
        <v>1371.2620850000001</v>
      </c>
      <c r="I1567">
        <v>1280.9887695</v>
      </c>
      <c r="J1567">
        <v>1258.0861815999999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1503.3425850000001</v>
      </c>
      <c r="B1568" s="1">
        <f>DATE(2014,6,12) + TIME(8,13,19)</f>
        <v>41802.342581018522</v>
      </c>
      <c r="C1568">
        <v>70</v>
      </c>
      <c r="D1568">
        <v>69.966247558999996</v>
      </c>
      <c r="E1568">
        <v>40</v>
      </c>
      <c r="F1568">
        <v>38.266860962000003</v>
      </c>
      <c r="G1568">
        <v>1386.6403809000001</v>
      </c>
      <c r="H1568">
        <v>1371.2061768000001</v>
      </c>
      <c r="I1568">
        <v>1280.96875</v>
      </c>
      <c r="J1568">
        <v>1258.0582274999999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1504.499503</v>
      </c>
      <c r="B1569" s="1">
        <f>DATE(2014,6,13) + TIME(11,59,17)</f>
        <v>41803.499502314815</v>
      </c>
      <c r="C1569">
        <v>70</v>
      </c>
      <c r="D1569">
        <v>69.966247558999996</v>
      </c>
      <c r="E1569">
        <v>40</v>
      </c>
      <c r="F1569">
        <v>38.226127624999997</v>
      </c>
      <c r="G1569">
        <v>1386.5733643000001</v>
      </c>
      <c r="H1569">
        <v>1371.1502685999999</v>
      </c>
      <c r="I1569">
        <v>1280.947876</v>
      </c>
      <c r="J1569">
        <v>1258.0292969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1505.6719849999999</v>
      </c>
      <c r="B1570" s="1">
        <f>DATE(2014,6,14) + TIME(16,7,39)</f>
        <v>41804.671979166669</v>
      </c>
      <c r="C1570">
        <v>70</v>
      </c>
      <c r="D1570">
        <v>69.966255188000005</v>
      </c>
      <c r="E1570">
        <v>40</v>
      </c>
      <c r="F1570">
        <v>38.184921265</v>
      </c>
      <c r="G1570">
        <v>1386.5070800999999</v>
      </c>
      <c r="H1570">
        <v>1371.0948486</v>
      </c>
      <c r="I1570">
        <v>1280.9266356999999</v>
      </c>
      <c r="J1570">
        <v>1257.9995117000001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1506.865814</v>
      </c>
      <c r="B1571" s="1">
        <f>DATE(2014,6,15) + TIME(20,46,46)</f>
        <v>41805.865810185183</v>
      </c>
      <c r="C1571">
        <v>70</v>
      </c>
      <c r="D1571">
        <v>69.966255188000005</v>
      </c>
      <c r="E1571">
        <v>40</v>
      </c>
      <c r="F1571">
        <v>38.143154144</v>
      </c>
      <c r="G1571">
        <v>1386.4412841999999</v>
      </c>
      <c r="H1571">
        <v>1371.0397949000001</v>
      </c>
      <c r="I1571">
        <v>1280.9046631000001</v>
      </c>
      <c r="J1571">
        <v>1257.9686279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1508.0870870000001</v>
      </c>
      <c r="B1572" s="1">
        <f>DATE(2014,6,17) + TIME(2,5,24)</f>
        <v>41807.087083333332</v>
      </c>
      <c r="C1572">
        <v>70</v>
      </c>
      <c r="D1572">
        <v>69.966262817</v>
      </c>
      <c r="E1572">
        <v>40</v>
      </c>
      <c r="F1572">
        <v>38.100673676</v>
      </c>
      <c r="G1572">
        <v>1386.3754882999999</v>
      </c>
      <c r="H1572">
        <v>1370.9846190999999</v>
      </c>
      <c r="I1572">
        <v>1280.8819579999999</v>
      </c>
      <c r="J1572">
        <v>1257.9366454999999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1509.3317030000001</v>
      </c>
      <c r="B1573" s="1">
        <f>DATE(2014,6,18) + TIME(7,57,39)</f>
        <v>41808.331701388888</v>
      </c>
      <c r="C1573">
        <v>70</v>
      </c>
      <c r="D1573">
        <v>69.966270446999999</v>
      </c>
      <c r="E1573">
        <v>40</v>
      </c>
      <c r="F1573">
        <v>38.057422637999998</v>
      </c>
      <c r="G1573">
        <v>1386.3093262</v>
      </c>
      <c r="H1573">
        <v>1370.9293213000001</v>
      </c>
      <c r="I1573">
        <v>1280.8583983999999</v>
      </c>
      <c r="J1573">
        <v>1257.9031981999999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1510.6052050000001</v>
      </c>
      <c r="B1574" s="1">
        <f>DATE(2014,6,19) + TIME(14,31,29)</f>
        <v>41809.605196759258</v>
      </c>
      <c r="C1574">
        <v>70</v>
      </c>
      <c r="D1574">
        <v>69.966270446999999</v>
      </c>
      <c r="E1574">
        <v>40</v>
      </c>
      <c r="F1574">
        <v>38.013332366999997</v>
      </c>
      <c r="G1574">
        <v>1386.2432861</v>
      </c>
      <c r="H1574">
        <v>1370.8737793</v>
      </c>
      <c r="I1574">
        <v>1280.8339844</v>
      </c>
      <c r="J1574">
        <v>1257.8684082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1511.914121</v>
      </c>
      <c r="B1575" s="1">
        <f>DATE(2014,6,20) + TIME(21,56,20)</f>
        <v>41810.914120370369</v>
      </c>
      <c r="C1575">
        <v>70</v>
      </c>
      <c r="D1575">
        <v>69.966278075999995</v>
      </c>
      <c r="E1575">
        <v>40</v>
      </c>
      <c r="F1575">
        <v>37.968227386000002</v>
      </c>
      <c r="G1575">
        <v>1386.1768798999999</v>
      </c>
      <c r="H1575">
        <v>1370.8179932</v>
      </c>
      <c r="I1575">
        <v>1280.8084716999999</v>
      </c>
      <c r="J1575">
        <v>1257.8320312000001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1513.2583830000001</v>
      </c>
      <c r="B1576" s="1">
        <f>DATE(2014,6,22) + TIME(6,12,4)</f>
        <v>41812.258379629631</v>
      </c>
      <c r="C1576">
        <v>70</v>
      </c>
      <c r="D1576">
        <v>69.966285705999994</v>
      </c>
      <c r="E1576">
        <v>40</v>
      </c>
      <c r="F1576">
        <v>37.921997070000003</v>
      </c>
      <c r="G1576">
        <v>1386.1098632999999</v>
      </c>
      <c r="H1576">
        <v>1370.7617187999999</v>
      </c>
      <c r="I1576">
        <v>1280.7818603999999</v>
      </c>
      <c r="J1576">
        <v>1257.7937012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1514.609616</v>
      </c>
      <c r="B1577" s="1">
        <f>DATE(2014,6,23) + TIME(14,37,50)</f>
        <v>41813.609606481485</v>
      </c>
      <c r="C1577">
        <v>70</v>
      </c>
      <c r="D1577">
        <v>69.966293335000003</v>
      </c>
      <c r="E1577">
        <v>40</v>
      </c>
      <c r="F1577">
        <v>37.874965668000002</v>
      </c>
      <c r="G1577">
        <v>1386.0423584</v>
      </c>
      <c r="H1577">
        <v>1370.7048339999999</v>
      </c>
      <c r="I1577">
        <v>1280.7539062000001</v>
      </c>
      <c r="J1577">
        <v>1257.7536620999999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1515.967314</v>
      </c>
      <c r="B1578" s="1">
        <f>DATE(2014,6,24) + TIME(23,12,55)</f>
        <v>41814.967303240737</v>
      </c>
      <c r="C1578">
        <v>70</v>
      </c>
      <c r="D1578">
        <v>69.966300963999998</v>
      </c>
      <c r="E1578">
        <v>40</v>
      </c>
      <c r="F1578">
        <v>37.827484130999999</v>
      </c>
      <c r="G1578">
        <v>1385.9757079999999</v>
      </c>
      <c r="H1578">
        <v>1370.6485596</v>
      </c>
      <c r="I1578">
        <v>1280.7253418</v>
      </c>
      <c r="J1578">
        <v>1257.7122803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1517.337845</v>
      </c>
      <c r="B1579" s="1">
        <f>DATE(2014,6,26) + TIME(8,6,29)</f>
        <v>41816.337835648148</v>
      </c>
      <c r="C1579">
        <v>70</v>
      </c>
      <c r="D1579">
        <v>69.966316223000007</v>
      </c>
      <c r="E1579">
        <v>40</v>
      </c>
      <c r="F1579">
        <v>37.779598235999998</v>
      </c>
      <c r="G1579">
        <v>1385.9099120999999</v>
      </c>
      <c r="H1579">
        <v>1370.5930175999999</v>
      </c>
      <c r="I1579">
        <v>1280.6960449000001</v>
      </c>
      <c r="J1579">
        <v>1257.6696777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1518.7276099999999</v>
      </c>
      <c r="B1580" s="1">
        <f>DATE(2014,6,27) + TIME(17,27,45)</f>
        <v>41817.72760416667</v>
      </c>
      <c r="C1580">
        <v>70</v>
      </c>
      <c r="D1580">
        <v>69.966323853000006</v>
      </c>
      <c r="E1580">
        <v>40</v>
      </c>
      <c r="F1580">
        <v>37.731185912999997</v>
      </c>
      <c r="G1580">
        <v>1385.8446045000001</v>
      </c>
      <c r="H1580">
        <v>1370.5378418</v>
      </c>
      <c r="I1580">
        <v>1280.6660156</v>
      </c>
      <c r="J1580">
        <v>1257.6256103999999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1520.142625</v>
      </c>
      <c r="B1581" s="1">
        <f>DATE(2014,6,29) + TIME(3,25,22)</f>
        <v>41819.14261574074</v>
      </c>
      <c r="C1581">
        <v>70</v>
      </c>
      <c r="D1581">
        <v>69.966331482000001</v>
      </c>
      <c r="E1581">
        <v>40</v>
      </c>
      <c r="F1581">
        <v>37.682060241999999</v>
      </c>
      <c r="G1581">
        <v>1385.7795410000001</v>
      </c>
      <c r="H1581">
        <v>1370.4827881000001</v>
      </c>
      <c r="I1581">
        <v>1280.6348877</v>
      </c>
      <c r="J1581">
        <v>1257.5798339999999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1521.5896929999999</v>
      </c>
      <c r="B1582" s="1">
        <f>DATE(2014,6,30) + TIME(14,9,9)</f>
        <v>41820.589687500003</v>
      </c>
      <c r="C1582">
        <v>70</v>
      </c>
      <c r="D1582">
        <v>69.966346740999995</v>
      </c>
      <c r="E1582">
        <v>40</v>
      </c>
      <c r="F1582">
        <v>37.632007598999998</v>
      </c>
      <c r="G1582">
        <v>1385.7143555</v>
      </c>
      <c r="H1582">
        <v>1370.4276123</v>
      </c>
      <c r="I1582">
        <v>1280.6025391000001</v>
      </c>
      <c r="J1582">
        <v>1257.5321045000001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1522</v>
      </c>
      <c r="B1583" s="1">
        <f>DATE(2014,7,1) + TIME(0,0,0)</f>
        <v>41821</v>
      </c>
      <c r="C1583">
        <v>70</v>
      </c>
      <c r="D1583">
        <v>69.966339110999996</v>
      </c>
      <c r="E1583">
        <v>40</v>
      </c>
      <c r="F1583">
        <v>37.606040954999997</v>
      </c>
      <c r="G1583">
        <v>1385.6494141000001</v>
      </c>
      <c r="H1583">
        <v>1370.3724365</v>
      </c>
      <c r="I1583">
        <v>1280.5671387</v>
      </c>
      <c r="J1583">
        <v>1257.4890137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1523.486494</v>
      </c>
      <c r="B1584" s="1">
        <f>DATE(2014,7,2) + TIME(11,40,33)</f>
        <v>41822.486493055556</v>
      </c>
      <c r="C1584">
        <v>70</v>
      </c>
      <c r="D1584">
        <v>69.966354370000005</v>
      </c>
      <c r="E1584">
        <v>40</v>
      </c>
      <c r="F1584">
        <v>37.562007903999998</v>
      </c>
      <c r="G1584">
        <v>1385.630249</v>
      </c>
      <c r="H1584">
        <v>1370.3562012</v>
      </c>
      <c r="I1584">
        <v>1280.559082</v>
      </c>
      <c r="J1584">
        <v>1257.4658202999999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1525.0247870000001</v>
      </c>
      <c r="B1585" s="1">
        <f>DATE(2014,7,4) + TIME(0,35,41)</f>
        <v>41824.024780092594</v>
      </c>
      <c r="C1585">
        <v>70</v>
      </c>
      <c r="D1585">
        <v>69.966369628999999</v>
      </c>
      <c r="E1585">
        <v>40</v>
      </c>
      <c r="F1585">
        <v>37.511970519999998</v>
      </c>
      <c r="G1585">
        <v>1385.5646973</v>
      </c>
      <c r="H1585">
        <v>1370.3004149999999</v>
      </c>
      <c r="I1585">
        <v>1280.5236815999999</v>
      </c>
      <c r="J1585">
        <v>1257.4139404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1526.565272</v>
      </c>
      <c r="B1586" s="1">
        <f>DATE(2014,7,5) + TIME(13,33,59)</f>
        <v>41825.565266203703</v>
      </c>
      <c r="C1586">
        <v>70</v>
      </c>
      <c r="D1586">
        <v>69.966384887999993</v>
      </c>
      <c r="E1586">
        <v>40</v>
      </c>
      <c r="F1586">
        <v>37.459091186999999</v>
      </c>
      <c r="G1586">
        <v>1385.4976807</v>
      </c>
      <c r="H1586">
        <v>1370.2434082</v>
      </c>
      <c r="I1586">
        <v>1280.4862060999999</v>
      </c>
      <c r="J1586">
        <v>1257.3582764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1528.11481</v>
      </c>
      <c r="B1587" s="1">
        <f>DATE(2014,7,7) + TIME(2,45,19)</f>
        <v>41827.114803240744</v>
      </c>
      <c r="C1587">
        <v>70</v>
      </c>
      <c r="D1587">
        <v>69.966400145999998</v>
      </c>
      <c r="E1587">
        <v>40</v>
      </c>
      <c r="F1587">
        <v>37.405006409000002</v>
      </c>
      <c r="G1587">
        <v>1385.4317627</v>
      </c>
      <c r="H1587">
        <v>1370.1871338000001</v>
      </c>
      <c r="I1587">
        <v>1280.447876</v>
      </c>
      <c r="J1587">
        <v>1257.3007812000001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1529.680764</v>
      </c>
      <c r="B1588" s="1">
        <f>DATE(2014,7,8) + TIME(16,20,18)</f>
        <v>41828.680763888886</v>
      </c>
      <c r="C1588">
        <v>70</v>
      </c>
      <c r="D1588">
        <v>69.966407775999997</v>
      </c>
      <c r="E1588">
        <v>40</v>
      </c>
      <c r="F1588">
        <v>37.350139618</v>
      </c>
      <c r="G1588">
        <v>1385.3663329999999</v>
      </c>
      <c r="H1588">
        <v>1370.1313477000001</v>
      </c>
      <c r="I1588">
        <v>1280.4086914</v>
      </c>
      <c r="J1588">
        <v>1257.2412108999999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1531.270184</v>
      </c>
      <c r="B1589" s="1">
        <f>DATE(2014,7,10) + TIME(6,29,3)</f>
        <v>41830.270173611112</v>
      </c>
      <c r="C1589">
        <v>70</v>
      </c>
      <c r="D1589">
        <v>69.966423035000005</v>
      </c>
      <c r="E1589">
        <v>40</v>
      </c>
      <c r="F1589">
        <v>37.294483184999997</v>
      </c>
      <c r="G1589">
        <v>1385.3013916</v>
      </c>
      <c r="H1589">
        <v>1370.0759277</v>
      </c>
      <c r="I1589">
        <v>1280.3681641000001</v>
      </c>
      <c r="J1589">
        <v>1257.1795654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1532.890167</v>
      </c>
      <c r="B1590" s="1">
        <f>DATE(2014,7,11) + TIME(21,21,50)</f>
        <v>41831.890162037038</v>
      </c>
      <c r="C1590">
        <v>70</v>
      </c>
      <c r="D1590">
        <v>69.966438292999996</v>
      </c>
      <c r="E1590">
        <v>40</v>
      </c>
      <c r="F1590">
        <v>37.237876892000003</v>
      </c>
      <c r="G1590">
        <v>1385.2365723</v>
      </c>
      <c r="H1590">
        <v>1370.0203856999999</v>
      </c>
      <c r="I1590">
        <v>1280.3264160000001</v>
      </c>
      <c r="J1590">
        <v>1257.1154785000001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1534.5486490000001</v>
      </c>
      <c r="B1591" s="1">
        <f>DATE(2014,7,13) + TIME(13,10,3)</f>
        <v>41833.548645833333</v>
      </c>
      <c r="C1591">
        <v>70</v>
      </c>
      <c r="D1591">
        <v>69.966453552000004</v>
      </c>
      <c r="E1591">
        <v>40</v>
      </c>
      <c r="F1591">
        <v>37.180099487</v>
      </c>
      <c r="G1591">
        <v>1385.1713867000001</v>
      </c>
      <c r="H1591">
        <v>1369.9645995999999</v>
      </c>
      <c r="I1591">
        <v>1280.2829589999999</v>
      </c>
      <c r="J1591">
        <v>1257.0485839999999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1536.2484199999999</v>
      </c>
      <c r="B1592" s="1">
        <f>DATE(2014,7,15) + TIME(5,57,43)</f>
        <v>41835.248414351852</v>
      </c>
      <c r="C1592">
        <v>70</v>
      </c>
      <c r="D1592">
        <v>69.966476439999994</v>
      </c>
      <c r="E1592">
        <v>40</v>
      </c>
      <c r="F1592">
        <v>37.120956421000002</v>
      </c>
      <c r="G1592">
        <v>1385.1058350000001</v>
      </c>
      <c r="H1592">
        <v>1369.9082031</v>
      </c>
      <c r="I1592">
        <v>1280.2376709</v>
      </c>
      <c r="J1592">
        <v>1256.9785156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1537.984997</v>
      </c>
      <c r="B1593" s="1">
        <f>DATE(2014,7,16) + TIME(23,38,23)</f>
        <v>41836.984988425924</v>
      </c>
      <c r="C1593">
        <v>70</v>
      </c>
      <c r="D1593">
        <v>69.966491699000002</v>
      </c>
      <c r="E1593">
        <v>40</v>
      </c>
      <c r="F1593">
        <v>37.060398102000001</v>
      </c>
      <c r="G1593">
        <v>1385.0395507999999</v>
      </c>
      <c r="H1593">
        <v>1369.8513184000001</v>
      </c>
      <c r="I1593">
        <v>1280.1904297000001</v>
      </c>
      <c r="J1593">
        <v>1256.9050293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1539.7335519999999</v>
      </c>
      <c r="B1594" s="1">
        <f>DATE(2014,7,18) + TIME(17,36,18)</f>
        <v>41838.733541666668</v>
      </c>
      <c r="C1594">
        <v>70</v>
      </c>
      <c r="D1594">
        <v>69.966506957999997</v>
      </c>
      <c r="E1594">
        <v>40</v>
      </c>
      <c r="F1594">
        <v>36.998764037999997</v>
      </c>
      <c r="G1594">
        <v>1384.9729004000001</v>
      </c>
      <c r="H1594">
        <v>1369.7939452999999</v>
      </c>
      <c r="I1594">
        <v>1280.1412353999999</v>
      </c>
      <c r="J1594">
        <v>1256.8283690999999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1541.493571</v>
      </c>
      <c r="B1595" s="1">
        <f>DATE(2014,7,20) + TIME(11,50,44)</f>
        <v>41840.493564814817</v>
      </c>
      <c r="C1595">
        <v>70</v>
      </c>
      <c r="D1595">
        <v>69.966529846</v>
      </c>
      <c r="E1595">
        <v>40</v>
      </c>
      <c r="F1595">
        <v>36.936481475999997</v>
      </c>
      <c r="G1595">
        <v>1384.9068603999999</v>
      </c>
      <c r="H1595">
        <v>1369.7369385</v>
      </c>
      <c r="I1595">
        <v>1280.0908202999999</v>
      </c>
      <c r="J1595">
        <v>1256.7491454999999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1543.273434</v>
      </c>
      <c r="B1596" s="1">
        <f>DATE(2014,7,22) + TIME(6,33,44)</f>
        <v>41842.273425925923</v>
      </c>
      <c r="C1596">
        <v>70</v>
      </c>
      <c r="D1596">
        <v>69.966545104999994</v>
      </c>
      <c r="E1596">
        <v>40</v>
      </c>
      <c r="F1596">
        <v>36.873622894</v>
      </c>
      <c r="G1596">
        <v>1384.8413086</v>
      </c>
      <c r="H1596">
        <v>1369.6804199000001</v>
      </c>
      <c r="I1596">
        <v>1280.0393065999999</v>
      </c>
      <c r="J1596">
        <v>1256.6677245999999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1545.0811819999999</v>
      </c>
      <c r="B1597" s="1">
        <f>DATE(2014,7,24) + TIME(1,56,54)</f>
        <v>41844.081180555557</v>
      </c>
      <c r="C1597">
        <v>70</v>
      </c>
      <c r="D1597">
        <v>69.966567992999998</v>
      </c>
      <c r="E1597">
        <v>40</v>
      </c>
      <c r="F1597">
        <v>36.810035706000001</v>
      </c>
      <c r="G1597">
        <v>1384.776001</v>
      </c>
      <c r="H1597">
        <v>1369.6240233999999</v>
      </c>
      <c r="I1597">
        <v>1279.9863281</v>
      </c>
      <c r="J1597">
        <v>1256.5836182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1546.9210109999999</v>
      </c>
      <c r="B1598" s="1">
        <f>DATE(2014,7,25) + TIME(22,6,15)</f>
        <v>41845.921006944445</v>
      </c>
      <c r="C1598">
        <v>70</v>
      </c>
      <c r="D1598">
        <v>69.966583252000007</v>
      </c>
      <c r="E1598">
        <v>40</v>
      </c>
      <c r="F1598">
        <v>36.745552062999998</v>
      </c>
      <c r="G1598">
        <v>1384.7106934000001</v>
      </c>
      <c r="H1598">
        <v>1369.5673827999999</v>
      </c>
      <c r="I1598">
        <v>1279.9316406</v>
      </c>
      <c r="J1598">
        <v>1256.4964600000001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1548.7899560000001</v>
      </c>
      <c r="B1599" s="1">
        <f>DATE(2014,7,27) + TIME(18,57,32)</f>
        <v>41847.789953703701</v>
      </c>
      <c r="C1599">
        <v>70</v>
      </c>
      <c r="D1599">
        <v>69.966606139999996</v>
      </c>
      <c r="E1599">
        <v>40</v>
      </c>
      <c r="F1599">
        <v>36.680130005000002</v>
      </c>
      <c r="G1599">
        <v>1384.6451416</v>
      </c>
      <c r="H1599">
        <v>1369.5106201000001</v>
      </c>
      <c r="I1599">
        <v>1279.8752440999999</v>
      </c>
      <c r="J1599">
        <v>1256.4061279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1550.6959199999999</v>
      </c>
      <c r="B1600" s="1">
        <f>DATE(2014,7,29) + TIME(16,42,7)</f>
        <v>41849.695914351854</v>
      </c>
      <c r="C1600">
        <v>70</v>
      </c>
      <c r="D1600">
        <v>69.966629028</v>
      </c>
      <c r="E1600">
        <v>40</v>
      </c>
      <c r="F1600">
        <v>36.613739013999997</v>
      </c>
      <c r="G1600">
        <v>1384.5794678</v>
      </c>
      <c r="H1600">
        <v>1369.4536132999999</v>
      </c>
      <c r="I1600">
        <v>1279.8171387</v>
      </c>
      <c r="J1600">
        <v>1256.3125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1552.6477010000001</v>
      </c>
      <c r="B1601" s="1">
        <f>DATE(2014,7,31) + TIME(15,32,41)</f>
        <v>41851.647696759261</v>
      </c>
      <c r="C1601">
        <v>70</v>
      </c>
      <c r="D1601">
        <v>69.966651916999993</v>
      </c>
      <c r="E1601">
        <v>40</v>
      </c>
      <c r="F1601">
        <v>36.546222686999997</v>
      </c>
      <c r="G1601">
        <v>1384.5135498</v>
      </c>
      <c r="H1601">
        <v>1369.3962402</v>
      </c>
      <c r="I1601">
        <v>1279.7572021000001</v>
      </c>
      <c r="J1601">
        <v>1256.215332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1553</v>
      </c>
      <c r="B1602" s="1">
        <f>DATE(2014,8,1) + TIME(0,0,0)</f>
        <v>41852</v>
      </c>
      <c r="C1602">
        <v>70</v>
      </c>
      <c r="D1602">
        <v>69.966644286999994</v>
      </c>
      <c r="E1602">
        <v>40</v>
      </c>
      <c r="F1602">
        <v>36.517871857000003</v>
      </c>
      <c r="G1602">
        <v>1384.4479980000001</v>
      </c>
      <c r="H1602">
        <v>1369.3392334</v>
      </c>
      <c r="I1602">
        <v>1279.6971435999999</v>
      </c>
      <c r="J1602">
        <v>1256.1348877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1554.977848</v>
      </c>
      <c r="B1603" s="1">
        <f>DATE(2014,8,2) + TIME(23,28,6)</f>
        <v>41853.977847222224</v>
      </c>
      <c r="C1603">
        <v>70</v>
      </c>
      <c r="D1603">
        <v>69.966674804999997</v>
      </c>
      <c r="E1603">
        <v>40</v>
      </c>
      <c r="F1603">
        <v>36.460411071999999</v>
      </c>
      <c r="G1603">
        <v>1384.4346923999999</v>
      </c>
      <c r="H1603">
        <v>1369.3275146000001</v>
      </c>
      <c r="I1603">
        <v>1279.6826172000001</v>
      </c>
      <c r="J1603">
        <v>1256.0920410000001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1556.9762390000001</v>
      </c>
      <c r="B1604" s="1">
        <f>DATE(2014,8,4) + TIME(23,25,47)</f>
        <v>41855.976238425923</v>
      </c>
      <c r="C1604">
        <v>70</v>
      </c>
      <c r="D1604">
        <v>69.966697693</v>
      </c>
      <c r="E1604">
        <v>40</v>
      </c>
      <c r="F1604">
        <v>36.394714354999998</v>
      </c>
      <c r="G1604">
        <v>1384.3685303</v>
      </c>
      <c r="H1604">
        <v>1369.2697754000001</v>
      </c>
      <c r="I1604">
        <v>1279.6196289</v>
      </c>
      <c r="J1604">
        <v>1255.9904785000001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1558.995602</v>
      </c>
      <c r="B1605" s="1">
        <f>DATE(2014,8,6) + TIME(23,53,39)</f>
        <v>41857.99559027778</v>
      </c>
      <c r="C1605">
        <v>70</v>
      </c>
      <c r="D1605">
        <v>69.966720581000004</v>
      </c>
      <c r="E1605">
        <v>40</v>
      </c>
      <c r="F1605">
        <v>36.326335907000001</v>
      </c>
      <c r="G1605">
        <v>1384.3023682</v>
      </c>
      <c r="H1605">
        <v>1369.2120361</v>
      </c>
      <c r="I1605">
        <v>1279.5548096</v>
      </c>
      <c r="J1605">
        <v>1255.8842772999999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1561.0358739999999</v>
      </c>
      <c r="B1606" s="1">
        <f>DATE(2014,8,9) + TIME(0,51,39)</f>
        <v>41860.035868055558</v>
      </c>
      <c r="C1606">
        <v>70</v>
      </c>
      <c r="D1606">
        <v>69.966743468999994</v>
      </c>
      <c r="E1606">
        <v>40</v>
      </c>
      <c r="F1606">
        <v>36.257061004999997</v>
      </c>
      <c r="G1606">
        <v>1384.2363281</v>
      </c>
      <c r="H1606">
        <v>1369.1541748</v>
      </c>
      <c r="I1606">
        <v>1279.4885254000001</v>
      </c>
      <c r="J1606">
        <v>1255.7750243999999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1563.106098</v>
      </c>
      <c r="B1607" s="1">
        <f>DATE(2014,8,11) + TIME(2,32,46)</f>
        <v>41862.106087962966</v>
      </c>
      <c r="C1607">
        <v>70</v>
      </c>
      <c r="D1607">
        <v>69.966773986999996</v>
      </c>
      <c r="E1607">
        <v>40</v>
      </c>
      <c r="F1607">
        <v>36.187423705999997</v>
      </c>
      <c r="G1607">
        <v>1384.1705322</v>
      </c>
      <c r="H1607">
        <v>1369.0965576000001</v>
      </c>
      <c r="I1607">
        <v>1279.4210204999999</v>
      </c>
      <c r="J1607">
        <v>1255.6629639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1565.215608</v>
      </c>
      <c r="B1608" s="1">
        <f>DATE(2014,8,13) + TIME(5,10,28)</f>
        <v>41864.215601851851</v>
      </c>
      <c r="C1608">
        <v>70</v>
      </c>
      <c r="D1608">
        <v>69.966796875</v>
      </c>
      <c r="E1608">
        <v>40</v>
      </c>
      <c r="F1608">
        <v>36.117481232000003</v>
      </c>
      <c r="G1608">
        <v>1384.1046143000001</v>
      </c>
      <c r="H1608">
        <v>1369.0386963000001</v>
      </c>
      <c r="I1608">
        <v>1279.3522949000001</v>
      </c>
      <c r="J1608">
        <v>1255.5482178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1567.373648</v>
      </c>
      <c r="B1609" s="1">
        <f>DATE(2014,8,15) + TIME(8,58,3)</f>
        <v>41866.373645833337</v>
      </c>
      <c r="C1609">
        <v>70</v>
      </c>
      <c r="D1609">
        <v>69.966819763000004</v>
      </c>
      <c r="E1609">
        <v>40</v>
      </c>
      <c r="F1609">
        <v>36.047142029</v>
      </c>
      <c r="G1609">
        <v>1384.0383300999999</v>
      </c>
      <c r="H1609">
        <v>1368.9804687999999</v>
      </c>
      <c r="I1609">
        <v>1279.2818603999999</v>
      </c>
      <c r="J1609">
        <v>1255.4301757999999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1569.5909590000001</v>
      </c>
      <c r="B1610" s="1">
        <f>DATE(2014,8,17) + TIME(14,10,58)</f>
        <v>41868.590949074074</v>
      </c>
      <c r="C1610">
        <v>70</v>
      </c>
      <c r="D1610">
        <v>69.966850281000006</v>
      </c>
      <c r="E1610">
        <v>40</v>
      </c>
      <c r="F1610">
        <v>35.976303100999999</v>
      </c>
      <c r="G1610">
        <v>1383.9714355000001</v>
      </c>
      <c r="H1610">
        <v>1368.9215088000001</v>
      </c>
      <c r="I1610">
        <v>1279.2097168</v>
      </c>
      <c r="J1610">
        <v>1255.3084716999999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1571.8218340000001</v>
      </c>
      <c r="B1611" s="1">
        <f>DATE(2014,8,19) + TIME(19,43,26)</f>
        <v>41870.821828703702</v>
      </c>
      <c r="C1611">
        <v>70</v>
      </c>
      <c r="D1611">
        <v>69.966880798000005</v>
      </c>
      <c r="E1611">
        <v>40</v>
      </c>
      <c r="F1611">
        <v>35.905357361</v>
      </c>
      <c r="G1611">
        <v>1383.9035644999999</v>
      </c>
      <c r="H1611">
        <v>1368.8615723</v>
      </c>
      <c r="I1611">
        <v>1279.1354980000001</v>
      </c>
      <c r="J1611">
        <v>1255.1831055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1574.0638220000001</v>
      </c>
      <c r="B1612" s="1">
        <f>DATE(2014,8,22) + TIME(1,31,54)</f>
        <v>41873.063819444447</v>
      </c>
      <c r="C1612">
        <v>70</v>
      </c>
      <c r="D1612">
        <v>69.966903686999999</v>
      </c>
      <c r="E1612">
        <v>40</v>
      </c>
      <c r="F1612">
        <v>35.835254669000001</v>
      </c>
      <c r="G1612">
        <v>1383.8360596</v>
      </c>
      <c r="H1612">
        <v>1368.8020019999999</v>
      </c>
      <c r="I1612">
        <v>1279.0609131000001</v>
      </c>
      <c r="J1612">
        <v>1255.0561522999999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1576.3262560000001</v>
      </c>
      <c r="B1613" s="1">
        <f>DATE(2014,8,24) + TIME(7,49,48)</f>
        <v>41875.326249999998</v>
      </c>
      <c r="C1613">
        <v>70</v>
      </c>
      <c r="D1613">
        <v>69.966934203999998</v>
      </c>
      <c r="E1613">
        <v>40</v>
      </c>
      <c r="F1613">
        <v>35.766353606999999</v>
      </c>
      <c r="G1613">
        <v>1383.769043</v>
      </c>
      <c r="H1613">
        <v>1368.7427978999999</v>
      </c>
      <c r="I1613">
        <v>1278.9860839999999</v>
      </c>
      <c r="J1613">
        <v>1254.9282227000001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1578.618645</v>
      </c>
      <c r="B1614" s="1">
        <f>DATE(2014,8,26) + TIME(14,50,50)</f>
        <v>41877.618634259263</v>
      </c>
      <c r="C1614">
        <v>70</v>
      </c>
      <c r="D1614">
        <v>69.966964722</v>
      </c>
      <c r="E1614">
        <v>40</v>
      </c>
      <c r="F1614">
        <v>35.698726653999998</v>
      </c>
      <c r="G1614">
        <v>1383.7023925999999</v>
      </c>
      <c r="H1614">
        <v>1368.6835937999999</v>
      </c>
      <c r="I1614">
        <v>1278.9108887</v>
      </c>
      <c r="J1614">
        <v>1254.7991943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1580.951791</v>
      </c>
      <c r="B1615" s="1">
        <f>DATE(2014,8,28) + TIME(22,50,34)</f>
        <v>41879.951782407406</v>
      </c>
      <c r="C1615">
        <v>70</v>
      </c>
      <c r="D1615">
        <v>69.966995238999999</v>
      </c>
      <c r="E1615">
        <v>40</v>
      </c>
      <c r="F1615">
        <v>35.632369994999998</v>
      </c>
      <c r="G1615">
        <v>1383.6354980000001</v>
      </c>
      <c r="H1615">
        <v>1368.6243896000001</v>
      </c>
      <c r="I1615">
        <v>1278.8353271000001</v>
      </c>
      <c r="J1615">
        <v>1254.6685791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1583.335885</v>
      </c>
      <c r="B1616" s="1">
        <f>DATE(2014,8,31) + TIME(8,3,40)</f>
        <v>41882.335879629631</v>
      </c>
      <c r="C1616">
        <v>70</v>
      </c>
      <c r="D1616">
        <v>69.967025757000002</v>
      </c>
      <c r="E1616">
        <v>40</v>
      </c>
      <c r="F1616">
        <v>35.567302703999999</v>
      </c>
      <c r="G1616">
        <v>1383.5683594</v>
      </c>
      <c r="H1616">
        <v>1368.5645752</v>
      </c>
      <c r="I1616">
        <v>1278.7591553</v>
      </c>
      <c r="J1616">
        <v>1254.5363769999999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1584</v>
      </c>
      <c r="B1617" s="1">
        <f>DATE(2014,9,1) + TIME(0,0,0)</f>
        <v>41883</v>
      </c>
      <c r="C1617">
        <v>70</v>
      </c>
      <c r="D1617">
        <v>69.967025757000002</v>
      </c>
      <c r="E1617">
        <v>40</v>
      </c>
      <c r="F1617">
        <v>35.529933929000002</v>
      </c>
      <c r="G1617">
        <v>1383.5009766000001</v>
      </c>
      <c r="H1617">
        <v>1368.5046387</v>
      </c>
      <c r="I1617">
        <v>1278.6881103999999</v>
      </c>
      <c r="J1617">
        <v>1254.4240723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1586.437574</v>
      </c>
      <c r="B1618" s="1">
        <f>DATE(2014,9,3) + TIME(10,30,6)</f>
        <v>41885.437569444446</v>
      </c>
      <c r="C1618">
        <v>70</v>
      </c>
      <c r="D1618">
        <v>69.967063904</v>
      </c>
      <c r="E1618">
        <v>40</v>
      </c>
      <c r="F1618">
        <v>35.481586456000002</v>
      </c>
      <c r="G1618">
        <v>1383.4814452999999</v>
      </c>
      <c r="H1618">
        <v>1368.4871826000001</v>
      </c>
      <c r="I1618">
        <v>1278.6585693</v>
      </c>
      <c r="J1618">
        <v>1254.3587646000001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1588.9227510000001</v>
      </c>
      <c r="B1619" s="1">
        <f>DATE(2014,9,5) + TIME(22,8,45)</f>
        <v>41887.922743055555</v>
      </c>
      <c r="C1619">
        <v>70</v>
      </c>
      <c r="D1619">
        <v>69.967094420999999</v>
      </c>
      <c r="E1619">
        <v>40</v>
      </c>
      <c r="F1619">
        <v>35.424495696999998</v>
      </c>
      <c r="G1619">
        <v>1383.4133300999999</v>
      </c>
      <c r="H1619">
        <v>1368.4265137</v>
      </c>
      <c r="I1619">
        <v>1278.5834961</v>
      </c>
      <c r="J1619">
        <v>1254.2285156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1591.4212419999999</v>
      </c>
      <c r="B1620" s="1">
        <f>DATE(2014,9,8) + TIME(10,6,35)</f>
        <v>41890.421238425923</v>
      </c>
      <c r="C1620">
        <v>70</v>
      </c>
      <c r="D1620">
        <v>69.967124939000001</v>
      </c>
      <c r="E1620">
        <v>40</v>
      </c>
      <c r="F1620">
        <v>35.367229461999997</v>
      </c>
      <c r="G1620">
        <v>1383.3444824000001</v>
      </c>
      <c r="H1620">
        <v>1368.3648682</v>
      </c>
      <c r="I1620">
        <v>1278.5068358999999</v>
      </c>
      <c r="J1620">
        <v>1254.0939940999999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1593.9435410000001</v>
      </c>
      <c r="B1621" s="1">
        <f>DATE(2014,9,10) + TIME(22,38,41)</f>
        <v>41892.943530092591</v>
      </c>
      <c r="C1621">
        <v>70</v>
      </c>
      <c r="D1621">
        <v>69.967163085999999</v>
      </c>
      <c r="E1621">
        <v>40</v>
      </c>
      <c r="F1621">
        <v>35.312690734999997</v>
      </c>
      <c r="G1621">
        <v>1383.276001</v>
      </c>
      <c r="H1621">
        <v>1368.3035889</v>
      </c>
      <c r="I1621">
        <v>1278.4311522999999</v>
      </c>
      <c r="J1621">
        <v>1253.9598389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1596.5003839999999</v>
      </c>
      <c r="B1622" s="1">
        <f>DATE(2014,9,13) + TIME(12,0,33)</f>
        <v>41895.500381944446</v>
      </c>
      <c r="C1622">
        <v>70</v>
      </c>
      <c r="D1622">
        <v>69.967193604000002</v>
      </c>
      <c r="E1622">
        <v>40</v>
      </c>
      <c r="F1622">
        <v>35.261783600000001</v>
      </c>
      <c r="G1622">
        <v>1383.2076416</v>
      </c>
      <c r="H1622">
        <v>1368.2423096</v>
      </c>
      <c r="I1622">
        <v>1278.3565673999999</v>
      </c>
      <c r="J1622">
        <v>1253.8270264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1599.1035919999999</v>
      </c>
      <c r="B1623" s="1">
        <f>DATE(2014,9,16) + TIME(2,29,10)</f>
        <v>41898.103587962964</v>
      </c>
      <c r="C1623">
        <v>70</v>
      </c>
      <c r="D1623">
        <v>69.967224121000001</v>
      </c>
      <c r="E1623">
        <v>40</v>
      </c>
      <c r="F1623">
        <v>35.214973450000002</v>
      </c>
      <c r="G1623">
        <v>1383.1390381000001</v>
      </c>
      <c r="H1623">
        <v>1368.1807861</v>
      </c>
      <c r="I1623">
        <v>1278.2832031</v>
      </c>
      <c r="J1623">
        <v>1253.6956786999999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1601.75649</v>
      </c>
      <c r="B1624" s="1">
        <f>DATE(2014,9,18) + TIME(18,9,20)</f>
        <v>41900.756481481483</v>
      </c>
      <c r="C1624">
        <v>70</v>
      </c>
      <c r="D1624">
        <v>69.967262267999999</v>
      </c>
      <c r="E1624">
        <v>40</v>
      </c>
      <c r="F1624">
        <v>35.172714233000001</v>
      </c>
      <c r="G1624">
        <v>1383.0700684000001</v>
      </c>
      <c r="H1624">
        <v>1368.1187743999999</v>
      </c>
      <c r="I1624">
        <v>1278.2111815999999</v>
      </c>
      <c r="J1624">
        <v>1253.5660399999999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1604.451767</v>
      </c>
      <c r="B1625" s="1">
        <f>DATE(2014,9,21) + TIME(10,50,32)</f>
        <v>41903.45175925926</v>
      </c>
      <c r="C1625">
        <v>70</v>
      </c>
      <c r="D1625">
        <v>69.967300414999997</v>
      </c>
      <c r="E1625">
        <v>40</v>
      </c>
      <c r="F1625">
        <v>35.135654449</v>
      </c>
      <c r="G1625">
        <v>1383.0004882999999</v>
      </c>
      <c r="H1625">
        <v>1368.0560303</v>
      </c>
      <c r="I1625">
        <v>1278.140625</v>
      </c>
      <c r="J1625">
        <v>1253.4384766000001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1607.1886979999999</v>
      </c>
      <c r="B1626" s="1">
        <f>DATE(2014,9,24) + TIME(4,31,43)</f>
        <v>41906.188692129632</v>
      </c>
      <c r="C1626">
        <v>70</v>
      </c>
      <c r="D1626">
        <v>69.967330933</v>
      </c>
      <c r="E1626">
        <v>40</v>
      </c>
      <c r="F1626">
        <v>35.104576111</v>
      </c>
      <c r="G1626">
        <v>1382.9305420000001</v>
      </c>
      <c r="H1626">
        <v>1367.9929199000001</v>
      </c>
      <c r="I1626">
        <v>1278.0721435999999</v>
      </c>
      <c r="J1626">
        <v>1253.3142089999999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1609.9550750000001</v>
      </c>
      <c r="B1627" s="1">
        <f>DATE(2014,9,26) + TIME(22,55,18)</f>
        <v>41908.955069444448</v>
      </c>
      <c r="C1627">
        <v>70</v>
      </c>
      <c r="D1627">
        <v>69.967369079999997</v>
      </c>
      <c r="E1627">
        <v>40</v>
      </c>
      <c r="F1627">
        <v>35.080287933000001</v>
      </c>
      <c r="G1627">
        <v>1382.8602295000001</v>
      </c>
      <c r="H1627">
        <v>1367.9294434000001</v>
      </c>
      <c r="I1627">
        <v>1278.0062256000001</v>
      </c>
      <c r="J1627">
        <v>1253.1939697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1612.7653789999999</v>
      </c>
      <c r="B1628" s="1">
        <f>DATE(2014,9,29) + TIME(18,22,8)</f>
        <v>41911.765370370369</v>
      </c>
      <c r="C1628">
        <v>70</v>
      </c>
      <c r="D1628">
        <v>69.967407226999995</v>
      </c>
      <c r="E1628">
        <v>40</v>
      </c>
      <c r="F1628">
        <v>35.063602447999997</v>
      </c>
      <c r="G1628">
        <v>1382.7899170000001</v>
      </c>
      <c r="H1628">
        <v>1367.8659668</v>
      </c>
      <c r="I1628">
        <v>1277.9434814000001</v>
      </c>
      <c r="J1628">
        <v>1253.0792236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1614</v>
      </c>
      <c r="B1629" s="1">
        <f>DATE(2014,10,1) + TIME(0,0,0)</f>
        <v>41913</v>
      </c>
      <c r="C1629">
        <v>70</v>
      </c>
      <c r="D1629">
        <v>69.967414856000005</v>
      </c>
      <c r="E1629">
        <v>40</v>
      </c>
      <c r="F1629">
        <v>35.057254790999998</v>
      </c>
      <c r="G1629">
        <v>1382.7194824000001</v>
      </c>
      <c r="H1629">
        <v>1367.802124</v>
      </c>
      <c r="I1629">
        <v>1277.8905029</v>
      </c>
      <c r="J1629">
        <v>1252.9814452999999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1616.848602</v>
      </c>
      <c r="B1630" s="1">
        <f>DATE(2014,10,3) + TIME(20,21,59)</f>
        <v>41915.848599537036</v>
      </c>
      <c r="C1630">
        <v>70</v>
      </c>
      <c r="D1630">
        <v>69.967460631999998</v>
      </c>
      <c r="E1630">
        <v>40</v>
      </c>
      <c r="F1630">
        <v>35.054996490000001</v>
      </c>
      <c r="G1630">
        <v>1382.6883545000001</v>
      </c>
      <c r="H1630">
        <v>1367.7738036999999</v>
      </c>
      <c r="I1630">
        <v>1277.8569336</v>
      </c>
      <c r="J1630">
        <v>1252.9205322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1619.7628130000001</v>
      </c>
      <c r="B1631" s="1">
        <f>DATE(2014,10,6) + TIME(18,18,27)</f>
        <v>41918.762812499997</v>
      </c>
      <c r="C1631">
        <v>70</v>
      </c>
      <c r="D1631">
        <v>69.967498778999996</v>
      </c>
      <c r="E1631">
        <v>40</v>
      </c>
      <c r="F1631">
        <v>35.060699462999999</v>
      </c>
      <c r="G1631">
        <v>1382.6180420000001</v>
      </c>
      <c r="H1631">
        <v>1367.7099608999999</v>
      </c>
      <c r="I1631">
        <v>1277.8059082</v>
      </c>
      <c r="J1631">
        <v>1252.8261719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1622.717128</v>
      </c>
      <c r="B1632" s="1">
        <f>DATE(2014,10,9) + TIME(17,12,39)</f>
        <v>41921.717118055552</v>
      </c>
      <c r="C1632">
        <v>70</v>
      </c>
      <c r="D1632">
        <v>69.967536925999994</v>
      </c>
      <c r="E1632">
        <v>40</v>
      </c>
      <c r="F1632">
        <v>35.076683043999999</v>
      </c>
      <c r="G1632">
        <v>1382.5467529</v>
      </c>
      <c r="H1632">
        <v>1367.6450195</v>
      </c>
      <c r="I1632">
        <v>1277.7570800999999</v>
      </c>
      <c r="J1632">
        <v>1252.7360839999999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1625.706864</v>
      </c>
      <c r="B1633" s="1">
        <f>DATE(2014,10,12) + TIME(16,57,53)</f>
        <v>41924.706863425927</v>
      </c>
      <c r="C1633">
        <v>70</v>
      </c>
      <c r="D1633">
        <v>69.967575073000006</v>
      </c>
      <c r="E1633">
        <v>40</v>
      </c>
      <c r="F1633">
        <v>35.104125977000002</v>
      </c>
      <c r="G1633">
        <v>1382.4750977000001</v>
      </c>
      <c r="H1633">
        <v>1367.5799560999999</v>
      </c>
      <c r="I1633">
        <v>1277.7127685999999</v>
      </c>
      <c r="J1633">
        <v>1252.6545410000001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1628.706144</v>
      </c>
      <c r="B1634" s="1">
        <f>DATE(2014,10,15) + TIME(16,56,50)</f>
        <v>41927.706134259257</v>
      </c>
      <c r="C1634">
        <v>70</v>
      </c>
      <c r="D1634">
        <v>69.967613220000004</v>
      </c>
      <c r="E1634">
        <v>40</v>
      </c>
      <c r="F1634">
        <v>35.143894195999998</v>
      </c>
      <c r="G1634">
        <v>1382.4035644999999</v>
      </c>
      <c r="H1634">
        <v>1367.5145264</v>
      </c>
      <c r="I1634">
        <v>1277.6735839999999</v>
      </c>
      <c r="J1634">
        <v>1252.5828856999999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1631.7441449999999</v>
      </c>
      <c r="B1635" s="1">
        <f>DATE(2014,10,18) + TIME(17,51,34)</f>
        <v>41930.744143518517</v>
      </c>
      <c r="C1635">
        <v>70</v>
      </c>
      <c r="D1635">
        <v>69.967658997000001</v>
      </c>
      <c r="E1635">
        <v>40</v>
      </c>
      <c r="F1635">
        <v>35.196556090999998</v>
      </c>
      <c r="G1635">
        <v>1382.3325195</v>
      </c>
      <c r="H1635">
        <v>1367.449707</v>
      </c>
      <c r="I1635">
        <v>1277.6403809000001</v>
      </c>
      <c r="J1635">
        <v>1252.5228271000001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1634.8325070000001</v>
      </c>
      <c r="B1636" s="1">
        <f>DATE(2014,10,21) + TIME(19,58,48)</f>
        <v>41933.832499999997</v>
      </c>
      <c r="C1636">
        <v>70</v>
      </c>
      <c r="D1636">
        <v>69.967697143999999</v>
      </c>
      <c r="E1636">
        <v>40</v>
      </c>
      <c r="F1636">
        <v>35.263050079000003</v>
      </c>
      <c r="G1636">
        <v>1382.2613524999999</v>
      </c>
      <c r="H1636">
        <v>1367.3846435999999</v>
      </c>
      <c r="I1636">
        <v>1277.6130370999999</v>
      </c>
      <c r="J1636">
        <v>1252.4743652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1637.984915</v>
      </c>
      <c r="B1637" s="1">
        <f>DATE(2014,10,24) + TIME(23,38,16)</f>
        <v>41936.984907407408</v>
      </c>
      <c r="C1637">
        <v>70</v>
      </c>
      <c r="D1637">
        <v>69.967735290999997</v>
      </c>
      <c r="E1637">
        <v>40</v>
      </c>
      <c r="F1637">
        <v>35.344402313000003</v>
      </c>
      <c r="G1637">
        <v>1382.1898193</v>
      </c>
      <c r="H1637">
        <v>1367.3192139</v>
      </c>
      <c r="I1637">
        <v>1277.5917969</v>
      </c>
      <c r="J1637">
        <v>1252.4382324000001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1641.187995</v>
      </c>
      <c r="B1638" s="1">
        <f>DATE(2014,10,28) + TIME(4,30,42)</f>
        <v>41940.187986111108</v>
      </c>
      <c r="C1638">
        <v>70</v>
      </c>
      <c r="D1638">
        <v>69.967781067000004</v>
      </c>
      <c r="E1638">
        <v>40</v>
      </c>
      <c r="F1638">
        <v>35.441520691000001</v>
      </c>
      <c r="G1638">
        <v>1382.1177978999999</v>
      </c>
      <c r="H1638">
        <v>1367.2531738</v>
      </c>
      <c r="I1638">
        <v>1277.5770264</v>
      </c>
      <c r="J1638">
        <v>1252.4151611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1644.394777</v>
      </c>
      <c r="B1639" s="1">
        <f>DATE(2014,10,31) + TIME(9,28,28)</f>
        <v>41943.394768518519</v>
      </c>
      <c r="C1639">
        <v>70</v>
      </c>
      <c r="D1639">
        <v>69.967819214000002</v>
      </c>
      <c r="E1639">
        <v>40</v>
      </c>
      <c r="F1639">
        <v>35.554435730000002</v>
      </c>
      <c r="G1639">
        <v>1382.0455322</v>
      </c>
      <c r="H1639">
        <v>1367.1867675999999</v>
      </c>
      <c r="I1639">
        <v>1277.5689697</v>
      </c>
      <c r="J1639">
        <v>1252.4058838000001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1645</v>
      </c>
      <c r="B1640" s="1">
        <f>DATE(2014,11,1) + TIME(0,0,0)</f>
        <v>41944</v>
      </c>
      <c r="C1640">
        <v>70</v>
      </c>
      <c r="D1640">
        <v>69.967819214000002</v>
      </c>
      <c r="E1640">
        <v>40</v>
      </c>
      <c r="F1640">
        <v>35.622005463000001</v>
      </c>
      <c r="G1640">
        <v>1381.9753418</v>
      </c>
      <c r="H1640">
        <v>1367.1224365</v>
      </c>
      <c r="I1640">
        <v>1277.5874022999999</v>
      </c>
      <c r="J1640">
        <v>1252.4124756000001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1645.0000010000001</v>
      </c>
      <c r="B1641" s="1">
        <f>DATE(2014,11,1) + TIME(0,0,0)</f>
        <v>41944</v>
      </c>
      <c r="C1641">
        <v>70</v>
      </c>
      <c r="D1641">
        <v>69.967704772999994</v>
      </c>
      <c r="E1641">
        <v>40</v>
      </c>
      <c r="F1641">
        <v>35.622116089000002</v>
      </c>
      <c r="G1641">
        <v>1366.2496338000001</v>
      </c>
      <c r="H1641">
        <v>1352.4384766000001</v>
      </c>
      <c r="I1641">
        <v>1303.5377197</v>
      </c>
      <c r="J1641">
        <v>1278.4770507999999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1645.000004</v>
      </c>
      <c r="B1642" s="1">
        <f>DATE(2014,11,1) + TIME(0,0,0)</f>
        <v>41944</v>
      </c>
      <c r="C1642">
        <v>70</v>
      </c>
      <c r="D1642">
        <v>69.967391968000001</v>
      </c>
      <c r="E1642">
        <v>40</v>
      </c>
      <c r="F1642">
        <v>35.62241745</v>
      </c>
      <c r="G1642">
        <v>1364.0037841999999</v>
      </c>
      <c r="H1642">
        <v>1350.1922606999999</v>
      </c>
      <c r="I1642">
        <v>1305.9449463000001</v>
      </c>
      <c r="J1642">
        <v>1280.9116211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1645.0000130000001</v>
      </c>
      <c r="B1643" s="1">
        <f>DATE(2014,11,1) + TIME(0,0,1)</f>
        <v>41944.000011574077</v>
      </c>
      <c r="C1643">
        <v>70</v>
      </c>
      <c r="D1643">
        <v>69.966751099000007</v>
      </c>
      <c r="E1643">
        <v>40</v>
      </c>
      <c r="F1643">
        <v>35.623142242</v>
      </c>
      <c r="G1643">
        <v>1359.3138428</v>
      </c>
      <c r="H1643">
        <v>1345.5017089999999</v>
      </c>
      <c r="I1643">
        <v>1311.6611327999999</v>
      </c>
      <c r="J1643">
        <v>1286.6812743999999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1645.0000399999999</v>
      </c>
      <c r="B1644" s="1">
        <f>DATE(2014,11,1) + TIME(0,0,3)</f>
        <v>41944.000034722223</v>
      </c>
      <c r="C1644">
        <v>70</v>
      </c>
      <c r="D1644">
        <v>69.965774535999998</v>
      </c>
      <c r="E1644">
        <v>40</v>
      </c>
      <c r="F1644">
        <v>35.624515533</v>
      </c>
      <c r="G1644">
        <v>1352.1817627</v>
      </c>
      <c r="H1644">
        <v>1338.3698730000001</v>
      </c>
      <c r="I1644">
        <v>1322.0725098</v>
      </c>
      <c r="J1644">
        <v>1297.1503906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1645.000121</v>
      </c>
      <c r="B1645" s="1">
        <f>DATE(2014,11,1) + TIME(0,0,10)</f>
        <v>41944.000115740739</v>
      </c>
      <c r="C1645">
        <v>70</v>
      </c>
      <c r="D1645">
        <v>69.964645386000001</v>
      </c>
      <c r="E1645">
        <v>40</v>
      </c>
      <c r="F1645">
        <v>35.626533508000001</v>
      </c>
      <c r="G1645">
        <v>1344.0422363</v>
      </c>
      <c r="H1645">
        <v>1330.2355957</v>
      </c>
      <c r="I1645">
        <v>1335.6990966999999</v>
      </c>
      <c r="J1645">
        <v>1310.7937012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1645.000364</v>
      </c>
      <c r="B1646" s="1">
        <f>DATE(2014,11,1) + TIME(0,0,31)</f>
        <v>41944.000358796293</v>
      </c>
      <c r="C1646">
        <v>70</v>
      </c>
      <c r="D1646">
        <v>69.963485718000001</v>
      </c>
      <c r="E1646">
        <v>40</v>
      </c>
      <c r="F1646">
        <v>35.629486084</v>
      </c>
      <c r="G1646">
        <v>1335.8195800999999</v>
      </c>
      <c r="H1646">
        <v>1322.0201416</v>
      </c>
      <c r="I1646">
        <v>1350.1925048999999</v>
      </c>
      <c r="J1646">
        <v>1325.3060303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1645.0010930000001</v>
      </c>
      <c r="B1647" s="1">
        <f>DATE(2014,11,1) + TIME(0,1,34)</f>
        <v>41944.001087962963</v>
      </c>
      <c r="C1647">
        <v>70</v>
      </c>
      <c r="D1647">
        <v>69.962249756000006</v>
      </c>
      <c r="E1647">
        <v>40</v>
      </c>
      <c r="F1647">
        <v>35.634960175000003</v>
      </c>
      <c r="G1647">
        <v>1327.5820312000001</v>
      </c>
      <c r="H1647">
        <v>1313.7764893000001</v>
      </c>
      <c r="I1647">
        <v>1364.8529053</v>
      </c>
      <c r="J1647">
        <v>1339.9805908000001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1645.0032799999999</v>
      </c>
      <c r="B1648" s="1">
        <f>DATE(2014,11,1) + TIME(0,4,43)</f>
        <v>41944.003275462965</v>
      </c>
      <c r="C1648">
        <v>70</v>
      </c>
      <c r="D1648">
        <v>69.960769653</v>
      </c>
      <c r="E1648">
        <v>40</v>
      </c>
      <c r="F1648">
        <v>35.647930144999997</v>
      </c>
      <c r="G1648">
        <v>1319.144043</v>
      </c>
      <c r="H1648">
        <v>1305.2651367000001</v>
      </c>
      <c r="I1648">
        <v>1379.6154785000001</v>
      </c>
      <c r="J1648">
        <v>1354.7048339999999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1645.0098410000001</v>
      </c>
      <c r="B1649" s="1">
        <f>DATE(2014,11,1) + TIME(0,14,10)</f>
        <v>41944.009837962964</v>
      </c>
      <c r="C1649">
        <v>70</v>
      </c>
      <c r="D1649">
        <v>69.958625792999996</v>
      </c>
      <c r="E1649">
        <v>40</v>
      </c>
      <c r="F1649">
        <v>35.683139801000003</v>
      </c>
      <c r="G1649">
        <v>1310.6949463000001</v>
      </c>
      <c r="H1649">
        <v>1296.6976318</v>
      </c>
      <c r="I1649">
        <v>1393.3580322</v>
      </c>
      <c r="J1649">
        <v>1368.3507079999999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1645.029524</v>
      </c>
      <c r="B1650" s="1">
        <f>DATE(2014,11,1) + TIME(0,42,30)</f>
        <v>41944.029513888891</v>
      </c>
      <c r="C1650">
        <v>70</v>
      </c>
      <c r="D1650">
        <v>69.954772949000002</v>
      </c>
      <c r="E1650">
        <v>40</v>
      </c>
      <c r="F1650">
        <v>35.783226012999997</v>
      </c>
      <c r="G1650">
        <v>1303.7324219</v>
      </c>
      <c r="H1650">
        <v>1289.6654053</v>
      </c>
      <c r="I1650">
        <v>1403.3118896000001</v>
      </c>
      <c r="J1650">
        <v>1378.2393798999999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1645.088573</v>
      </c>
      <c r="B1651" s="1">
        <f>DATE(2014,11,1) + TIME(2,7,32)</f>
        <v>41944.088564814818</v>
      </c>
      <c r="C1651">
        <v>70</v>
      </c>
      <c r="D1651">
        <v>69.945960998999993</v>
      </c>
      <c r="E1651">
        <v>40</v>
      </c>
      <c r="F1651">
        <v>36.061500549000002</v>
      </c>
      <c r="G1651">
        <v>1300.104126</v>
      </c>
      <c r="H1651">
        <v>1286.0151367000001</v>
      </c>
      <c r="I1651">
        <v>1407.4522704999999</v>
      </c>
      <c r="J1651">
        <v>1382.4555664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1645.182182</v>
      </c>
      <c r="B1652" s="1">
        <f>DATE(2014,11,1) + TIME(4,22,20)</f>
        <v>41944.182175925926</v>
      </c>
      <c r="C1652">
        <v>70</v>
      </c>
      <c r="D1652">
        <v>69.933349609000004</v>
      </c>
      <c r="E1652">
        <v>40</v>
      </c>
      <c r="F1652">
        <v>36.457859038999999</v>
      </c>
      <c r="G1652">
        <v>1299.2519531</v>
      </c>
      <c r="H1652">
        <v>1285.1585693</v>
      </c>
      <c r="I1652">
        <v>1407.8962402</v>
      </c>
      <c r="J1652">
        <v>1383.0672606999999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1645.284212</v>
      </c>
      <c r="B1653" s="1">
        <f>DATE(2014,11,1) + TIME(6,49,15)</f>
        <v>41944.284201388888</v>
      </c>
      <c r="C1653">
        <v>70</v>
      </c>
      <c r="D1653">
        <v>69.920143127000003</v>
      </c>
      <c r="E1653">
        <v>40</v>
      </c>
      <c r="F1653">
        <v>36.842956543</v>
      </c>
      <c r="G1653">
        <v>1299.0997314000001</v>
      </c>
      <c r="H1653">
        <v>1285.0051269999999</v>
      </c>
      <c r="I1653">
        <v>1407.6702881000001</v>
      </c>
      <c r="J1653">
        <v>1383.0079346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1645.39627</v>
      </c>
      <c r="B1654" s="1">
        <f>DATE(2014,11,1) + TIME(9,30,37)</f>
        <v>41944.396261574075</v>
      </c>
      <c r="C1654">
        <v>70</v>
      </c>
      <c r="D1654">
        <v>69.906135559000006</v>
      </c>
      <c r="E1654">
        <v>40</v>
      </c>
      <c r="F1654">
        <v>37.215938567999999</v>
      </c>
      <c r="G1654">
        <v>1299.0676269999999</v>
      </c>
      <c r="H1654">
        <v>1284.972168</v>
      </c>
      <c r="I1654">
        <v>1407.3819579999999</v>
      </c>
      <c r="J1654">
        <v>1382.8806152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1645.5206189999999</v>
      </c>
      <c r="B1655" s="1">
        <f>DATE(2014,11,1) + TIME(12,29,41)</f>
        <v>41944.520613425928</v>
      </c>
      <c r="C1655">
        <v>70</v>
      </c>
      <c r="D1655">
        <v>69.891136169000006</v>
      </c>
      <c r="E1655">
        <v>40</v>
      </c>
      <c r="F1655">
        <v>37.576171875</v>
      </c>
      <c r="G1655">
        <v>1299.0576172000001</v>
      </c>
      <c r="H1655">
        <v>1284.9613036999999</v>
      </c>
      <c r="I1655">
        <v>1407.0997314000001</v>
      </c>
      <c r="J1655">
        <v>1382.7525635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1645.6603419999999</v>
      </c>
      <c r="B1656" s="1">
        <f>DATE(2014,11,1) + TIME(15,50,53)</f>
        <v>41944.66033564815</v>
      </c>
      <c r="C1656">
        <v>70</v>
      </c>
      <c r="D1656">
        <v>69.874908446999996</v>
      </c>
      <c r="E1656">
        <v>40</v>
      </c>
      <c r="F1656">
        <v>37.922809600999997</v>
      </c>
      <c r="G1656">
        <v>1299.0515137</v>
      </c>
      <c r="H1656">
        <v>1284.9543457</v>
      </c>
      <c r="I1656">
        <v>1406.8276367000001</v>
      </c>
      <c r="J1656">
        <v>1382.6278076000001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1645.8197709999999</v>
      </c>
      <c r="B1657" s="1">
        <f>DATE(2014,11,1) + TIME(19,40,28)</f>
        <v>41944.819768518515</v>
      </c>
      <c r="C1657">
        <v>70</v>
      </c>
      <c r="D1657">
        <v>69.857109070000007</v>
      </c>
      <c r="E1657">
        <v>40</v>
      </c>
      <c r="F1657">
        <v>38.254703522</v>
      </c>
      <c r="G1657">
        <v>1299.0456543</v>
      </c>
      <c r="H1657">
        <v>1284.9476318</v>
      </c>
      <c r="I1657">
        <v>1406.5646973</v>
      </c>
      <c r="J1657">
        <v>1382.5051269999999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1646.0052350000001</v>
      </c>
      <c r="B1658" s="1">
        <f>DATE(2014,11,2) + TIME(0,7,32)</f>
        <v>41945.005231481482</v>
      </c>
      <c r="C1658">
        <v>70</v>
      </c>
      <c r="D1658">
        <v>69.837280273000005</v>
      </c>
      <c r="E1658">
        <v>40</v>
      </c>
      <c r="F1658">
        <v>38.570297240999999</v>
      </c>
      <c r="G1658">
        <v>1299.0393065999999</v>
      </c>
      <c r="H1658">
        <v>1284.9401855000001</v>
      </c>
      <c r="I1658">
        <v>1406.3105469</v>
      </c>
      <c r="J1658">
        <v>1382.3836670000001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1646.2264230000001</v>
      </c>
      <c r="B1659" s="1">
        <f>DATE(2014,11,2) + TIME(5,26,2)</f>
        <v>41945.226412037038</v>
      </c>
      <c r="C1659">
        <v>70</v>
      </c>
      <c r="D1659">
        <v>69.814743042000003</v>
      </c>
      <c r="E1659">
        <v>40</v>
      </c>
      <c r="F1659">
        <v>38.867412567000002</v>
      </c>
      <c r="G1659">
        <v>1299.0321045000001</v>
      </c>
      <c r="H1659">
        <v>1284.9317627</v>
      </c>
      <c r="I1659">
        <v>1406.0648193</v>
      </c>
      <c r="J1659">
        <v>1382.2626952999999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1646.4991030000001</v>
      </c>
      <c r="B1660" s="1">
        <f>DATE(2014,11,2) + TIME(11,58,42)</f>
        <v>41945.499097222222</v>
      </c>
      <c r="C1660">
        <v>70</v>
      </c>
      <c r="D1660">
        <v>69.788444518999995</v>
      </c>
      <c r="E1660">
        <v>40</v>
      </c>
      <c r="F1660">
        <v>39.142971039000003</v>
      </c>
      <c r="G1660">
        <v>1299.0234375</v>
      </c>
      <c r="H1660">
        <v>1284.9217529</v>
      </c>
      <c r="I1660">
        <v>1405.8276367000001</v>
      </c>
      <c r="J1660">
        <v>1382.1416016000001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1646.8474020000001</v>
      </c>
      <c r="B1661" s="1">
        <f>DATE(2014,11,2) + TIME(20,20,15)</f>
        <v>41945.847395833334</v>
      </c>
      <c r="C1661">
        <v>70</v>
      </c>
      <c r="D1661">
        <v>69.756927489999995</v>
      </c>
      <c r="E1661">
        <v>40</v>
      </c>
      <c r="F1661">
        <v>39.390716552999997</v>
      </c>
      <c r="G1661">
        <v>1299.0129394999999</v>
      </c>
      <c r="H1661">
        <v>1284.9095459</v>
      </c>
      <c r="I1661">
        <v>1405.6008300999999</v>
      </c>
      <c r="J1661">
        <v>1382.0197754000001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1647.1967139999999</v>
      </c>
      <c r="B1662" s="1">
        <f>DATE(2014,11,3) + TIME(4,43,16)</f>
        <v>41946.196712962963</v>
      </c>
      <c r="C1662">
        <v>70</v>
      </c>
      <c r="D1662">
        <v>69.724739075000002</v>
      </c>
      <c r="E1662">
        <v>40</v>
      </c>
      <c r="F1662">
        <v>39.56546402</v>
      </c>
      <c r="G1662">
        <v>1298.9992675999999</v>
      </c>
      <c r="H1662">
        <v>1284.8944091999999</v>
      </c>
      <c r="I1662">
        <v>1405.4171143000001</v>
      </c>
      <c r="J1662">
        <v>1381.9107666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1647.5687359999999</v>
      </c>
      <c r="B1663" s="1">
        <f>DATE(2014,11,3) + TIME(13,38,58)</f>
        <v>41946.568726851852</v>
      </c>
      <c r="C1663">
        <v>70</v>
      </c>
      <c r="D1663">
        <v>69.690773010000001</v>
      </c>
      <c r="E1663">
        <v>40</v>
      </c>
      <c r="F1663">
        <v>39.693893433</v>
      </c>
      <c r="G1663">
        <v>1298.9857178</v>
      </c>
      <c r="H1663">
        <v>1284.8792725000001</v>
      </c>
      <c r="I1663">
        <v>1405.2662353999999</v>
      </c>
      <c r="J1663">
        <v>1381.8165283000001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1647.9717889999999</v>
      </c>
      <c r="B1664" s="1">
        <f>DATE(2014,11,3) + TIME(23,19,22)</f>
        <v>41946.971782407411</v>
      </c>
      <c r="C1664">
        <v>70</v>
      </c>
      <c r="D1664">
        <v>69.654571532999995</v>
      </c>
      <c r="E1664">
        <v>40</v>
      </c>
      <c r="F1664">
        <v>39.787540436</v>
      </c>
      <c r="G1664">
        <v>1298.9713135</v>
      </c>
      <c r="H1664">
        <v>1284.8631591999999</v>
      </c>
      <c r="I1664">
        <v>1405.1384277</v>
      </c>
      <c r="J1664">
        <v>1381.7316894999999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1648.416682</v>
      </c>
      <c r="B1665" s="1">
        <f>DATE(2014,11,4) + TIME(10,0,1)</f>
        <v>41947.416678240741</v>
      </c>
      <c r="C1665">
        <v>70</v>
      </c>
      <c r="D1665">
        <v>69.615478515999996</v>
      </c>
      <c r="E1665">
        <v>40</v>
      </c>
      <c r="F1665">
        <v>39.854881286999998</v>
      </c>
      <c r="G1665">
        <v>1298.9560547000001</v>
      </c>
      <c r="H1665">
        <v>1284.8458252</v>
      </c>
      <c r="I1665">
        <v>1405.0270995999999</v>
      </c>
      <c r="J1665">
        <v>1381.6533202999999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1648.908627</v>
      </c>
      <c r="B1666" s="1">
        <f>DATE(2014,11,4) + TIME(21,48,25)</f>
        <v>41947.908622685187</v>
      </c>
      <c r="C1666">
        <v>70</v>
      </c>
      <c r="D1666">
        <v>69.573135375999996</v>
      </c>
      <c r="E1666">
        <v>40</v>
      </c>
      <c r="F1666">
        <v>39.901729584000002</v>
      </c>
      <c r="G1666">
        <v>1298.9392089999999</v>
      </c>
      <c r="H1666">
        <v>1284.8269043</v>
      </c>
      <c r="I1666">
        <v>1404.9282227000001</v>
      </c>
      <c r="J1666">
        <v>1381.5793457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1649.4656030000001</v>
      </c>
      <c r="B1667" s="1">
        <f>DATE(2014,11,5) + TIME(11,10,28)</f>
        <v>41948.465601851851</v>
      </c>
      <c r="C1667">
        <v>70</v>
      </c>
      <c r="D1667">
        <v>69.526519774999997</v>
      </c>
      <c r="E1667">
        <v>40</v>
      </c>
      <c r="F1667">
        <v>39.933605194000002</v>
      </c>
      <c r="G1667">
        <v>1298.9207764</v>
      </c>
      <c r="H1667">
        <v>1284.8060303</v>
      </c>
      <c r="I1667">
        <v>1404.8380127</v>
      </c>
      <c r="J1667">
        <v>1381.5086670000001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1650.1119739999999</v>
      </c>
      <c r="B1668" s="1">
        <f>DATE(2014,11,6) + TIME(2,41,14)</f>
        <v>41949.111967592595</v>
      </c>
      <c r="C1668">
        <v>70</v>
      </c>
      <c r="D1668">
        <v>69.474266052000004</v>
      </c>
      <c r="E1668">
        <v>40</v>
      </c>
      <c r="F1668">
        <v>39.954574585000003</v>
      </c>
      <c r="G1668">
        <v>1298.8999022999999</v>
      </c>
      <c r="H1668">
        <v>1284.7825928</v>
      </c>
      <c r="I1668">
        <v>1404.7529297000001</v>
      </c>
      <c r="J1668">
        <v>1381.4392089999999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1650.830377</v>
      </c>
      <c r="B1669" s="1">
        <f>DATE(2014,11,6) + TIME(19,55,44)</f>
        <v>41949.830370370371</v>
      </c>
      <c r="C1669">
        <v>70</v>
      </c>
      <c r="D1669">
        <v>69.416633606000005</v>
      </c>
      <c r="E1669">
        <v>40</v>
      </c>
      <c r="F1669">
        <v>39.967243195000002</v>
      </c>
      <c r="G1669">
        <v>1298.8758545000001</v>
      </c>
      <c r="H1669">
        <v>1284.7556152</v>
      </c>
      <c r="I1669">
        <v>1404.6697998</v>
      </c>
      <c r="J1669">
        <v>1381.3690185999999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1651.5601099999999</v>
      </c>
      <c r="B1670" s="1">
        <f>DATE(2014,11,7) + TIME(13,26,33)</f>
        <v>41950.560104166667</v>
      </c>
      <c r="C1670">
        <v>70</v>
      </c>
      <c r="D1670">
        <v>69.356224060000002</v>
      </c>
      <c r="E1670">
        <v>40</v>
      </c>
      <c r="F1670">
        <v>39.974231719999999</v>
      </c>
      <c r="G1670">
        <v>1298.848999</v>
      </c>
      <c r="H1670">
        <v>1284.7258300999999</v>
      </c>
      <c r="I1670">
        <v>1404.5906981999999</v>
      </c>
      <c r="J1670">
        <v>1381.3007812000001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1652.324685</v>
      </c>
      <c r="B1671" s="1">
        <f>DATE(2014,11,8) + TIME(7,47,32)</f>
        <v>41951.324675925927</v>
      </c>
      <c r="C1671">
        <v>70</v>
      </c>
      <c r="D1671">
        <v>69.293243407999995</v>
      </c>
      <c r="E1671">
        <v>40</v>
      </c>
      <c r="F1671">
        <v>39.978160858000003</v>
      </c>
      <c r="G1671">
        <v>1298.8220214999999</v>
      </c>
      <c r="H1671">
        <v>1284.6955565999999</v>
      </c>
      <c r="I1671">
        <v>1404.5202637</v>
      </c>
      <c r="J1671">
        <v>1381.2397461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1653.147199</v>
      </c>
      <c r="B1672" s="1">
        <f>DATE(2014,11,9) + TIME(3,31,58)</f>
        <v>41952.147199074076</v>
      </c>
      <c r="C1672">
        <v>70</v>
      </c>
      <c r="D1672">
        <v>69.226989746000001</v>
      </c>
      <c r="E1672">
        <v>40</v>
      </c>
      <c r="F1672">
        <v>39.980381012000002</v>
      </c>
      <c r="G1672">
        <v>1298.7938231999999</v>
      </c>
      <c r="H1672">
        <v>1284.6639404</v>
      </c>
      <c r="I1672">
        <v>1404.4547118999999</v>
      </c>
      <c r="J1672">
        <v>1381.1827393000001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1654.0539739999999</v>
      </c>
      <c r="B1673" s="1">
        <f>DATE(2014,11,10) + TIME(1,17,43)</f>
        <v>41953.053969907407</v>
      </c>
      <c r="C1673">
        <v>70</v>
      </c>
      <c r="D1673">
        <v>69.156188964999998</v>
      </c>
      <c r="E1673">
        <v>40</v>
      </c>
      <c r="F1673">
        <v>39.981632232999999</v>
      </c>
      <c r="G1673">
        <v>1298.7636719</v>
      </c>
      <c r="H1673">
        <v>1284.6298827999999</v>
      </c>
      <c r="I1673">
        <v>1404.3914795000001</v>
      </c>
      <c r="J1673">
        <v>1381.1278076000001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1655.0765570000001</v>
      </c>
      <c r="B1674" s="1">
        <f>DATE(2014,11,11) + TIME(1,50,14)</f>
        <v>41954.076550925929</v>
      </c>
      <c r="C1674">
        <v>70</v>
      </c>
      <c r="D1674">
        <v>69.079154967999997</v>
      </c>
      <c r="E1674">
        <v>40</v>
      </c>
      <c r="F1674">
        <v>39.982330322000003</v>
      </c>
      <c r="G1674">
        <v>1298.7304687999999</v>
      </c>
      <c r="H1674">
        <v>1284.5925293</v>
      </c>
      <c r="I1674">
        <v>1404.3286132999999</v>
      </c>
      <c r="J1674">
        <v>1381.0733643000001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1656.2240730000001</v>
      </c>
      <c r="B1675" s="1">
        <f>DATE(2014,11,12) + TIME(5,22,39)</f>
        <v>41955.224062499998</v>
      </c>
      <c r="C1675">
        <v>70</v>
      </c>
      <c r="D1675">
        <v>68.994636536000002</v>
      </c>
      <c r="E1675">
        <v>40</v>
      </c>
      <c r="F1675">
        <v>39.982711792000003</v>
      </c>
      <c r="G1675">
        <v>1298.6931152</v>
      </c>
      <c r="H1675">
        <v>1284.5504149999999</v>
      </c>
      <c r="I1675">
        <v>1404.2647704999999</v>
      </c>
      <c r="J1675">
        <v>1381.0181885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1657.3827590000001</v>
      </c>
      <c r="B1676" s="1">
        <f>DATE(2014,11,13) + TIME(9,11,10)</f>
        <v>41956.382754629631</v>
      </c>
      <c r="C1676">
        <v>70</v>
      </c>
      <c r="D1676">
        <v>68.905540466000005</v>
      </c>
      <c r="E1676">
        <v>40</v>
      </c>
      <c r="F1676">
        <v>39.982902527</v>
      </c>
      <c r="G1676">
        <v>1298.6508789</v>
      </c>
      <c r="H1676">
        <v>1284.503418</v>
      </c>
      <c r="I1676">
        <v>1404.2000731999999</v>
      </c>
      <c r="J1676">
        <v>1380.9626464999999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1658.5786169999999</v>
      </c>
      <c r="B1677" s="1">
        <f>DATE(2014,11,14) + TIME(13,53,12)</f>
        <v>41957.578611111108</v>
      </c>
      <c r="C1677">
        <v>70</v>
      </c>
      <c r="D1677">
        <v>68.813964843999997</v>
      </c>
      <c r="E1677">
        <v>40</v>
      </c>
      <c r="F1677">
        <v>39.983005523999999</v>
      </c>
      <c r="G1677">
        <v>1298.6082764</v>
      </c>
      <c r="H1677">
        <v>1284.4555664</v>
      </c>
      <c r="I1677">
        <v>1404.1411132999999</v>
      </c>
      <c r="J1677">
        <v>1380.9122314000001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1659.847577</v>
      </c>
      <c r="B1678" s="1">
        <f>DATE(2014,11,15) + TIME(20,20,30)</f>
        <v>41958.847569444442</v>
      </c>
      <c r="C1678">
        <v>70</v>
      </c>
      <c r="D1678">
        <v>68.719406128000003</v>
      </c>
      <c r="E1678">
        <v>40</v>
      </c>
      <c r="F1678">
        <v>39.983066559000001</v>
      </c>
      <c r="G1678">
        <v>1298.5644531</v>
      </c>
      <c r="H1678">
        <v>1284.4060059000001</v>
      </c>
      <c r="I1678">
        <v>1404.0858154</v>
      </c>
      <c r="J1678">
        <v>1380.8651123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1661.228652</v>
      </c>
      <c r="B1679" s="1">
        <f>DATE(2014,11,17) + TIME(5,29,15)</f>
        <v>41960.228645833333</v>
      </c>
      <c r="C1679">
        <v>70</v>
      </c>
      <c r="D1679">
        <v>68.620124817000004</v>
      </c>
      <c r="E1679">
        <v>40</v>
      </c>
      <c r="F1679">
        <v>39.983104705999999</v>
      </c>
      <c r="G1679">
        <v>1298.5177002</v>
      </c>
      <c r="H1679">
        <v>1284.3532714999999</v>
      </c>
      <c r="I1679">
        <v>1404.0321045000001</v>
      </c>
      <c r="J1679">
        <v>1380.8195800999999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1662.7722209999999</v>
      </c>
      <c r="B1680" s="1">
        <f>DATE(2014,11,18) + TIME(18,31,59)</f>
        <v>41961.772210648145</v>
      </c>
      <c r="C1680">
        <v>70</v>
      </c>
      <c r="D1680">
        <v>68.513633728000002</v>
      </c>
      <c r="E1680">
        <v>40</v>
      </c>
      <c r="F1680">
        <v>39.983131409000002</v>
      </c>
      <c r="G1680">
        <v>1298.4667969</v>
      </c>
      <c r="H1680">
        <v>1284.2955322</v>
      </c>
      <c r="I1680">
        <v>1403.9783935999999</v>
      </c>
      <c r="J1680">
        <v>1380.7742920000001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1664.3897730000001</v>
      </c>
      <c r="B1681" s="1">
        <f>DATE(2014,11,20) + TIME(9,21,16)</f>
        <v>41963.389768518522</v>
      </c>
      <c r="C1681">
        <v>70</v>
      </c>
      <c r="D1681">
        <v>68.400192261000001</v>
      </c>
      <c r="E1681">
        <v>40</v>
      </c>
      <c r="F1681">
        <v>39.983154296999999</v>
      </c>
      <c r="G1681">
        <v>1298.4094238</v>
      </c>
      <c r="H1681">
        <v>1284.2308350000001</v>
      </c>
      <c r="I1681">
        <v>1403.9232178</v>
      </c>
      <c r="J1681">
        <v>1380.7277832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1666.0409010000001</v>
      </c>
      <c r="B1682" s="1">
        <f>DATE(2014,11,22) + TIME(0,58,53)</f>
        <v>41965.040891203702</v>
      </c>
      <c r="C1682">
        <v>70</v>
      </c>
      <c r="D1682">
        <v>68.283020019999995</v>
      </c>
      <c r="E1682">
        <v>40</v>
      </c>
      <c r="F1682">
        <v>39.983173370000003</v>
      </c>
      <c r="G1682">
        <v>1298.3487548999999</v>
      </c>
      <c r="H1682">
        <v>1284.1623535000001</v>
      </c>
      <c r="I1682">
        <v>1403.8702393000001</v>
      </c>
      <c r="J1682">
        <v>1380.6833495999999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1667.7755099999999</v>
      </c>
      <c r="B1683" s="1">
        <f>DATE(2014,11,23) + TIME(18,36,44)</f>
        <v>41966.775509259256</v>
      </c>
      <c r="C1683">
        <v>70</v>
      </c>
      <c r="D1683">
        <v>68.163131714000002</v>
      </c>
      <c r="E1683">
        <v>40</v>
      </c>
      <c r="F1683">
        <v>39.983188628999997</v>
      </c>
      <c r="G1683">
        <v>1298.286499</v>
      </c>
      <c r="H1683">
        <v>1284.0914307</v>
      </c>
      <c r="I1683">
        <v>1403.8203125</v>
      </c>
      <c r="J1683">
        <v>1380.6417236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1669.646937</v>
      </c>
      <c r="B1684" s="1">
        <f>DATE(2014,11,25) + TIME(15,31,35)</f>
        <v>41968.646932870368</v>
      </c>
      <c r="C1684">
        <v>70</v>
      </c>
      <c r="D1684">
        <v>68.038665770999998</v>
      </c>
      <c r="E1684">
        <v>40</v>
      </c>
      <c r="F1684">
        <v>39.983207702999998</v>
      </c>
      <c r="G1684">
        <v>1298.2204589999999</v>
      </c>
      <c r="H1684">
        <v>1284.0159911999999</v>
      </c>
      <c r="I1684">
        <v>1403.7719727000001</v>
      </c>
      <c r="J1684">
        <v>1380.6013184000001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1671.704718</v>
      </c>
      <c r="B1685" s="1">
        <f>DATE(2014,11,27) + TIME(16,54,47)</f>
        <v>41970.704710648148</v>
      </c>
      <c r="C1685">
        <v>70</v>
      </c>
      <c r="D1685">
        <v>67.906890868999994</v>
      </c>
      <c r="E1685">
        <v>40</v>
      </c>
      <c r="F1685">
        <v>39.983226776000002</v>
      </c>
      <c r="G1685">
        <v>1298.1484375</v>
      </c>
      <c r="H1685">
        <v>1283.9334716999999</v>
      </c>
      <c r="I1685">
        <v>1403.7235106999999</v>
      </c>
      <c r="J1685">
        <v>1380.5610352000001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1673.854333</v>
      </c>
      <c r="B1686" s="1">
        <f>DATE(2014,11,29) + TIME(20,30,14)</f>
        <v>41972.854328703703</v>
      </c>
      <c r="C1686">
        <v>70</v>
      </c>
      <c r="D1686">
        <v>67.767532349000007</v>
      </c>
      <c r="E1686">
        <v>40</v>
      </c>
      <c r="F1686">
        <v>39.983249663999999</v>
      </c>
      <c r="G1686">
        <v>1298.0679932</v>
      </c>
      <c r="H1686">
        <v>1283.8414307</v>
      </c>
      <c r="I1686">
        <v>1403.6739502</v>
      </c>
      <c r="J1686">
        <v>1380.5200195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1675</v>
      </c>
      <c r="B1687" s="1">
        <f>DATE(2014,12,1) + TIME(0,0,0)</f>
        <v>41974</v>
      </c>
      <c r="C1687">
        <v>70</v>
      </c>
      <c r="D1687">
        <v>67.653533936000002</v>
      </c>
      <c r="E1687">
        <v>40</v>
      </c>
      <c r="F1687">
        <v>39.983257293999998</v>
      </c>
      <c r="G1687">
        <v>1297.9808350000001</v>
      </c>
      <c r="H1687">
        <v>1283.7451172000001</v>
      </c>
      <c r="I1687">
        <v>1403.6257324000001</v>
      </c>
      <c r="J1687">
        <v>1380.4799805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1677.189128</v>
      </c>
      <c r="B1688" s="1">
        <f>DATE(2014,12,3) + TIME(4,32,20)</f>
        <v>41976.189120370371</v>
      </c>
      <c r="C1688">
        <v>70</v>
      </c>
      <c r="D1688">
        <v>67.538131714000002</v>
      </c>
      <c r="E1688">
        <v>40</v>
      </c>
      <c r="F1688">
        <v>39.983280182000001</v>
      </c>
      <c r="G1688">
        <v>1297.9359131000001</v>
      </c>
      <c r="H1688">
        <v>1283.6872559000001</v>
      </c>
      <c r="I1688">
        <v>1403.6020507999999</v>
      </c>
      <c r="J1688">
        <v>1380.4604492000001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1679.5020300000001</v>
      </c>
      <c r="B1689" s="1">
        <f>DATE(2014,12,5) + TIME(12,2,55)</f>
        <v>41978.502025462964</v>
      </c>
      <c r="C1689">
        <v>70</v>
      </c>
      <c r="D1689">
        <v>67.401290893999999</v>
      </c>
      <c r="E1689">
        <v>40</v>
      </c>
      <c r="F1689">
        <v>39.983303069999998</v>
      </c>
      <c r="G1689">
        <v>1297.8464355000001</v>
      </c>
      <c r="H1689">
        <v>1283.5843506000001</v>
      </c>
      <c r="I1689">
        <v>1403.5582274999999</v>
      </c>
      <c r="J1689">
        <v>1380.4241943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1681.8716589999999</v>
      </c>
      <c r="B1690" s="1">
        <f>DATE(2014,12,7) + TIME(20,55,11)</f>
        <v>41980.871655092589</v>
      </c>
      <c r="C1690">
        <v>70</v>
      </c>
      <c r="D1690">
        <v>67.255554199000002</v>
      </c>
      <c r="E1690">
        <v>40</v>
      </c>
      <c r="F1690">
        <v>39.983325958000002</v>
      </c>
      <c r="G1690">
        <v>1297.7497559000001</v>
      </c>
      <c r="H1690">
        <v>1283.4716797000001</v>
      </c>
      <c r="I1690">
        <v>1403.5147704999999</v>
      </c>
      <c r="J1690">
        <v>1380.3881836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1684.307133</v>
      </c>
      <c r="B1691" s="1">
        <f>DATE(2014,12,10) + TIME(7,22,16)</f>
        <v>41983.307129629633</v>
      </c>
      <c r="C1691">
        <v>70</v>
      </c>
      <c r="D1691">
        <v>67.106544494999994</v>
      </c>
      <c r="E1691">
        <v>40</v>
      </c>
      <c r="F1691">
        <v>39.983348845999998</v>
      </c>
      <c r="G1691">
        <v>1297.6481934000001</v>
      </c>
      <c r="H1691">
        <v>1283.3522949000001</v>
      </c>
      <c r="I1691">
        <v>1403.4730225000001</v>
      </c>
      <c r="J1691">
        <v>1380.3536377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1686.782381</v>
      </c>
      <c r="B1692" s="1">
        <f>DATE(2014,12,12) + TIME(18,46,37)</f>
        <v>41985.782372685186</v>
      </c>
      <c r="C1692">
        <v>70</v>
      </c>
      <c r="D1692">
        <v>66.955924988000007</v>
      </c>
      <c r="E1692">
        <v>40</v>
      </c>
      <c r="F1692">
        <v>39.983375549000002</v>
      </c>
      <c r="G1692">
        <v>1297.5410156</v>
      </c>
      <c r="H1692">
        <v>1283.2254639</v>
      </c>
      <c r="I1692">
        <v>1403.4326172000001</v>
      </c>
      <c r="J1692">
        <v>1380.3203125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1689.2991</v>
      </c>
      <c r="B1693" s="1">
        <f>DATE(2014,12,15) + TIME(7,10,42)</f>
        <v>41988.299097222225</v>
      </c>
      <c r="C1693">
        <v>70</v>
      </c>
      <c r="D1693">
        <v>66.804878235000004</v>
      </c>
      <c r="E1693">
        <v>40</v>
      </c>
      <c r="F1693">
        <v>39.983398438000002</v>
      </c>
      <c r="G1693">
        <v>1297.4291992000001</v>
      </c>
      <c r="H1693">
        <v>1283.0919189000001</v>
      </c>
      <c r="I1693">
        <v>1403.3937988</v>
      </c>
      <c r="J1693">
        <v>1380.2882079999999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1691.865759</v>
      </c>
      <c r="B1694" s="1">
        <f>DATE(2014,12,17) + TIME(20,46,41)</f>
        <v>41990.865752314814</v>
      </c>
      <c r="C1694">
        <v>70</v>
      </c>
      <c r="D1694">
        <v>66.653457642000006</v>
      </c>
      <c r="E1694">
        <v>40</v>
      </c>
      <c r="F1694">
        <v>39.983425140000001</v>
      </c>
      <c r="G1694">
        <v>1297.3120117000001</v>
      </c>
      <c r="H1694">
        <v>1282.9511719</v>
      </c>
      <c r="I1694">
        <v>1403.3564452999999</v>
      </c>
      <c r="J1694">
        <v>1380.2573242000001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1694.4742389999999</v>
      </c>
      <c r="B1695" s="1">
        <f>DATE(2014,12,20) + TIME(11,22,54)</f>
        <v>41993.474236111113</v>
      </c>
      <c r="C1695">
        <v>70</v>
      </c>
      <c r="D1695">
        <v>66.501495360999996</v>
      </c>
      <c r="E1695">
        <v>40</v>
      </c>
      <c r="F1695">
        <v>39.983451842999997</v>
      </c>
      <c r="G1695">
        <v>1297.1889647999999</v>
      </c>
      <c r="H1695">
        <v>1282.802124</v>
      </c>
      <c r="I1695">
        <v>1403.3203125</v>
      </c>
      <c r="J1695">
        <v>1380.2274170000001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1697.1227819999999</v>
      </c>
      <c r="B1696" s="1">
        <f>DATE(2014,12,23) + TIME(2,56,48)</f>
        <v>41996.122777777775</v>
      </c>
      <c r="C1696">
        <v>70</v>
      </c>
      <c r="D1696">
        <v>66.349113463999998</v>
      </c>
      <c r="E1696">
        <v>40</v>
      </c>
      <c r="F1696">
        <v>39.983474731000001</v>
      </c>
      <c r="G1696">
        <v>1297.0598144999999</v>
      </c>
      <c r="H1696">
        <v>1282.6445312000001</v>
      </c>
      <c r="I1696">
        <v>1403.2854004000001</v>
      </c>
      <c r="J1696">
        <v>1380.1983643000001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1699.8127039999999</v>
      </c>
      <c r="B1697" s="1">
        <f>DATE(2014,12,25) + TIME(19,30,17)</f>
        <v>41998.812696759262</v>
      </c>
      <c r="C1697">
        <v>70</v>
      </c>
      <c r="D1697">
        <v>66.196281432999996</v>
      </c>
      <c r="E1697">
        <v>40</v>
      </c>
      <c r="F1697">
        <v>39.983501433999997</v>
      </c>
      <c r="G1697">
        <v>1296.9244385</v>
      </c>
      <c r="H1697">
        <v>1282.4781493999999</v>
      </c>
      <c r="I1697">
        <v>1403.2515868999999</v>
      </c>
      <c r="J1697">
        <v>1380.1702881000001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1702.529556</v>
      </c>
      <c r="B1698" s="1">
        <f>DATE(2014,12,28) + TIME(12,42,33)</f>
        <v>42001.529548611114</v>
      </c>
      <c r="C1698">
        <v>70</v>
      </c>
      <c r="D1698">
        <v>66.043014525999993</v>
      </c>
      <c r="E1698">
        <v>40</v>
      </c>
      <c r="F1698">
        <v>39.983528137</v>
      </c>
      <c r="G1698">
        <v>1296.7823486</v>
      </c>
      <c r="H1698">
        <v>1282.302124</v>
      </c>
      <c r="I1698">
        <v>1403.2186279</v>
      </c>
      <c r="J1698">
        <v>1380.1429443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1705.2827119999999</v>
      </c>
      <c r="B1699" s="1">
        <f>DATE(2014,12,31) + TIME(6,47,6)</f>
        <v>42004.282708333332</v>
      </c>
      <c r="C1699">
        <v>70</v>
      </c>
      <c r="D1699">
        <v>65.889450073000006</v>
      </c>
      <c r="E1699">
        <v>40</v>
      </c>
      <c r="F1699">
        <v>39.983558655000003</v>
      </c>
      <c r="G1699">
        <v>1296.6340332</v>
      </c>
      <c r="H1699">
        <v>1282.1169434000001</v>
      </c>
      <c r="I1699">
        <v>1403.1868896000001</v>
      </c>
      <c r="J1699">
        <v>1380.1164550999999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1706</v>
      </c>
      <c r="B1700" s="1">
        <f>DATE(2015,1,1) + TIME(0,0,0)</f>
        <v>42005</v>
      </c>
      <c r="C1700">
        <v>70</v>
      </c>
      <c r="D1700">
        <v>65.797637938999998</v>
      </c>
      <c r="E1700">
        <v>40</v>
      </c>
      <c r="F1700">
        <v>39.983562468999999</v>
      </c>
      <c r="G1700">
        <v>1296.4810791</v>
      </c>
      <c r="H1700">
        <v>1281.9362793</v>
      </c>
      <c r="I1700">
        <v>1403.1555175999999</v>
      </c>
      <c r="J1700">
        <v>1380.0902100000001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1708.7973260000001</v>
      </c>
      <c r="B1701" s="1">
        <f>DATE(2015,1,3) + TIME(19,8,8)</f>
        <v>42007.797314814816</v>
      </c>
      <c r="C1701">
        <v>70</v>
      </c>
      <c r="D1701">
        <v>65.682884216000005</v>
      </c>
      <c r="E1701">
        <v>40</v>
      </c>
      <c r="F1701">
        <v>39.983592987000002</v>
      </c>
      <c r="G1701">
        <v>1296.4332274999999</v>
      </c>
      <c r="H1701">
        <v>1281.8607178</v>
      </c>
      <c r="I1701">
        <v>1403.1481934000001</v>
      </c>
      <c r="J1701">
        <v>1380.0841064000001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1711.6563149999999</v>
      </c>
      <c r="B1702" s="1">
        <f>DATE(2015,1,6) + TIME(15,45,5)</f>
        <v>42010.656307870369</v>
      </c>
      <c r="C1702">
        <v>70</v>
      </c>
      <c r="D1702">
        <v>65.536407471000004</v>
      </c>
      <c r="E1702">
        <v>40</v>
      </c>
      <c r="F1702">
        <v>39.983619689999998</v>
      </c>
      <c r="G1702">
        <v>1296.2712402</v>
      </c>
      <c r="H1702">
        <v>1281.6575928</v>
      </c>
      <c r="I1702">
        <v>1403.1184082</v>
      </c>
      <c r="J1702">
        <v>1380.0592041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1714.552105</v>
      </c>
      <c r="B1703" s="1">
        <f>DATE(2015,1,9) + TIME(13,15,1)</f>
        <v>42013.552094907405</v>
      </c>
      <c r="C1703">
        <v>70</v>
      </c>
      <c r="D1703">
        <v>65.380630492999998</v>
      </c>
      <c r="E1703">
        <v>40</v>
      </c>
      <c r="F1703">
        <v>39.983646393000001</v>
      </c>
      <c r="G1703">
        <v>1296.0977783000001</v>
      </c>
      <c r="H1703">
        <v>1281.4366454999999</v>
      </c>
      <c r="I1703">
        <v>1403.0889893000001</v>
      </c>
      <c r="J1703">
        <v>1380.034668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1717.49244</v>
      </c>
      <c r="B1704" s="1">
        <f>DATE(2015,1,12) + TIME(11,49,6)</f>
        <v>42016.492430555554</v>
      </c>
      <c r="C1704">
        <v>70</v>
      </c>
      <c r="D1704">
        <v>65.221260071000003</v>
      </c>
      <c r="E1704">
        <v>40</v>
      </c>
      <c r="F1704">
        <v>39.98367691</v>
      </c>
      <c r="G1704">
        <v>1295.9155272999999</v>
      </c>
      <c r="H1704">
        <v>1281.2022704999999</v>
      </c>
      <c r="I1704">
        <v>1403.0603027</v>
      </c>
      <c r="J1704">
        <v>1380.0104980000001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1720.4666910000001</v>
      </c>
      <c r="B1705" s="1">
        <f>DATE(2015,1,15) + TIME(11,12,2)</f>
        <v>42019.466689814813</v>
      </c>
      <c r="C1705">
        <v>70</v>
      </c>
      <c r="D1705">
        <v>65.059242248999993</v>
      </c>
      <c r="E1705">
        <v>40</v>
      </c>
      <c r="F1705">
        <v>39.983703613000003</v>
      </c>
      <c r="G1705">
        <v>1295.7242432</v>
      </c>
      <c r="H1705">
        <v>1280.9545897999999</v>
      </c>
      <c r="I1705">
        <v>1403.0322266000001</v>
      </c>
      <c r="J1705">
        <v>1379.9869385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1723.4845909999999</v>
      </c>
      <c r="B1706" s="1">
        <f>DATE(2015,1,18) + TIME(11,37,48)</f>
        <v>42022.484583333331</v>
      </c>
      <c r="C1706">
        <v>70</v>
      </c>
      <c r="D1706">
        <v>64.894706725999995</v>
      </c>
      <c r="E1706">
        <v>40</v>
      </c>
      <c r="F1706">
        <v>39.983734130999999</v>
      </c>
      <c r="G1706">
        <v>1295.5241699000001</v>
      </c>
      <c r="H1706">
        <v>1280.6938477000001</v>
      </c>
      <c r="I1706">
        <v>1403.0047606999999</v>
      </c>
      <c r="J1706">
        <v>1379.9637451000001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1726.533455</v>
      </c>
      <c r="B1707" s="1">
        <f>DATE(2015,1,21) + TIME(12,48,10)</f>
        <v>42025.533449074072</v>
      </c>
      <c r="C1707">
        <v>70</v>
      </c>
      <c r="D1707">
        <v>64.727256775000001</v>
      </c>
      <c r="E1707">
        <v>40</v>
      </c>
      <c r="F1707">
        <v>39.983764647999998</v>
      </c>
      <c r="G1707">
        <v>1295.3146973</v>
      </c>
      <c r="H1707">
        <v>1280.4190673999999</v>
      </c>
      <c r="I1707">
        <v>1402.9777832</v>
      </c>
      <c r="J1707">
        <v>1379.9410399999999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1729.6217449999999</v>
      </c>
      <c r="B1708" s="1">
        <f>DATE(2015,1,24) + TIME(14,55,18)</f>
        <v>42028.621736111112</v>
      </c>
      <c r="C1708">
        <v>70</v>
      </c>
      <c r="D1708">
        <v>64.556732178000004</v>
      </c>
      <c r="E1708">
        <v>40</v>
      </c>
      <c r="F1708">
        <v>39.983791351000001</v>
      </c>
      <c r="G1708">
        <v>1295.0963135</v>
      </c>
      <c r="H1708">
        <v>1280.1307373</v>
      </c>
      <c r="I1708">
        <v>1402.9514160000001</v>
      </c>
      <c r="J1708">
        <v>1379.9187012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1732.758574</v>
      </c>
      <c r="B1709" s="1">
        <f>DATE(2015,1,27) + TIME(18,12,20)</f>
        <v>42031.758564814816</v>
      </c>
      <c r="C1709">
        <v>70</v>
      </c>
      <c r="D1709">
        <v>64.382369995000005</v>
      </c>
      <c r="E1709">
        <v>40</v>
      </c>
      <c r="F1709">
        <v>39.983821869000003</v>
      </c>
      <c r="G1709">
        <v>1294.8682861</v>
      </c>
      <c r="H1709">
        <v>1279.8278809000001</v>
      </c>
      <c r="I1709">
        <v>1402.9254149999999</v>
      </c>
      <c r="J1709">
        <v>1379.8967285000001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1735.950323</v>
      </c>
      <c r="B1710" s="1">
        <f>DATE(2015,1,30) + TIME(22,48,27)</f>
        <v>42034.950312499997</v>
      </c>
      <c r="C1710">
        <v>70</v>
      </c>
      <c r="D1710">
        <v>64.203208923000005</v>
      </c>
      <c r="E1710">
        <v>40</v>
      </c>
      <c r="F1710">
        <v>39.983852386000002</v>
      </c>
      <c r="G1710">
        <v>1294.6296387</v>
      </c>
      <c r="H1710">
        <v>1279.5093993999999</v>
      </c>
      <c r="I1710">
        <v>1402.8997803</v>
      </c>
      <c r="J1710">
        <v>1379.875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1737</v>
      </c>
      <c r="B1711" s="1">
        <f>DATE(2015,2,1) + TIME(0,0,0)</f>
        <v>42036</v>
      </c>
      <c r="C1711">
        <v>70</v>
      </c>
      <c r="D1711">
        <v>64.074142456000004</v>
      </c>
      <c r="E1711">
        <v>40</v>
      </c>
      <c r="F1711">
        <v>39.983860016000001</v>
      </c>
      <c r="G1711">
        <v>1294.3879394999999</v>
      </c>
      <c r="H1711">
        <v>1279.1988524999999</v>
      </c>
      <c r="I1711">
        <v>1402.8739014</v>
      </c>
      <c r="J1711">
        <v>1379.8529053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1740.2397579999999</v>
      </c>
      <c r="B1712" s="1">
        <f>DATE(2015,2,4) + TIME(5,45,15)</f>
        <v>42039.239756944444</v>
      </c>
      <c r="C1712">
        <v>70</v>
      </c>
      <c r="D1712">
        <v>63.942340850999997</v>
      </c>
      <c r="E1712">
        <v>40</v>
      </c>
      <c r="F1712">
        <v>39.983894348</v>
      </c>
      <c r="G1712">
        <v>1294.2858887</v>
      </c>
      <c r="H1712">
        <v>1279.041626</v>
      </c>
      <c r="I1712">
        <v>1402.8663329999999</v>
      </c>
      <c r="J1712">
        <v>1379.8464355000001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1743.537648</v>
      </c>
      <c r="B1713" s="1">
        <f>DATE(2015,2,7) + TIME(12,54,12)</f>
        <v>42042.537638888891</v>
      </c>
      <c r="C1713">
        <v>70</v>
      </c>
      <c r="D1713">
        <v>63.761428832999997</v>
      </c>
      <c r="E1713">
        <v>40</v>
      </c>
      <c r="F1713">
        <v>39.983924866000002</v>
      </c>
      <c r="G1713">
        <v>1294.0306396000001</v>
      </c>
      <c r="H1713">
        <v>1278.7010498</v>
      </c>
      <c r="I1713">
        <v>1402.8415527</v>
      </c>
      <c r="J1713">
        <v>1379.8253173999999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1746.87068</v>
      </c>
      <c r="B1714" s="1">
        <f>DATE(2015,2,10) + TIME(20,53,46)</f>
        <v>42045.870671296296</v>
      </c>
      <c r="C1714">
        <v>70</v>
      </c>
      <c r="D1714">
        <v>63.564579010000003</v>
      </c>
      <c r="E1714">
        <v>40</v>
      </c>
      <c r="F1714">
        <v>39.983955383000001</v>
      </c>
      <c r="G1714">
        <v>1293.7573242000001</v>
      </c>
      <c r="H1714">
        <v>1278.3306885</v>
      </c>
      <c r="I1714">
        <v>1402.8167725000001</v>
      </c>
      <c r="J1714">
        <v>1379.8041992000001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1750.2498350000001</v>
      </c>
      <c r="B1715" s="1">
        <f>DATE(2015,2,14) + TIME(5,59,45)</f>
        <v>42049.249826388892</v>
      </c>
      <c r="C1715">
        <v>70</v>
      </c>
      <c r="D1715">
        <v>63.358875275000003</v>
      </c>
      <c r="E1715">
        <v>40</v>
      </c>
      <c r="F1715">
        <v>39.983985900999997</v>
      </c>
      <c r="G1715">
        <v>1293.4725341999999</v>
      </c>
      <c r="H1715">
        <v>1277.9421387</v>
      </c>
      <c r="I1715">
        <v>1402.7924805</v>
      </c>
      <c r="J1715">
        <v>1379.7833252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1753.6842349999999</v>
      </c>
      <c r="B1716" s="1">
        <f>DATE(2015,2,17) + TIME(16,25,17)</f>
        <v>42052.684224537035</v>
      </c>
      <c r="C1716">
        <v>70</v>
      </c>
      <c r="D1716">
        <v>63.144702911000003</v>
      </c>
      <c r="E1716">
        <v>40</v>
      </c>
      <c r="F1716">
        <v>39.984016418000003</v>
      </c>
      <c r="G1716">
        <v>1293.1766356999999</v>
      </c>
      <c r="H1716">
        <v>1277.5360106999999</v>
      </c>
      <c r="I1716">
        <v>1402.7683105000001</v>
      </c>
      <c r="J1716">
        <v>1379.7625731999999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1757.183612</v>
      </c>
      <c r="B1717" s="1">
        <f>DATE(2015,2,21) + TIME(4,24,24)</f>
        <v>42056.183611111112</v>
      </c>
      <c r="C1717">
        <v>70</v>
      </c>
      <c r="D1717">
        <v>62.921070098999998</v>
      </c>
      <c r="E1717">
        <v>40</v>
      </c>
      <c r="F1717">
        <v>39.984050750999998</v>
      </c>
      <c r="G1717">
        <v>1292.8687743999999</v>
      </c>
      <c r="H1717">
        <v>1277.1116943</v>
      </c>
      <c r="I1717">
        <v>1402.7442627</v>
      </c>
      <c r="J1717">
        <v>1379.7419434000001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1760.7295690000001</v>
      </c>
      <c r="B1718" s="1">
        <f>DATE(2015,2,24) + TIME(17,30,34)</f>
        <v>42059.729560185187</v>
      </c>
      <c r="C1718">
        <v>70</v>
      </c>
      <c r="D1718">
        <v>62.686950684000003</v>
      </c>
      <c r="E1718">
        <v>40</v>
      </c>
      <c r="F1718">
        <v>39.984081267999997</v>
      </c>
      <c r="G1718">
        <v>1292.5483397999999</v>
      </c>
      <c r="H1718">
        <v>1276.6680908000001</v>
      </c>
      <c r="I1718">
        <v>1402.7202147999999</v>
      </c>
      <c r="J1718">
        <v>1379.7211914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1764.3218010000001</v>
      </c>
      <c r="B1719" s="1">
        <f>DATE(2015,2,28) + TIME(7,43,23)</f>
        <v>42063.321793981479</v>
      </c>
      <c r="C1719">
        <v>70</v>
      </c>
      <c r="D1719">
        <v>62.442241668999998</v>
      </c>
      <c r="E1719">
        <v>40</v>
      </c>
      <c r="F1719">
        <v>39.984115600999999</v>
      </c>
      <c r="G1719">
        <v>1292.2167969</v>
      </c>
      <c r="H1719">
        <v>1276.2067870999999</v>
      </c>
      <c r="I1719">
        <v>1402.6961670000001</v>
      </c>
      <c r="J1719">
        <v>1379.7004394999999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1765</v>
      </c>
      <c r="B1720" s="1">
        <f>DATE(2015,3,1) + TIME(0,0,0)</f>
        <v>42064</v>
      </c>
      <c r="C1720">
        <v>70</v>
      </c>
      <c r="D1720">
        <v>62.300060272000003</v>
      </c>
      <c r="E1720">
        <v>40</v>
      </c>
      <c r="F1720">
        <v>39.984119415000002</v>
      </c>
      <c r="G1720">
        <v>1291.8945312000001</v>
      </c>
      <c r="H1720">
        <v>1275.7883300999999</v>
      </c>
      <c r="I1720">
        <v>1402.6715088000001</v>
      </c>
      <c r="J1720">
        <v>1379.6789550999999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1768.6482169999999</v>
      </c>
      <c r="B1721" s="1">
        <f>DATE(2015,3,4) + TIME(15,33,25)</f>
        <v>42067.648206018515</v>
      </c>
      <c r="C1721">
        <v>70</v>
      </c>
      <c r="D1721">
        <v>62.118968963999997</v>
      </c>
      <c r="E1721">
        <v>40</v>
      </c>
      <c r="F1721">
        <v>39.984153747999997</v>
      </c>
      <c r="G1721">
        <v>1291.7938231999999</v>
      </c>
      <c r="H1721">
        <v>1275.6074219</v>
      </c>
      <c r="I1721">
        <v>1402.6678466999999</v>
      </c>
      <c r="J1721">
        <v>1379.6757812000001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1772.3787609999999</v>
      </c>
      <c r="B1722" s="1">
        <f>DATE(2015,3,8) + TIME(9,5,24)</f>
        <v>42071.378750000003</v>
      </c>
      <c r="C1722">
        <v>70</v>
      </c>
      <c r="D1722">
        <v>61.862388611</v>
      </c>
      <c r="E1722">
        <v>40</v>
      </c>
      <c r="F1722">
        <v>39.984184265000003</v>
      </c>
      <c r="G1722">
        <v>1291.4504394999999</v>
      </c>
      <c r="H1722">
        <v>1275.1315918</v>
      </c>
      <c r="I1722">
        <v>1402.6439209</v>
      </c>
      <c r="J1722">
        <v>1379.6550293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1776.1557740000001</v>
      </c>
      <c r="B1723" s="1">
        <f>DATE(2015,3,12) + TIME(3,44,18)</f>
        <v>42075.155763888892</v>
      </c>
      <c r="C1723">
        <v>70</v>
      </c>
      <c r="D1723">
        <v>61.579425811999997</v>
      </c>
      <c r="E1723">
        <v>40</v>
      </c>
      <c r="F1723">
        <v>39.984218597000002</v>
      </c>
      <c r="G1723">
        <v>1291.0836182</v>
      </c>
      <c r="H1723">
        <v>1274.6153564000001</v>
      </c>
      <c r="I1723">
        <v>1402.619751</v>
      </c>
      <c r="J1723">
        <v>1379.6339111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1779.9830460000001</v>
      </c>
      <c r="B1724" s="1">
        <f>DATE(2015,3,15) + TIME(23,35,35)</f>
        <v>42078.983043981483</v>
      </c>
      <c r="C1724">
        <v>70</v>
      </c>
      <c r="D1724">
        <v>61.280315399000003</v>
      </c>
      <c r="E1724">
        <v>40</v>
      </c>
      <c r="F1724">
        <v>39.984252929999997</v>
      </c>
      <c r="G1724">
        <v>1290.7042236</v>
      </c>
      <c r="H1724">
        <v>1274.0783690999999</v>
      </c>
      <c r="I1724">
        <v>1402.5954589999999</v>
      </c>
      <c r="J1724">
        <v>1379.612793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1783.8715549999999</v>
      </c>
      <c r="B1725" s="1">
        <f>DATE(2015,3,19) + TIME(20,55,2)</f>
        <v>42082.871550925927</v>
      </c>
      <c r="C1725">
        <v>70</v>
      </c>
      <c r="D1725">
        <v>60.965988158999998</v>
      </c>
      <c r="E1725">
        <v>40</v>
      </c>
      <c r="F1725">
        <v>39.984283447000003</v>
      </c>
      <c r="G1725">
        <v>1290.3142089999999</v>
      </c>
      <c r="H1725">
        <v>1273.5234375</v>
      </c>
      <c r="I1725">
        <v>1402.5711670000001</v>
      </c>
      <c r="J1725">
        <v>1379.5915527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1787.8313869999999</v>
      </c>
      <c r="B1726" s="1">
        <f>DATE(2015,3,23) + TIME(19,57,11)</f>
        <v>42086.831377314818</v>
      </c>
      <c r="C1726">
        <v>70</v>
      </c>
      <c r="D1726">
        <v>60.635349273999999</v>
      </c>
      <c r="E1726">
        <v>40</v>
      </c>
      <c r="F1726">
        <v>39.984317779999998</v>
      </c>
      <c r="G1726">
        <v>1289.9128418</v>
      </c>
      <c r="H1726">
        <v>1272.9503173999999</v>
      </c>
      <c r="I1726">
        <v>1402.5466309000001</v>
      </c>
      <c r="J1726">
        <v>1379.5699463000001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1791.8486499999999</v>
      </c>
      <c r="B1727" s="1">
        <f>DATE(2015,3,27) + TIME(20,22,3)</f>
        <v>42090.848645833335</v>
      </c>
      <c r="C1727">
        <v>70</v>
      </c>
      <c r="D1727">
        <v>60.287296294999997</v>
      </c>
      <c r="E1727">
        <v>40</v>
      </c>
      <c r="F1727">
        <v>39.984352112000003</v>
      </c>
      <c r="G1727">
        <v>1289.4998779</v>
      </c>
      <c r="H1727">
        <v>1272.3580322</v>
      </c>
      <c r="I1727">
        <v>1402.5216064000001</v>
      </c>
      <c r="J1727">
        <v>1379.5479736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1796</v>
      </c>
      <c r="B1728" s="1">
        <f>DATE(2015,4,1) + TIME(0,0,0)</f>
        <v>42095</v>
      </c>
      <c r="C1728">
        <v>70</v>
      </c>
      <c r="D1728">
        <v>59.921195984000001</v>
      </c>
      <c r="E1728">
        <v>40</v>
      </c>
      <c r="F1728">
        <v>39.984386444000002</v>
      </c>
      <c r="G1728">
        <v>1289.0765381000001</v>
      </c>
      <c r="H1728">
        <v>1271.7480469</v>
      </c>
      <c r="I1728">
        <v>1402.4964600000001</v>
      </c>
      <c r="J1728">
        <v>1379.5257568</v>
      </c>
      <c r="K1728">
        <v>0</v>
      </c>
      <c r="L1728">
        <v>2400</v>
      </c>
      <c r="M1728">
        <v>2400</v>
      </c>
      <c r="N172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2022-05-31T08:55:52Z</dcterms:created>
  <dcterms:modified xsi:type="dcterms:W3CDTF">2022-05-31T08:56:37Z</dcterms:modified>
</cp:coreProperties>
</file>