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nbv-my.sharepoint.com/personal/toon_griendt-van-de_ebn_nl/Documents/Documents/CMG MODEL/SCENARIOS/2022/S8_high_perm/"/>
    </mc:Choice>
  </mc:AlternateContent>
  <xr:revisionPtr revIDLastSave="0" documentId="8_{1E9B3E3F-9983-4049-860D-A89881D871BA}" xr6:coauthVersionLast="47" xr6:coauthVersionMax="47" xr10:uidLastSave="{00000000-0000-0000-0000-000000000000}"/>
  <bookViews>
    <workbookView xWindow="1140" yWindow="960" windowWidth="18915" windowHeight="9960" xr2:uid="{85CE576C-1E5C-429C-A43C-8B08B352F734}"/>
  </bookViews>
  <sheets>
    <sheet name="Plo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77" i="1" l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<sst xmlns="http://schemas.openxmlformats.org/spreadsheetml/2006/main" count="15" uniqueCount="15">
  <si>
    <t>C:\Users\924224\OneDrive - EBN BV\Documents\CMG MODEL\SCENARIOS\2022\S8_high_perm\S8_high_perm.sr3</t>
  </si>
  <si>
    <t>Time (day)</t>
  </si>
  <si>
    <t>Date</t>
  </si>
  <si>
    <t>Hot well INJ-Well bottom hole temperature (C)</t>
  </si>
  <si>
    <t>Hot well PROD-Well bottom hole temperature (C)</t>
  </si>
  <si>
    <t>Warm well INJ-Well bottom hole temperature (C)</t>
  </si>
  <si>
    <t>Warm well PROD-Well bottom hole temperature (C)</t>
  </si>
  <si>
    <t>Hot well INJ-Well Bottom-hole Pressure (kPa)</t>
  </si>
  <si>
    <t>Hot well PROD-Well Bottom-hole Pressure (kPa)</t>
  </si>
  <si>
    <t>Warm well INJ-Well Bottom-hole Pressure (kPa)</t>
  </si>
  <si>
    <t>Warm well PROD-Well Bottom-hole Pressure (kPa)</t>
  </si>
  <si>
    <t>Hot well INJ-Fluid Rate SC (m³/day)</t>
  </si>
  <si>
    <t>Hot well PROD-Fluid Rate SC (m³/day)</t>
  </si>
  <si>
    <t>Warm well INJ-Fluid Rate SC (m³/day)</t>
  </si>
  <si>
    <t>Warm well PROD-Fluid Rate SC (m³/day)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</si>
</sst>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y\y\y\y\-mmm/dd\ \h\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/dd\ \h\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DFE33-EBEB-4DB3-BB94-FE3204943AA0}" name="Table1" displayName="Table1" ref="A3:N2477" totalsRowShown="0">
  <autoFilter ref="A3:N2477" xr:uid="{15FDFE33-EBEB-4DB3-BB94-FE3204943AA0}"/>
  <tableColumns count="14">
    <tableColumn id="1" xr3:uid="{38699F9E-54FA-40AB-914C-F1FE172C66EF}" name="Time (day)"/>
    <tableColumn id="2" xr3:uid="{F4F43F88-211E-4719-A31C-F7690307AFFB}" name="Date" dataDxfId="0"/>
    <tableColumn id="3" xr3:uid="{2DE02F64-88E4-4A5C-9330-FEC765AC2EED}" name="Hot well INJ-Well bottom hole temperature (C)"/>
    <tableColumn id="4" xr3:uid="{A7BEC521-4CFB-4EC3-8A4C-7DB242FA5B01}" name="Hot well PROD-Well bottom hole temperature (C)"/>
    <tableColumn id="5" xr3:uid="{BC5C9C47-EAD6-45F7-90E5-73CE8700A265}" name="Warm well INJ-Well bottom hole temperature (C)"/>
    <tableColumn id="6" xr3:uid="{FDD4ECA7-5DE7-4454-BB69-B1B07B7187B7}" name="Warm well PROD-Well bottom hole temperature (C)"/>
    <tableColumn id="7" xr3:uid="{C0DD1C3A-AA6E-4E5C-9A5D-B173D81D53C6}" name="Hot well INJ-Well Bottom-hole Pressure (kPa)"/>
    <tableColumn id="8" xr3:uid="{7DFDBD50-A259-4BC6-A01F-1E9D36388492}" name="Hot well PROD-Well Bottom-hole Pressure (kPa)"/>
    <tableColumn id="9" xr3:uid="{C5EAB189-994D-4E76-810E-E66051CDD035}" name="Warm well INJ-Well Bottom-hole Pressure (kPa)"/>
    <tableColumn id="10" xr3:uid="{4E56C540-B90B-4BD9-8736-C66A24562703}" name="Warm well PROD-Well Bottom-hole Pressure (kPa)"/>
    <tableColumn id="11" xr3:uid="{A68546D8-8EFC-4814-AF94-0E3D85685D58}" name="Hot well INJ-Fluid Rate SC (m³/day)"/>
    <tableColumn id="12" xr3:uid="{3759913E-67CC-40B8-9113-66E8FE57B3C8}" name="Hot well PROD-Fluid Rate SC (m³/day)"/>
    <tableColumn id="13" xr3:uid="{653B307D-0D47-44C5-A3F0-AE4FB815E8BA}" name="Warm well INJ-Fluid Rate SC (m³/day)"/>
    <tableColumn id="14" xr3:uid="{B677E9DA-A6A6-4CB9-A505-35FB2615B778}" name="Warm well PROD-Fluid Rate SC (m³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C85-5A91-478E-882D-896B3756418D}">
  <dimension ref="A1:N2477"/>
  <sheetViews>
    <sheetView tabSelected="1" workbookViewId="0"/>
  </sheetViews>
  <sheetFormatPr defaultRowHeight="15" x14ac:dyDescent="0.25"/>
  <cols>
    <col min="1" max="1" width="12.5703125" customWidth="1"/>
    <col min="2" max="2" width="20" bestFit="1" customWidth="1"/>
    <col min="3" max="3" width="44.85546875" customWidth="1"/>
    <col min="4" max="5" width="47.140625" customWidth="1"/>
    <col min="6" max="6" width="49.42578125" customWidth="1"/>
    <col min="7" max="7" width="43.5703125" customWidth="1"/>
    <col min="8" max="9" width="45.85546875" customWidth="1"/>
    <col min="10" max="10" width="48.140625" customWidth="1"/>
    <col min="11" max="11" width="34.140625" customWidth="1"/>
    <col min="12" max="13" width="36.42578125" customWidth="1"/>
    <col min="14" max="14" width="38.7109375" customWidth="1"/>
  </cols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>
        <v>9.9999999999999995E-7</v>
      </c>
      <c r="B4" s="1">
        <f>DATE(2010,5,1) + TIME(0,0,0)</f>
        <v>40299</v>
      </c>
      <c r="C4">
        <v>80</v>
      </c>
      <c r="D4">
        <v>15.000115395</v>
      </c>
      <c r="E4">
        <v>50</v>
      </c>
      <c r="F4">
        <v>14.999958038000001</v>
      </c>
      <c r="G4">
        <v>1337.7019043</v>
      </c>
      <c r="H4">
        <v>1329.8167725000001</v>
      </c>
      <c r="I4">
        <v>1329.0042725000001</v>
      </c>
      <c r="J4">
        <v>1321.1184082</v>
      </c>
      <c r="K4">
        <v>2400</v>
      </c>
      <c r="L4">
        <v>0</v>
      </c>
      <c r="M4">
        <v>0</v>
      </c>
      <c r="N4">
        <v>2400</v>
      </c>
    </row>
    <row r="5" spans="1:14" x14ac:dyDescent="0.25">
      <c r="A5">
        <v>3.9999999999999998E-6</v>
      </c>
      <c r="B5" s="1">
        <f>DATE(2010,5,1) + TIME(0,0,0)</f>
        <v>40299</v>
      </c>
      <c r="C5">
        <v>80</v>
      </c>
      <c r="D5">
        <v>15.000433921999999</v>
      </c>
      <c r="E5">
        <v>50</v>
      </c>
      <c r="F5">
        <v>14.999860763999999</v>
      </c>
      <c r="G5">
        <v>1338.6572266000001</v>
      </c>
      <c r="H5">
        <v>1330.7720947</v>
      </c>
      <c r="I5">
        <v>1328.0531006000001</v>
      </c>
      <c r="J5">
        <v>1320.1672363</v>
      </c>
      <c r="K5">
        <v>2400</v>
      </c>
      <c r="L5">
        <v>0</v>
      </c>
      <c r="M5">
        <v>0</v>
      </c>
      <c r="N5">
        <v>2400</v>
      </c>
    </row>
    <row r="6" spans="1:14" x14ac:dyDescent="0.25">
      <c r="A6">
        <v>1.2999999999999999E-5</v>
      </c>
      <c r="B6" s="1">
        <f>DATE(2010,5,1) + TIME(0,0,1)</f>
        <v>40299.000011574077</v>
      </c>
      <c r="C6">
        <v>80</v>
      </c>
      <c r="D6">
        <v>15.001268387</v>
      </c>
      <c r="E6">
        <v>50</v>
      </c>
      <c r="F6">
        <v>14.999686240999999</v>
      </c>
      <c r="G6">
        <v>1340.3598632999999</v>
      </c>
      <c r="H6">
        <v>1332.4748535000001</v>
      </c>
      <c r="I6">
        <v>1326.3575439000001</v>
      </c>
      <c r="J6">
        <v>1318.4718018000001</v>
      </c>
      <c r="K6">
        <v>2400</v>
      </c>
      <c r="L6">
        <v>0</v>
      </c>
      <c r="M6">
        <v>0</v>
      </c>
      <c r="N6">
        <v>2400</v>
      </c>
    </row>
    <row r="7" spans="1:14" x14ac:dyDescent="0.25">
      <c r="A7">
        <v>4.0000000000000003E-5</v>
      </c>
      <c r="B7" s="1">
        <f>DATE(2010,5,1) + TIME(0,0,3)</f>
        <v>40299.000034722223</v>
      </c>
      <c r="C7">
        <v>80</v>
      </c>
      <c r="D7">
        <v>15.003473282</v>
      </c>
      <c r="E7">
        <v>50</v>
      </c>
      <c r="F7">
        <v>14.999462127999999</v>
      </c>
      <c r="G7">
        <v>1342.5461425999999</v>
      </c>
      <c r="H7">
        <v>1334.6616211</v>
      </c>
      <c r="I7">
        <v>1324.1801757999999</v>
      </c>
      <c r="J7">
        <v>1316.2944336</v>
      </c>
      <c r="K7">
        <v>2400</v>
      </c>
      <c r="L7">
        <v>0</v>
      </c>
      <c r="M7">
        <v>0</v>
      </c>
      <c r="N7">
        <v>2400</v>
      </c>
    </row>
    <row r="8" spans="1:14" x14ac:dyDescent="0.25">
      <c r="A8">
        <v>1.21E-4</v>
      </c>
      <c r="B8" s="1">
        <f>DATE(2010,5,1) + TIME(0,0,10)</f>
        <v>40299.000115740739</v>
      </c>
      <c r="C8">
        <v>80</v>
      </c>
      <c r="D8">
        <v>15.009647369</v>
      </c>
      <c r="E8">
        <v>50</v>
      </c>
      <c r="F8">
        <v>14.999228477000001</v>
      </c>
      <c r="G8">
        <v>1344.8243408000001</v>
      </c>
      <c r="H8">
        <v>1336.9410399999999</v>
      </c>
      <c r="I8">
        <v>1321.9101562000001</v>
      </c>
      <c r="J8">
        <v>1314.0244141000001</v>
      </c>
      <c r="K8">
        <v>2400</v>
      </c>
      <c r="L8">
        <v>0</v>
      </c>
      <c r="M8">
        <v>0</v>
      </c>
      <c r="N8">
        <v>2400</v>
      </c>
    </row>
    <row r="9" spans="1:14" x14ac:dyDescent="0.25">
      <c r="A9">
        <v>3.6400000000000001E-4</v>
      </c>
      <c r="B9" s="1">
        <f>DATE(2010,5,1) + TIME(0,0,31)</f>
        <v>40299.000358796293</v>
      </c>
      <c r="C9">
        <v>80</v>
      </c>
      <c r="D9">
        <v>15.027693748000001</v>
      </c>
      <c r="E9">
        <v>50</v>
      </c>
      <c r="F9">
        <v>14.998996735</v>
      </c>
      <c r="G9">
        <v>1347.083374</v>
      </c>
      <c r="H9">
        <v>1339.2038574000001</v>
      </c>
      <c r="I9">
        <v>1319.6552733999999</v>
      </c>
      <c r="J9">
        <v>1311.7696533000001</v>
      </c>
      <c r="K9">
        <v>2400</v>
      </c>
      <c r="L9">
        <v>0</v>
      </c>
      <c r="M9">
        <v>0</v>
      </c>
      <c r="N9">
        <v>2400</v>
      </c>
    </row>
    <row r="10" spans="1:14" x14ac:dyDescent="0.25">
      <c r="A10">
        <v>1.093E-3</v>
      </c>
      <c r="B10" s="1">
        <f>DATE(2010,5,1) + TIME(0,1,34)</f>
        <v>40299.001087962963</v>
      </c>
      <c r="C10">
        <v>80</v>
      </c>
      <c r="D10">
        <v>15.081323623999999</v>
      </c>
      <c r="E10">
        <v>50</v>
      </c>
      <c r="F10">
        <v>14.998768805999999</v>
      </c>
      <c r="G10">
        <v>1349.3015137</v>
      </c>
      <c r="H10">
        <v>1341.4328613</v>
      </c>
      <c r="I10">
        <v>1317.4302978999999</v>
      </c>
      <c r="J10">
        <v>1309.5446777</v>
      </c>
      <c r="K10">
        <v>2400</v>
      </c>
      <c r="L10">
        <v>0</v>
      </c>
      <c r="M10">
        <v>0</v>
      </c>
      <c r="N10">
        <v>2400</v>
      </c>
    </row>
    <row r="11" spans="1:14" x14ac:dyDescent="0.25">
      <c r="A11">
        <v>3.2799999999999999E-3</v>
      </c>
      <c r="B11" s="1">
        <f>DATE(2010,5,1) + TIME(0,4,43)</f>
        <v>40299.003275462965</v>
      </c>
      <c r="C11">
        <v>80</v>
      </c>
      <c r="D11">
        <v>15.241365433</v>
      </c>
      <c r="E11">
        <v>50</v>
      </c>
      <c r="F11">
        <v>14.998563766</v>
      </c>
      <c r="G11">
        <v>1351.2784423999999</v>
      </c>
      <c r="H11">
        <v>1343.4421387</v>
      </c>
      <c r="I11">
        <v>1315.4201660000001</v>
      </c>
      <c r="J11">
        <v>1307.5345459</v>
      </c>
      <c r="K11">
        <v>2400</v>
      </c>
      <c r="L11">
        <v>0</v>
      </c>
      <c r="M11">
        <v>0</v>
      </c>
      <c r="N11">
        <v>2400</v>
      </c>
    </row>
    <row r="12" spans="1:14" x14ac:dyDescent="0.25">
      <c r="A12">
        <v>9.8410000000000008E-3</v>
      </c>
      <c r="B12" s="1">
        <f>DATE(2010,5,1) + TIME(0,14,10)</f>
        <v>40299.009837962964</v>
      </c>
      <c r="C12">
        <v>80</v>
      </c>
      <c r="D12">
        <v>15.717778206</v>
      </c>
      <c r="E12">
        <v>50</v>
      </c>
      <c r="F12">
        <v>14.998431205999999</v>
      </c>
      <c r="G12">
        <v>1352.5319824000001</v>
      </c>
      <c r="H12">
        <v>1344.7908935999999</v>
      </c>
      <c r="I12">
        <v>1314.0905762</v>
      </c>
      <c r="J12">
        <v>1306.2049560999999</v>
      </c>
      <c r="K12">
        <v>2400</v>
      </c>
      <c r="L12">
        <v>0</v>
      </c>
      <c r="M12">
        <v>0</v>
      </c>
      <c r="N12">
        <v>2400</v>
      </c>
    </row>
    <row r="13" spans="1:14" x14ac:dyDescent="0.25">
      <c r="A13">
        <v>2.3612999999999999E-2</v>
      </c>
      <c r="B13" s="1">
        <f>DATE(2010,5,1) + TIME(0,34,0)</f>
        <v>40299.023611111108</v>
      </c>
      <c r="C13">
        <v>80</v>
      </c>
      <c r="D13">
        <v>16.705348968999999</v>
      </c>
      <c r="E13">
        <v>50</v>
      </c>
      <c r="F13">
        <v>14.998394012</v>
      </c>
      <c r="G13">
        <v>1352.7923584</v>
      </c>
      <c r="H13">
        <v>1345.2402344</v>
      </c>
      <c r="I13">
        <v>1313.6550293</v>
      </c>
      <c r="J13">
        <v>1305.7692870999999</v>
      </c>
      <c r="K13">
        <v>2400</v>
      </c>
      <c r="L13">
        <v>0</v>
      </c>
      <c r="M13">
        <v>0</v>
      </c>
      <c r="N13">
        <v>2400</v>
      </c>
    </row>
    <row r="14" spans="1:14" x14ac:dyDescent="0.25">
      <c r="A14">
        <v>3.7558000000000001E-2</v>
      </c>
      <c r="B14" s="1">
        <f>DATE(2010,5,1) + TIME(0,54,4)</f>
        <v>40299.037546296298</v>
      </c>
      <c r="C14">
        <v>80</v>
      </c>
      <c r="D14">
        <v>17.693506241000001</v>
      </c>
      <c r="E14">
        <v>50</v>
      </c>
      <c r="F14">
        <v>14.998394012</v>
      </c>
      <c r="G14">
        <v>1352.6655272999999</v>
      </c>
      <c r="H14">
        <v>1345.2863769999999</v>
      </c>
      <c r="I14">
        <v>1313.5856934000001</v>
      </c>
      <c r="J14">
        <v>1305.6999512</v>
      </c>
      <c r="K14">
        <v>2400</v>
      </c>
      <c r="L14">
        <v>0</v>
      </c>
      <c r="M14">
        <v>0</v>
      </c>
      <c r="N14">
        <v>2400</v>
      </c>
    </row>
    <row r="15" spans="1:14" x14ac:dyDescent="0.25">
      <c r="A15">
        <v>5.1670000000000001E-2</v>
      </c>
      <c r="B15" s="1">
        <f>DATE(2010,5,1) + TIME(1,14,24)</f>
        <v>40299.051666666666</v>
      </c>
      <c r="C15">
        <v>80</v>
      </c>
      <c r="D15">
        <v>18.681875228999999</v>
      </c>
      <c r="E15">
        <v>50</v>
      </c>
      <c r="F15">
        <v>14.998399733999999</v>
      </c>
      <c r="G15">
        <v>1352.4621582</v>
      </c>
      <c r="H15">
        <v>1345.2476807</v>
      </c>
      <c r="I15">
        <v>1313.5777588000001</v>
      </c>
      <c r="J15">
        <v>1305.6920166</v>
      </c>
      <c r="K15">
        <v>2400</v>
      </c>
      <c r="L15">
        <v>0</v>
      </c>
      <c r="M15">
        <v>0</v>
      </c>
      <c r="N15">
        <v>2400</v>
      </c>
    </row>
    <row r="16" spans="1:14" x14ac:dyDescent="0.25">
      <c r="A16">
        <v>6.5948000000000007E-2</v>
      </c>
      <c r="B16" s="1">
        <f>DATE(2010,5,1) + TIME(1,34,57)</f>
        <v>40299.065937500003</v>
      </c>
      <c r="C16">
        <v>80</v>
      </c>
      <c r="D16">
        <v>19.670156478999999</v>
      </c>
      <c r="E16">
        <v>50</v>
      </c>
      <c r="F16">
        <v>14.998406409999999</v>
      </c>
      <c r="G16">
        <v>1352.2496338000001</v>
      </c>
      <c r="H16">
        <v>1345.1918945</v>
      </c>
      <c r="I16">
        <v>1313.5787353999999</v>
      </c>
      <c r="J16">
        <v>1305.6929932</v>
      </c>
      <c r="K16">
        <v>2400</v>
      </c>
      <c r="L16">
        <v>0</v>
      </c>
      <c r="M16">
        <v>0</v>
      </c>
      <c r="N16">
        <v>2400</v>
      </c>
    </row>
    <row r="17" spans="1:14" x14ac:dyDescent="0.25">
      <c r="A17">
        <v>8.0394999999999994E-2</v>
      </c>
      <c r="B17" s="1">
        <f>DATE(2010,5,1) + TIME(1,55,46)</f>
        <v>40299.080393518518</v>
      </c>
      <c r="C17">
        <v>80</v>
      </c>
      <c r="D17">
        <v>20.658922194999999</v>
      </c>
      <c r="E17">
        <v>50</v>
      </c>
      <c r="F17">
        <v>14.998413085999999</v>
      </c>
      <c r="G17">
        <v>1352.0435791</v>
      </c>
      <c r="H17">
        <v>1345.1351318</v>
      </c>
      <c r="I17">
        <v>1313.5802002</v>
      </c>
      <c r="J17">
        <v>1305.6944579999999</v>
      </c>
      <c r="K17">
        <v>2400</v>
      </c>
      <c r="L17">
        <v>0</v>
      </c>
      <c r="M17">
        <v>0</v>
      </c>
      <c r="N17">
        <v>2400</v>
      </c>
    </row>
    <row r="18" spans="1:14" x14ac:dyDescent="0.25">
      <c r="A18">
        <v>9.5006999999999994E-2</v>
      </c>
      <c r="B18" s="1">
        <f>DATE(2010,5,1) + TIME(2,16,48)</f>
        <v>40299.095000000001</v>
      </c>
      <c r="C18">
        <v>80</v>
      </c>
      <c r="D18">
        <v>21.647306442000001</v>
      </c>
      <c r="E18">
        <v>50</v>
      </c>
      <c r="F18">
        <v>14.998419761999999</v>
      </c>
      <c r="G18">
        <v>1351.8477783000001</v>
      </c>
      <c r="H18">
        <v>1345.081543</v>
      </c>
      <c r="I18">
        <v>1313.5812988</v>
      </c>
      <c r="J18">
        <v>1305.6954346</v>
      </c>
      <c r="K18">
        <v>2400</v>
      </c>
      <c r="L18">
        <v>0</v>
      </c>
      <c r="M18">
        <v>0</v>
      </c>
      <c r="N18">
        <v>2400</v>
      </c>
    </row>
    <row r="19" spans="1:14" x14ac:dyDescent="0.25">
      <c r="A19">
        <v>0.10979</v>
      </c>
      <c r="B19" s="1">
        <f>DATE(2010,5,1) + TIME(2,38,5)</f>
        <v>40299.109780092593</v>
      </c>
      <c r="C19">
        <v>80</v>
      </c>
      <c r="D19">
        <v>22.635288239000001</v>
      </c>
      <c r="E19">
        <v>50</v>
      </c>
      <c r="F19">
        <v>14.998426436999999</v>
      </c>
      <c r="G19">
        <v>1351.6628418</v>
      </c>
      <c r="H19">
        <v>1345.0319824000001</v>
      </c>
      <c r="I19">
        <v>1313.5821533000001</v>
      </c>
      <c r="J19">
        <v>1305.6962891000001</v>
      </c>
      <c r="K19">
        <v>2400</v>
      </c>
      <c r="L19">
        <v>0</v>
      </c>
      <c r="M19">
        <v>0</v>
      </c>
      <c r="N19">
        <v>2400</v>
      </c>
    </row>
    <row r="20" spans="1:14" x14ac:dyDescent="0.25">
      <c r="A20">
        <v>0.124754</v>
      </c>
      <c r="B20" s="1">
        <f>DATE(2010,5,1) + TIME(2,59,38)</f>
        <v>40299.124745370369</v>
      </c>
      <c r="C20">
        <v>80</v>
      </c>
      <c r="D20">
        <v>23.623136519999999</v>
      </c>
      <c r="E20">
        <v>50</v>
      </c>
      <c r="F20">
        <v>14.998433113000001</v>
      </c>
      <c r="G20">
        <v>1351.4885254000001</v>
      </c>
      <c r="H20">
        <v>1344.9868164</v>
      </c>
      <c r="I20">
        <v>1313.5827637</v>
      </c>
      <c r="J20">
        <v>1305.6968993999999</v>
      </c>
      <c r="K20">
        <v>2400</v>
      </c>
      <c r="L20">
        <v>0</v>
      </c>
      <c r="M20">
        <v>0</v>
      </c>
      <c r="N20">
        <v>2400</v>
      </c>
    </row>
    <row r="21" spans="1:14" x14ac:dyDescent="0.25">
      <c r="A21">
        <v>0.139901</v>
      </c>
      <c r="B21" s="1">
        <f>DATE(2010,5,1) + TIME(3,21,27)</f>
        <v>40299.13989583333</v>
      </c>
      <c r="C21">
        <v>80</v>
      </c>
      <c r="D21">
        <v>24.610843658</v>
      </c>
      <c r="E21">
        <v>50</v>
      </c>
      <c r="F21">
        <v>14.998439789000001</v>
      </c>
      <c r="G21">
        <v>1351.3243408000001</v>
      </c>
      <c r="H21">
        <v>1344.9456786999999</v>
      </c>
      <c r="I21">
        <v>1313.5834961</v>
      </c>
      <c r="J21">
        <v>1305.6975098</v>
      </c>
      <c r="K21">
        <v>2400</v>
      </c>
      <c r="L21">
        <v>0</v>
      </c>
      <c r="M21">
        <v>0</v>
      </c>
      <c r="N21">
        <v>2400</v>
      </c>
    </row>
    <row r="22" spans="1:14" x14ac:dyDescent="0.25">
      <c r="A22">
        <v>0.15523700000000001</v>
      </c>
      <c r="B22" s="1">
        <f>DATE(2010,5,1) + TIME(3,43,32)</f>
        <v>40299.155231481483</v>
      </c>
      <c r="C22">
        <v>80</v>
      </c>
      <c r="D22">
        <v>25.598804474000001</v>
      </c>
      <c r="E22">
        <v>50</v>
      </c>
      <c r="F22">
        <v>14.998446465000001</v>
      </c>
      <c r="G22">
        <v>1351.1700439000001</v>
      </c>
      <c r="H22">
        <v>1344.9088135</v>
      </c>
      <c r="I22">
        <v>1313.5839844</v>
      </c>
      <c r="J22">
        <v>1305.6979980000001</v>
      </c>
      <c r="K22">
        <v>2400</v>
      </c>
      <c r="L22">
        <v>0</v>
      </c>
      <c r="M22">
        <v>0</v>
      </c>
      <c r="N22">
        <v>2400</v>
      </c>
    </row>
    <row r="23" spans="1:14" x14ac:dyDescent="0.25">
      <c r="A23">
        <v>0.17075899999999999</v>
      </c>
      <c r="B23" s="1">
        <f>DATE(2010,5,1) + TIME(4,5,53)</f>
        <v>40299.170752314814</v>
      </c>
      <c r="C23">
        <v>80</v>
      </c>
      <c r="D23">
        <v>26.586475371999999</v>
      </c>
      <c r="E23">
        <v>50</v>
      </c>
      <c r="F23">
        <v>14.998453140000001</v>
      </c>
      <c r="G23">
        <v>1351.0251464999999</v>
      </c>
      <c r="H23">
        <v>1344.8757324000001</v>
      </c>
      <c r="I23">
        <v>1313.5845947</v>
      </c>
      <c r="J23">
        <v>1305.6984863</v>
      </c>
      <c r="K23">
        <v>2400</v>
      </c>
      <c r="L23">
        <v>0</v>
      </c>
      <c r="M23">
        <v>0</v>
      </c>
      <c r="N23">
        <v>2400</v>
      </c>
    </row>
    <row r="24" spans="1:14" x14ac:dyDescent="0.25">
      <c r="A24">
        <v>0.186476</v>
      </c>
      <c r="B24" s="1">
        <f>DATE(2010,5,1) + TIME(4,28,31)</f>
        <v>40299.186469907407</v>
      </c>
      <c r="C24">
        <v>80</v>
      </c>
      <c r="D24">
        <v>27.573713303000002</v>
      </c>
      <c r="E24">
        <v>50</v>
      </c>
      <c r="F24">
        <v>14.998459816</v>
      </c>
      <c r="G24">
        <v>1350.8890381000001</v>
      </c>
      <c r="H24">
        <v>1344.8465576000001</v>
      </c>
      <c r="I24">
        <v>1313.5850829999999</v>
      </c>
      <c r="J24">
        <v>1305.6989745999999</v>
      </c>
      <c r="K24">
        <v>2400</v>
      </c>
      <c r="L24">
        <v>0</v>
      </c>
      <c r="M24">
        <v>0</v>
      </c>
      <c r="N24">
        <v>2400</v>
      </c>
    </row>
    <row r="25" spans="1:14" x14ac:dyDescent="0.25">
      <c r="A25">
        <v>0.20239499999999999</v>
      </c>
      <c r="B25" s="1">
        <f>DATE(2010,5,1) + TIME(4,51,26)</f>
        <v>40299.202384259261</v>
      </c>
      <c r="C25">
        <v>80</v>
      </c>
      <c r="D25">
        <v>28.560756683000001</v>
      </c>
      <c r="E25">
        <v>50</v>
      </c>
      <c r="F25">
        <v>14.998466492</v>
      </c>
      <c r="G25">
        <v>1350.7614745999999</v>
      </c>
      <c r="H25">
        <v>1344.8208007999999</v>
      </c>
      <c r="I25">
        <v>1313.5855713000001</v>
      </c>
      <c r="J25">
        <v>1305.6994629000001</v>
      </c>
      <c r="K25">
        <v>2400</v>
      </c>
      <c r="L25">
        <v>0</v>
      </c>
      <c r="M25">
        <v>0</v>
      </c>
      <c r="N25">
        <v>2400</v>
      </c>
    </row>
    <row r="26" spans="1:14" x14ac:dyDescent="0.25">
      <c r="A26">
        <v>0.218524</v>
      </c>
      <c r="B26" s="1">
        <f>DATE(2010,5,1) + TIME(5,14,40)</f>
        <v>40299.218518518515</v>
      </c>
      <c r="C26">
        <v>80</v>
      </c>
      <c r="D26">
        <v>29.547592163000001</v>
      </c>
      <c r="E26">
        <v>50</v>
      </c>
      <c r="F26">
        <v>14.998473167</v>
      </c>
      <c r="G26">
        <v>1350.6419678</v>
      </c>
      <c r="H26">
        <v>1344.7985839999999</v>
      </c>
      <c r="I26">
        <v>1313.5860596</v>
      </c>
      <c r="J26">
        <v>1305.6998291</v>
      </c>
      <c r="K26">
        <v>2400</v>
      </c>
      <c r="L26">
        <v>0</v>
      </c>
      <c r="M26">
        <v>0</v>
      </c>
      <c r="N26">
        <v>2400</v>
      </c>
    </row>
    <row r="27" spans="1:14" x14ac:dyDescent="0.25">
      <c r="A27">
        <v>0.23486799999999999</v>
      </c>
      <c r="B27" s="1">
        <f>DATE(2010,5,1) + TIME(5,38,12)</f>
        <v>40299.234861111108</v>
      </c>
      <c r="C27">
        <v>80</v>
      </c>
      <c r="D27">
        <v>30.534324646000002</v>
      </c>
      <c r="E27">
        <v>50</v>
      </c>
      <c r="F27">
        <v>14.998479843</v>
      </c>
      <c r="G27">
        <v>1350.5301514</v>
      </c>
      <c r="H27">
        <v>1344.7796631000001</v>
      </c>
      <c r="I27">
        <v>1313.5865478999999</v>
      </c>
      <c r="J27">
        <v>1305.7001952999999</v>
      </c>
      <c r="K27">
        <v>2400</v>
      </c>
      <c r="L27">
        <v>0</v>
      </c>
      <c r="M27">
        <v>0</v>
      </c>
      <c r="N27">
        <v>2400</v>
      </c>
    </row>
    <row r="28" spans="1:14" x14ac:dyDescent="0.25">
      <c r="A28">
        <v>0.25143100000000002</v>
      </c>
      <c r="B28" s="1">
        <f>DATE(2010,5,1) + TIME(6,2,3)</f>
        <v>40299.251423611109</v>
      </c>
      <c r="C28">
        <v>80</v>
      </c>
      <c r="D28">
        <v>31.520801544000001</v>
      </c>
      <c r="E28">
        <v>50</v>
      </c>
      <c r="F28">
        <v>14.998486519</v>
      </c>
      <c r="G28">
        <v>1350.4256591999999</v>
      </c>
      <c r="H28">
        <v>1344.7640381000001</v>
      </c>
      <c r="I28">
        <v>1313.5870361</v>
      </c>
      <c r="J28">
        <v>1305.7005615</v>
      </c>
      <c r="K28">
        <v>2400</v>
      </c>
      <c r="L28">
        <v>0</v>
      </c>
      <c r="M28">
        <v>0</v>
      </c>
      <c r="N28">
        <v>2400</v>
      </c>
    </row>
    <row r="29" spans="1:14" x14ac:dyDescent="0.25">
      <c r="A29">
        <v>0.26822200000000002</v>
      </c>
      <c r="B29" s="1">
        <f>DATE(2010,5,1) + TIME(6,26,14)</f>
        <v>40299.268217592595</v>
      </c>
      <c r="C29">
        <v>80</v>
      </c>
      <c r="D29">
        <v>32.506919861</v>
      </c>
      <c r="E29">
        <v>50</v>
      </c>
      <c r="F29">
        <v>14.998493195</v>
      </c>
      <c r="G29">
        <v>1350.328125</v>
      </c>
      <c r="H29">
        <v>1344.7512207</v>
      </c>
      <c r="I29">
        <v>1313.5874022999999</v>
      </c>
      <c r="J29">
        <v>1305.7009277</v>
      </c>
      <c r="K29">
        <v>2400</v>
      </c>
      <c r="L29">
        <v>0</v>
      </c>
      <c r="M29">
        <v>0</v>
      </c>
      <c r="N29">
        <v>2400</v>
      </c>
    </row>
    <row r="30" spans="1:14" x14ac:dyDescent="0.25">
      <c r="A30">
        <v>0.28524899999999997</v>
      </c>
      <c r="B30" s="1">
        <f>DATE(2010,5,1) + TIME(6,50,45)</f>
        <v>40299.285243055558</v>
      </c>
      <c r="C30">
        <v>80</v>
      </c>
      <c r="D30">
        <v>33.492755889999998</v>
      </c>
      <c r="E30">
        <v>50</v>
      </c>
      <c r="F30">
        <v>14.99849987</v>
      </c>
      <c r="G30">
        <v>1350.2373047000001</v>
      </c>
      <c r="H30">
        <v>1344.7414550999999</v>
      </c>
      <c r="I30">
        <v>1313.5878906</v>
      </c>
      <c r="J30">
        <v>1305.7012939000001</v>
      </c>
      <c r="K30">
        <v>2400</v>
      </c>
      <c r="L30">
        <v>0</v>
      </c>
      <c r="M30">
        <v>0</v>
      </c>
      <c r="N30">
        <v>2400</v>
      </c>
    </row>
    <row r="31" spans="1:14" x14ac:dyDescent="0.25">
      <c r="A31">
        <v>0.30252000000000001</v>
      </c>
      <c r="B31" s="1">
        <f>DATE(2010,5,1) + TIME(7,15,37)</f>
        <v>40299.302511574075</v>
      </c>
      <c r="C31">
        <v>80</v>
      </c>
      <c r="D31">
        <v>34.478290557999998</v>
      </c>
      <c r="E31">
        <v>50</v>
      </c>
      <c r="F31">
        <v>14.998506546</v>
      </c>
      <c r="G31">
        <v>1350.1529541</v>
      </c>
      <c r="H31">
        <v>1344.734375</v>
      </c>
      <c r="I31">
        <v>1313.5882568</v>
      </c>
      <c r="J31">
        <v>1305.7016602000001</v>
      </c>
      <c r="K31">
        <v>2400</v>
      </c>
      <c r="L31">
        <v>0</v>
      </c>
      <c r="M31">
        <v>0</v>
      </c>
      <c r="N31">
        <v>2400</v>
      </c>
    </row>
    <row r="32" spans="1:14" x14ac:dyDescent="0.25">
      <c r="A32">
        <v>0.32004500000000002</v>
      </c>
      <c r="B32" s="1">
        <f>DATE(2010,5,1) + TIME(7,40,51)</f>
        <v>40299.320034722223</v>
      </c>
      <c r="C32">
        <v>80</v>
      </c>
      <c r="D32">
        <v>35.463504790999998</v>
      </c>
      <c r="E32">
        <v>50</v>
      </c>
      <c r="F32">
        <v>14.998513222</v>
      </c>
      <c r="G32">
        <v>1350.0744629000001</v>
      </c>
      <c r="H32">
        <v>1344.7299805</v>
      </c>
      <c r="I32">
        <v>1313.5886230000001</v>
      </c>
      <c r="J32">
        <v>1305.7019043</v>
      </c>
      <c r="K32">
        <v>2400</v>
      </c>
      <c r="L32">
        <v>0</v>
      </c>
      <c r="M32">
        <v>0</v>
      </c>
      <c r="N32">
        <v>2400</v>
      </c>
    </row>
    <row r="33" spans="1:14" x14ac:dyDescent="0.25">
      <c r="A33">
        <v>0.33783299999999999</v>
      </c>
      <c r="B33" s="1">
        <f>DATE(2010,5,1) + TIME(8,6,28)</f>
        <v>40299.337824074071</v>
      </c>
      <c r="C33">
        <v>80</v>
      </c>
      <c r="D33">
        <v>36.448368072999997</v>
      </c>
      <c r="E33">
        <v>50</v>
      </c>
      <c r="F33">
        <v>14.998518944000001</v>
      </c>
      <c r="G33">
        <v>1350.0018310999999</v>
      </c>
      <c r="H33">
        <v>1344.7281493999999</v>
      </c>
      <c r="I33">
        <v>1313.5889893000001</v>
      </c>
      <c r="J33">
        <v>1305.7021483999999</v>
      </c>
      <c r="K33">
        <v>2400</v>
      </c>
      <c r="L33">
        <v>0</v>
      </c>
      <c r="M33">
        <v>0</v>
      </c>
      <c r="N33">
        <v>2400</v>
      </c>
    </row>
    <row r="34" spans="1:14" x14ac:dyDescent="0.25">
      <c r="A34">
        <v>0.35589500000000002</v>
      </c>
      <c r="B34" s="1">
        <f>DATE(2010,5,1) + TIME(8,32,29)</f>
        <v>40299.355891203704</v>
      </c>
      <c r="C34">
        <v>80</v>
      </c>
      <c r="D34">
        <v>37.432865143000001</v>
      </c>
      <c r="E34">
        <v>50</v>
      </c>
      <c r="F34">
        <v>14.998525620000001</v>
      </c>
      <c r="G34">
        <v>1349.9348144999999</v>
      </c>
      <c r="H34">
        <v>1344.7287598</v>
      </c>
      <c r="I34">
        <v>1313.5893555</v>
      </c>
      <c r="J34">
        <v>1305.7023925999999</v>
      </c>
      <c r="K34">
        <v>2400</v>
      </c>
      <c r="L34">
        <v>0</v>
      </c>
      <c r="M34">
        <v>0</v>
      </c>
      <c r="N34">
        <v>2400</v>
      </c>
    </row>
    <row r="35" spans="1:14" x14ac:dyDescent="0.25">
      <c r="A35">
        <v>0.37424099999999999</v>
      </c>
      <c r="B35" s="1">
        <f>DATE(2010,5,1) + TIME(8,58,54)</f>
        <v>40299.374236111114</v>
      </c>
      <c r="C35">
        <v>80</v>
      </c>
      <c r="D35">
        <v>38.416965484999999</v>
      </c>
      <c r="E35">
        <v>50</v>
      </c>
      <c r="F35">
        <v>14.998532295</v>
      </c>
      <c r="G35">
        <v>1349.8729248</v>
      </c>
      <c r="H35">
        <v>1344.7315673999999</v>
      </c>
      <c r="I35">
        <v>1313.5897216999999</v>
      </c>
      <c r="J35">
        <v>1305.7026367000001</v>
      </c>
      <c r="K35">
        <v>2400</v>
      </c>
      <c r="L35">
        <v>0</v>
      </c>
      <c r="M35">
        <v>0</v>
      </c>
      <c r="N35">
        <v>2400</v>
      </c>
    </row>
    <row r="36" spans="1:14" x14ac:dyDescent="0.25">
      <c r="A36">
        <v>0.39288299999999998</v>
      </c>
      <c r="B36" s="1">
        <f>DATE(2010,5,1) + TIME(9,25,45)</f>
        <v>40299.392881944441</v>
      </c>
      <c r="C36">
        <v>80</v>
      </c>
      <c r="D36">
        <v>39.400642394999998</v>
      </c>
      <c r="E36">
        <v>50</v>
      </c>
      <c r="F36">
        <v>14.998538971</v>
      </c>
      <c r="G36">
        <v>1349.8161620999999</v>
      </c>
      <c r="H36">
        <v>1344.7366943</v>
      </c>
      <c r="I36">
        <v>1313.5899658000001</v>
      </c>
      <c r="J36">
        <v>1305.7028809000001</v>
      </c>
      <c r="K36">
        <v>2400</v>
      </c>
      <c r="L36">
        <v>0</v>
      </c>
      <c r="M36">
        <v>0</v>
      </c>
      <c r="N36">
        <v>2400</v>
      </c>
    </row>
    <row r="37" spans="1:14" x14ac:dyDescent="0.25">
      <c r="A37">
        <v>0.41183399999999998</v>
      </c>
      <c r="B37" s="1">
        <f>DATE(2010,5,1) + TIME(9,53,2)</f>
        <v>40299.411828703705</v>
      </c>
      <c r="C37">
        <v>80</v>
      </c>
      <c r="D37">
        <v>40.383956908999998</v>
      </c>
      <c r="E37">
        <v>50</v>
      </c>
      <c r="F37">
        <v>14.998545647</v>
      </c>
      <c r="G37">
        <v>1349.7640381000001</v>
      </c>
      <c r="H37">
        <v>1344.7437743999999</v>
      </c>
      <c r="I37">
        <v>1313.590332</v>
      </c>
      <c r="J37">
        <v>1305.703125</v>
      </c>
      <c r="K37">
        <v>2400</v>
      </c>
      <c r="L37">
        <v>0</v>
      </c>
      <c r="M37">
        <v>0</v>
      </c>
      <c r="N37">
        <v>2400</v>
      </c>
    </row>
    <row r="38" spans="1:14" x14ac:dyDescent="0.25">
      <c r="A38">
        <v>0.43110799999999999</v>
      </c>
      <c r="B38" s="1">
        <f>DATE(2010,5,1) + TIME(10,20,47)</f>
        <v>40299.43109953704</v>
      </c>
      <c r="C38">
        <v>80</v>
      </c>
      <c r="D38">
        <v>41.366844176999997</v>
      </c>
      <c r="E38">
        <v>50</v>
      </c>
      <c r="F38">
        <v>14.998552322</v>
      </c>
      <c r="G38">
        <v>1349.7166748</v>
      </c>
      <c r="H38">
        <v>1344.7530518000001</v>
      </c>
      <c r="I38">
        <v>1313.5905762</v>
      </c>
      <c r="J38">
        <v>1305.7033690999999</v>
      </c>
      <c r="K38">
        <v>2400</v>
      </c>
      <c r="L38">
        <v>0</v>
      </c>
      <c r="M38">
        <v>0</v>
      </c>
      <c r="N38">
        <v>2400</v>
      </c>
    </row>
    <row r="39" spans="1:14" x14ac:dyDescent="0.25">
      <c r="A39">
        <v>0.45071600000000001</v>
      </c>
      <c r="B39" s="1">
        <f>DATE(2010,5,1) + TIME(10,49,1)</f>
        <v>40299.450706018521</v>
      </c>
      <c r="C39">
        <v>80</v>
      </c>
      <c r="D39">
        <v>42.349082946999999</v>
      </c>
      <c r="E39">
        <v>50</v>
      </c>
      <c r="F39">
        <v>14.998558043999999</v>
      </c>
      <c r="G39">
        <v>1349.6735839999999</v>
      </c>
      <c r="H39">
        <v>1344.7641602000001</v>
      </c>
      <c r="I39">
        <v>1313.5909423999999</v>
      </c>
      <c r="J39">
        <v>1305.7034911999999</v>
      </c>
      <c r="K39">
        <v>2400</v>
      </c>
      <c r="L39">
        <v>0</v>
      </c>
      <c r="M39">
        <v>0</v>
      </c>
      <c r="N39">
        <v>2400</v>
      </c>
    </row>
    <row r="40" spans="1:14" x14ac:dyDescent="0.25">
      <c r="A40">
        <v>0.47067999999999999</v>
      </c>
      <c r="B40" s="1">
        <f>DATE(2010,5,1) + TIME(11,17,46)</f>
        <v>40299.470671296294</v>
      </c>
      <c r="C40">
        <v>80</v>
      </c>
      <c r="D40">
        <v>43.330772400000001</v>
      </c>
      <c r="E40">
        <v>50</v>
      </c>
      <c r="F40">
        <v>14.998564719999999</v>
      </c>
      <c r="G40">
        <v>1349.6345214999999</v>
      </c>
      <c r="H40">
        <v>1344.7769774999999</v>
      </c>
      <c r="I40">
        <v>1313.5911865</v>
      </c>
      <c r="J40">
        <v>1305.7037353999999</v>
      </c>
      <c r="K40">
        <v>2400</v>
      </c>
      <c r="L40">
        <v>0</v>
      </c>
      <c r="M40">
        <v>0</v>
      </c>
      <c r="N40">
        <v>2400</v>
      </c>
    </row>
    <row r="41" spans="1:14" x14ac:dyDescent="0.25">
      <c r="A41">
        <v>0.49101499999999998</v>
      </c>
      <c r="B41" s="1">
        <f>DATE(2010,5,1) + TIME(11,47,3)</f>
        <v>40299.491006944445</v>
      </c>
      <c r="C41">
        <v>80</v>
      </c>
      <c r="D41">
        <v>44.31187439</v>
      </c>
      <c r="E41">
        <v>50</v>
      </c>
      <c r="F41">
        <v>14.998571395999999</v>
      </c>
      <c r="G41">
        <v>1349.5996094</v>
      </c>
      <c r="H41">
        <v>1344.791626</v>
      </c>
      <c r="I41">
        <v>1313.5914307</v>
      </c>
      <c r="J41">
        <v>1305.7038574000001</v>
      </c>
      <c r="K41">
        <v>2400</v>
      </c>
      <c r="L41">
        <v>0</v>
      </c>
      <c r="M41">
        <v>0</v>
      </c>
      <c r="N41">
        <v>2400</v>
      </c>
    </row>
    <row r="42" spans="1:14" x14ac:dyDescent="0.25">
      <c r="A42">
        <v>0.51174299999999995</v>
      </c>
      <c r="B42" s="1">
        <f>DATE(2010,5,1) + TIME(12,16,54)</f>
        <v>40299.511736111112</v>
      </c>
      <c r="C42">
        <v>80</v>
      </c>
      <c r="D42">
        <v>45.292350769000002</v>
      </c>
      <c r="E42">
        <v>50</v>
      </c>
      <c r="F42">
        <v>14.998578072000001</v>
      </c>
      <c r="G42">
        <v>1349.5683594</v>
      </c>
      <c r="H42">
        <v>1344.8078613</v>
      </c>
      <c r="I42">
        <v>1313.5916748</v>
      </c>
      <c r="J42">
        <v>1305.7039795000001</v>
      </c>
      <c r="K42">
        <v>2400</v>
      </c>
      <c r="L42">
        <v>0</v>
      </c>
      <c r="M42">
        <v>0</v>
      </c>
      <c r="N42">
        <v>2400</v>
      </c>
    </row>
    <row r="43" spans="1:14" x14ac:dyDescent="0.25">
      <c r="A43">
        <v>0.532883</v>
      </c>
      <c r="B43" s="1">
        <f>DATE(2010,5,1) + TIME(12,47,21)</f>
        <v>40299.532881944448</v>
      </c>
      <c r="C43">
        <v>80</v>
      </c>
      <c r="D43">
        <v>46.272159576</v>
      </c>
      <c r="E43">
        <v>50</v>
      </c>
      <c r="F43">
        <v>14.998584747000001</v>
      </c>
      <c r="G43">
        <v>1349.5407714999999</v>
      </c>
      <c r="H43">
        <v>1344.8256836</v>
      </c>
      <c r="I43">
        <v>1313.5920410000001</v>
      </c>
      <c r="J43">
        <v>1305.7042236</v>
      </c>
      <c r="K43">
        <v>2400</v>
      </c>
      <c r="L43">
        <v>0</v>
      </c>
      <c r="M43">
        <v>0</v>
      </c>
      <c r="N43">
        <v>2400</v>
      </c>
    </row>
    <row r="44" spans="1:14" x14ac:dyDescent="0.25">
      <c r="A44">
        <v>0.55445900000000004</v>
      </c>
      <c r="B44" s="1">
        <f>DATE(2010,5,1) + TIME(13,18,25)</f>
        <v>40299.554456018515</v>
      </c>
      <c r="C44">
        <v>80</v>
      </c>
      <c r="D44">
        <v>47.251251220999997</v>
      </c>
      <c r="E44">
        <v>50</v>
      </c>
      <c r="F44">
        <v>14.998591423000001</v>
      </c>
      <c r="G44">
        <v>1349.5166016000001</v>
      </c>
      <c r="H44">
        <v>1344.8449707</v>
      </c>
      <c r="I44">
        <v>1313.5922852000001</v>
      </c>
      <c r="J44">
        <v>1305.7043457</v>
      </c>
      <c r="K44">
        <v>2400</v>
      </c>
      <c r="L44">
        <v>0</v>
      </c>
      <c r="M44">
        <v>0</v>
      </c>
      <c r="N44">
        <v>2400</v>
      </c>
    </row>
    <row r="45" spans="1:14" x14ac:dyDescent="0.25">
      <c r="A45">
        <v>0.57649499999999998</v>
      </c>
      <c r="B45" s="1">
        <f>DATE(2010,5,1) + TIME(13,50,9)</f>
        <v>40299.576493055552</v>
      </c>
      <c r="C45">
        <v>80</v>
      </c>
      <c r="D45">
        <v>48.229583740000002</v>
      </c>
      <c r="E45">
        <v>50</v>
      </c>
      <c r="F45">
        <v>14.998598099000001</v>
      </c>
      <c r="G45">
        <v>1349.4958495999999</v>
      </c>
      <c r="H45">
        <v>1344.8657227000001</v>
      </c>
      <c r="I45">
        <v>1313.5925293</v>
      </c>
      <c r="J45">
        <v>1305.7044678</v>
      </c>
      <c r="K45">
        <v>2400</v>
      </c>
      <c r="L45">
        <v>0</v>
      </c>
      <c r="M45">
        <v>0</v>
      </c>
      <c r="N45">
        <v>2400</v>
      </c>
    </row>
    <row r="46" spans="1:14" x14ac:dyDescent="0.25">
      <c r="A46">
        <v>0.59902</v>
      </c>
      <c r="B46" s="1">
        <f>DATE(2010,5,1) + TIME(14,22,35)</f>
        <v>40299.599016203705</v>
      </c>
      <c r="C46">
        <v>80</v>
      </c>
      <c r="D46">
        <v>49.207096100000001</v>
      </c>
      <c r="E46">
        <v>50</v>
      </c>
      <c r="F46">
        <v>14.998603821</v>
      </c>
      <c r="G46">
        <v>1349.4780272999999</v>
      </c>
      <c r="H46">
        <v>1344.8876952999999</v>
      </c>
      <c r="I46">
        <v>1313.5927733999999</v>
      </c>
      <c r="J46">
        <v>1305.7045897999999</v>
      </c>
      <c r="K46">
        <v>2400</v>
      </c>
      <c r="L46">
        <v>0</v>
      </c>
      <c r="M46">
        <v>0</v>
      </c>
      <c r="N46">
        <v>2400</v>
      </c>
    </row>
    <row r="47" spans="1:14" x14ac:dyDescent="0.25">
      <c r="A47">
        <v>0.622062</v>
      </c>
      <c r="B47" s="1">
        <f>DATE(2010,5,1) + TIME(14,55,46)</f>
        <v>40299.622060185182</v>
      </c>
      <c r="C47">
        <v>80</v>
      </c>
      <c r="D47">
        <v>50.183647155999999</v>
      </c>
      <c r="E47">
        <v>50</v>
      </c>
      <c r="F47">
        <v>14.998610497</v>
      </c>
      <c r="G47">
        <v>1349.4633789</v>
      </c>
      <c r="H47">
        <v>1344.9108887</v>
      </c>
      <c r="I47">
        <v>1313.5930175999999</v>
      </c>
      <c r="J47">
        <v>1305.7047118999999</v>
      </c>
      <c r="K47">
        <v>2400</v>
      </c>
      <c r="L47">
        <v>0</v>
      </c>
      <c r="M47">
        <v>0</v>
      </c>
      <c r="N47">
        <v>2400</v>
      </c>
    </row>
    <row r="48" spans="1:14" x14ac:dyDescent="0.25">
      <c r="A48">
        <v>0.64565799999999995</v>
      </c>
      <c r="B48" s="1">
        <f>DATE(2010,5,1) + TIME(15,29,44)</f>
        <v>40299.645648148151</v>
      </c>
      <c r="C48">
        <v>80</v>
      </c>
      <c r="D48">
        <v>51.158966063999998</v>
      </c>
      <c r="E48">
        <v>50</v>
      </c>
      <c r="F48">
        <v>14.998617171999999</v>
      </c>
      <c r="G48">
        <v>1349.4514160000001</v>
      </c>
      <c r="H48">
        <v>1344.9351807</v>
      </c>
      <c r="I48">
        <v>1313.5932617000001</v>
      </c>
      <c r="J48">
        <v>1305.7048339999999</v>
      </c>
      <c r="K48">
        <v>2400</v>
      </c>
      <c r="L48">
        <v>0</v>
      </c>
      <c r="M48">
        <v>0</v>
      </c>
      <c r="N48">
        <v>2400</v>
      </c>
    </row>
    <row r="49" spans="1:14" x14ac:dyDescent="0.25">
      <c r="A49">
        <v>0.669852</v>
      </c>
      <c r="B49" s="1">
        <f>DATE(2010,5,1) + TIME(16,4,35)</f>
        <v>40299.669849537036</v>
      </c>
      <c r="C49">
        <v>80</v>
      </c>
      <c r="D49">
        <v>52.133632660000004</v>
      </c>
      <c r="E49">
        <v>50</v>
      </c>
      <c r="F49">
        <v>14.998623847999999</v>
      </c>
      <c r="G49">
        <v>1349.4422606999999</v>
      </c>
      <c r="H49">
        <v>1344.9605713000001</v>
      </c>
      <c r="I49">
        <v>1313.5935059000001</v>
      </c>
      <c r="J49">
        <v>1305.7049560999999</v>
      </c>
      <c r="K49">
        <v>2400</v>
      </c>
      <c r="L49">
        <v>0</v>
      </c>
      <c r="M49">
        <v>0</v>
      </c>
      <c r="N49">
        <v>2400</v>
      </c>
    </row>
    <row r="50" spans="1:14" x14ac:dyDescent="0.25">
      <c r="A50">
        <v>0.69467400000000001</v>
      </c>
      <c r="B50" s="1">
        <f>DATE(2010,5,1) + TIME(16,40,19)</f>
        <v>40299.694664351853</v>
      </c>
      <c r="C50">
        <v>80</v>
      </c>
      <c r="D50">
        <v>53.107219696000001</v>
      </c>
      <c r="E50">
        <v>50</v>
      </c>
      <c r="F50">
        <v>14.998630523999999</v>
      </c>
      <c r="G50">
        <v>1349.4356689000001</v>
      </c>
      <c r="H50">
        <v>1344.9870605000001</v>
      </c>
      <c r="I50">
        <v>1313.5936279</v>
      </c>
      <c r="J50">
        <v>1305.7049560999999</v>
      </c>
      <c r="K50">
        <v>2400</v>
      </c>
      <c r="L50">
        <v>0</v>
      </c>
      <c r="M50">
        <v>0</v>
      </c>
      <c r="N50">
        <v>2400</v>
      </c>
    </row>
    <row r="51" spans="1:14" x14ac:dyDescent="0.25">
      <c r="A51">
        <v>0.72016899999999995</v>
      </c>
      <c r="B51" s="1">
        <f>DATE(2010,5,1) + TIME(17,17,2)</f>
        <v>40299.72016203704</v>
      </c>
      <c r="C51">
        <v>80</v>
      </c>
      <c r="D51">
        <v>54.079643249999997</v>
      </c>
      <c r="E51">
        <v>50</v>
      </c>
      <c r="F51">
        <v>14.998637198999999</v>
      </c>
      <c r="G51">
        <v>1349.4315185999999</v>
      </c>
      <c r="H51">
        <v>1345.0145264</v>
      </c>
      <c r="I51">
        <v>1313.5938721</v>
      </c>
      <c r="J51">
        <v>1305.7050781</v>
      </c>
      <c r="K51">
        <v>2400</v>
      </c>
      <c r="L51">
        <v>0</v>
      </c>
      <c r="M51">
        <v>0</v>
      </c>
      <c r="N51">
        <v>2400</v>
      </c>
    </row>
    <row r="52" spans="1:14" x14ac:dyDescent="0.25">
      <c r="A52">
        <v>0.74638700000000002</v>
      </c>
      <c r="B52" s="1">
        <f>DATE(2010,5,1) + TIME(17,54,47)</f>
        <v>40299.746377314812</v>
      </c>
      <c r="C52">
        <v>80</v>
      </c>
      <c r="D52">
        <v>55.050815581999998</v>
      </c>
      <c r="E52">
        <v>50</v>
      </c>
      <c r="F52">
        <v>14.998643875000001</v>
      </c>
      <c r="G52">
        <v>1349.4296875</v>
      </c>
      <c r="H52">
        <v>1345.0427245999999</v>
      </c>
      <c r="I52">
        <v>1313.5941161999999</v>
      </c>
      <c r="J52">
        <v>1305.7052002</v>
      </c>
      <c r="K52">
        <v>2400</v>
      </c>
      <c r="L52">
        <v>0</v>
      </c>
      <c r="M52">
        <v>0</v>
      </c>
      <c r="N52">
        <v>2400</v>
      </c>
    </row>
    <row r="53" spans="1:14" x14ac:dyDescent="0.25">
      <c r="A53">
        <v>0.77338399999999996</v>
      </c>
      <c r="B53" s="1">
        <f>DATE(2010,5,1) + TIME(18,33,40)</f>
        <v>40299.773379629631</v>
      </c>
      <c r="C53">
        <v>80</v>
      </c>
      <c r="D53">
        <v>56.020637512</v>
      </c>
      <c r="E53">
        <v>50</v>
      </c>
      <c r="F53">
        <v>14.998650551000001</v>
      </c>
      <c r="G53">
        <v>1349.4301757999999</v>
      </c>
      <c r="H53">
        <v>1345.0717772999999</v>
      </c>
      <c r="I53">
        <v>1313.5943603999999</v>
      </c>
      <c r="J53">
        <v>1305.7053223</v>
      </c>
      <c r="K53">
        <v>2400</v>
      </c>
      <c r="L53">
        <v>0</v>
      </c>
      <c r="M53">
        <v>0</v>
      </c>
      <c r="N53">
        <v>2400</v>
      </c>
    </row>
    <row r="54" spans="1:14" x14ac:dyDescent="0.25">
      <c r="A54">
        <v>0.80122099999999996</v>
      </c>
      <c r="B54" s="1">
        <f>DATE(2010,5,1) + TIME(19,13,45)</f>
        <v>40299.801215277781</v>
      </c>
      <c r="C54">
        <v>80</v>
      </c>
      <c r="D54">
        <v>56.988998412999997</v>
      </c>
      <c r="E54">
        <v>50</v>
      </c>
      <c r="F54">
        <v>14.99865818</v>
      </c>
      <c r="G54">
        <v>1349.4327393000001</v>
      </c>
      <c r="H54">
        <v>1345.1015625</v>
      </c>
      <c r="I54">
        <v>1313.5946045000001</v>
      </c>
      <c r="J54">
        <v>1305.7054443</v>
      </c>
      <c r="K54">
        <v>2400</v>
      </c>
      <c r="L54">
        <v>0</v>
      </c>
      <c r="M54">
        <v>0</v>
      </c>
      <c r="N54">
        <v>2400</v>
      </c>
    </row>
    <row r="55" spans="1:14" x14ac:dyDescent="0.25">
      <c r="A55">
        <v>0.82996700000000001</v>
      </c>
      <c r="B55" s="1">
        <f>DATE(2010,5,1) + TIME(19,55,9)</f>
        <v>40299.829965277779</v>
      </c>
      <c r="C55">
        <v>80</v>
      </c>
      <c r="D55">
        <v>57.955772400000001</v>
      </c>
      <c r="E55">
        <v>50</v>
      </c>
      <c r="F55">
        <v>14.998664856</v>
      </c>
      <c r="G55">
        <v>1349.4372559000001</v>
      </c>
      <c r="H55">
        <v>1345.1320800999999</v>
      </c>
      <c r="I55">
        <v>1313.5948486</v>
      </c>
      <c r="J55">
        <v>1305.7054443</v>
      </c>
      <c r="K55">
        <v>2400</v>
      </c>
      <c r="L55">
        <v>0</v>
      </c>
      <c r="M55">
        <v>0</v>
      </c>
      <c r="N55">
        <v>2400</v>
      </c>
    </row>
    <row r="56" spans="1:14" x14ac:dyDescent="0.25">
      <c r="A56">
        <v>0.85970100000000005</v>
      </c>
      <c r="B56" s="1">
        <f>DATE(2010,5,1) + TIME(20,37,58)</f>
        <v>40299.859699074077</v>
      </c>
      <c r="C56">
        <v>80</v>
      </c>
      <c r="D56">
        <v>58.920825958000002</v>
      </c>
      <c r="E56">
        <v>50</v>
      </c>
      <c r="F56">
        <v>14.998671531999999</v>
      </c>
      <c r="G56">
        <v>1349.4437256000001</v>
      </c>
      <c r="H56">
        <v>1345.1630858999999</v>
      </c>
      <c r="I56">
        <v>1313.5950928</v>
      </c>
      <c r="J56">
        <v>1305.7055664</v>
      </c>
      <c r="K56">
        <v>2400</v>
      </c>
      <c r="L56">
        <v>0</v>
      </c>
      <c r="M56">
        <v>0</v>
      </c>
      <c r="N56">
        <v>2400</v>
      </c>
    </row>
    <row r="57" spans="1:14" x14ac:dyDescent="0.25">
      <c r="A57">
        <v>0.89051199999999997</v>
      </c>
      <c r="B57" s="1">
        <f>DATE(2010,5,1) + TIME(21,22,20)</f>
        <v>40299.890509259261</v>
      </c>
      <c r="C57">
        <v>80</v>
      </c>
      <c r="D57">
        <v>59.884002686000002</v>
      </c>
      <c r="E57">
        <v>50</v>
      </c>
      <c r="F57">
        <v>14.998679161</v>
      </c>
      <c r="G57">
        <v>1349.4519043</v>
      </c>
      <c r="H57">
        <v>1345.1945800999999</v>
      </c>
      <c r="I57">
        <v>1313.5953368999999</v>
      </c>
      <c r="J57">
        <v>1305.7056885</v>
      </c>
      <c r="K57">
        <v>2400</v>
      </c>
      <c r="L57">
        <v>0</v>
      </c>
      <c r="M57">
        <v>0</v>
      </c>
      <c r="N57">
        <v>2400</v>
      </c>
    </row>
    <row r="58" spans="1:14" x14ac:dyDescent="0.25">
      <c r="A58">
        <v>0.92250100000000002</v>
      </c>
      <c r="B58" s="1">
        <f>DATE(2010,5,1) + TIME(22,8,24)</f>
        <v>40299.922500000001</v>
      </c>
      <c r="C58">
        <v>80</v>
      </c>
      <c r="D58">
        <v>60.844509125000002</v>
      </c>
      <c r="E58">
        <v>50</v>
      </c>
      <c r="F58">
        <v>14.998685837</v>
      </c>
      <c r="G58">
        <v>1349.4619141000001</v>
      </c>
      <c r="H58">
        <v>1345.2265625</v>
      </c>
      <c r="I58">
        <v>1313.5955810999999</v>
      </c>
      <c r="J58">
        <v>1305.7058105000001</v>
      </c>
      <c r="K58">
        <v>2400</v>
      </c>
      <c r="L58">
        <v>0</v>
      </c>
      <c r="M58">
        <v>0</v>
      </c>
      <c r="N58">
        <v>2400</v>
      </c>
    </row>
    <row r="59" spans="1:14" x14ac:dyDescent="0.25">
      <c r="A59">
        <v>0.95580500000000002</v>
      </c>
      <c r="B59" s="1">
        <f>DATE(2010,5,1) + TIME(22,56,21)</f>
        <v>40299.95579861111</v>
      </c>
      <c r="C59">
        <v>80</v>
      </c>
      <c r="D59">
        <v>61.803234099999997</v>
      </c>
      <c r="E59">
        <v>50</v>
      </c>
      <c r="F59">
        <v>14.998693466000001</v>
      </c>
      <c r="G59">
        <v>1349.4733887</v>
      </c>
      <c r="H59">
        <v>1345.2587891000001</v>
      </c>
      <c r="I59">
        <v>1313.5958252</v>
      </c>
      <c r="J59">
        <v>1305.7059326000001</v>
      </c>
      <c r="K59">
        <v>2400</v>
      </c>
      <c r="L59">
        <v>0</v>
      </c>
      <c r="M59">
        <v>0</v>
      </c>
      <c r="N59">
        <v>2400</v>
      </c>
    </row>
    <row r="60" spans="1:14" x14ac:dyDescent="0.25">
      <c r="A60">
        <v>0.99054299999999995</v>
      </c>
      <c r="B60" s="1">
        <f>DATE(2010,5,1) + TIME(23,46,22)</f>
        <v>40299.990532407406</v>
      </c>
      <c r="C60">
        <v>80</v>
      </c>
      <c r="D60">
        <v>62.759552002</v>
      </c>
      <c r="E60">
        <v>50</v>
      </c>
      <c r="F60">
        <v>14.998700142000001</v>
      </c>
      <c r="G60">
        <v>1349.4864502</v>
      </c>
      <c r="H60">
        <v>1345.2913818</v>
      </c>
      <c r="I60">
        <v>1313.5960693</v>
      </c>
      <c r="J60">
        <v>1305.7059326000001</v>
      </c>
      <c r="K60">
        <v>2400</v>
      </c>
      <c r="L60">
        <v>0</v>
      </c>
      <c r="M60">
        <v>0</v>
      </c>
      <c r="N60">
        <v>2400</v>
      </c>
    </row>
    <row r="61" spans="1:14" x14ac:dyDescent="0.25">
      <c r="A61">
        <v>1.0268679999999999</v>
      </c>
      <c r="B61" s="1">
        <f>DATE(2010,5,2) + TIME(0,38,41)</f>
        <v>40300.026863425926</v>
      </c>
      <c r="C61">
        <v>80</v>
      </c>
      <c r="D61">
        <v>63.713123322000001</v>
      </c>
      <c r="E61">
        <v>50</v>
      </c>
      <c r="F61">
        <v>14.998707770999999</v>
      </c>
      <c r="G61">
        <v>1349.5008545000001</v>
      </c>
      <c r="H61">
        <v>1345.3240966999999</v>
      </c>
      <c r="I61">
        <v>1313.5963135</v>
      </c>
      <c r="J61">
        <v>1305.7060547000001</v>
      </c>
      <c r="K61">
        <v>2400</v>
      </c>
      <c r="L61">
        <v>0</v>
      </c>
      <c r="M61">
        <v>0</v>
      </c>
      <c r="N61">
        <v>2400</v>
      </c>
    </row>
    <row r="62" spans="1:14" x14ac:dyDescent="0.25">
      <c r="A62">
        <v>1.064961</v>
      </c>
      <c r="B62" s="1">
        <f>DATE(2010,5,2) + TIME(1,33,32)</f>
        <v>40300.064953703702</v>
      </c>
      <c r="C62">
        <v>80</v>
      </c>
      <c r="D62">
        <v>64.663642882999994</v>
      </c>
      <c r="E62">
        <v>50</v>
      </c>
      <c r="F62">
        <v>14.998715401</v>
      </c>
      <c r="G62">
        <v>1349.5164795000001</v>
      </c>
      <c r="H62">
        <v>1345.3568115</v>
      </c>
      <c r="I62">
        <v>1313.5966797000001</v>
      </c>
      <c r="J62">
        <v>1305.7061768000001</v>
      </c>
      <c r="K62">
        <v>2400</v>
      </c>
      <c r="L62">
        <v>0</v>
      </c>
      <c r="M62">
        <v>0</v>
      </c>
      <c r="N62">
        <v>2400</v>
      </c>
    </row>
    <row r="63" spans="1:14" x14ac:dyDescent="0.25">
      <c r="A63">
        <v>1.105037</v>
      </c>
      <c r="B63" s="1">
        <f>DATE(2010,5,2) + TIME(2,31,15)</f>
        <v>40300.105034722219</v>
      </c>
      <c r="C63">
        <v>80</v>
      </c>
      <c r="D63">
        <v>65.610916137999993</v>
      </c>
      <c r="E63">
        <v>50</v>
      </c>
      <c r="F63">
        <v>14.998723030000001</v>
      </c>
      <c r="G63">
        <v>1349.5333252</v>
      </c>
      <c r="H63">
        <v>1345.3895264</v>
      </c>
      <c r="I63">
        <v>1313.5969238</v>
      </c>
      <c r="J63">
        <v>1305.7062988</v>
      </c>
      <c r="K63">
        <v>2400</v>
      </c>
      <c r="L63">
        <v>0</v>
      </c>
      <c r="M63">
        <v>0</v>
      </c>
      <c r="N63">
        <v>2400</v>
      </c>
    </row>
    <row r="64" spans="1:14" x14ac:dyDescent="0.25">
      <c r="A64">
        <v>1.1473439999999999</v>
      </c>
      <c r="B64" s="1">
        <f>DATE(2010,5,2) + TIME(3,32,10)</f>
        <v>40300.147337962961</v>
      </c>
      <c r="C64">
        <v>80</v>
      </c>
      <c r="D64">
        <v>66.554321289000001</v>
      </c>
      <c r="E64">
        <v>50</v>
      </c>
      <c r="F64">
        <v>14.998731613</v>
      </c>
      <c r="G64">
        <v>1349.5512695</v>
      </c>
      <c r="H64">
        <v>1345.4221190999999</v>
      </c>
      <c r="I64">
        <v>1313.597168</v>
      </c>
      <c r="J64">
        <v>1305.7064209</v>
      </c>
      <c r="K64">
        <v>2400</v>
      </c>
      <c r="L64">
        <v>0</v>
      </c>
      <c r="M64">
        <v>0</v>
      </c>
      <c r="N64">
        <v>2400</v>
      </c>
    </row>
    <row r="65" spans="1:14" x14ac:dyDescent="0.25">
      <c r="A65">
        <v>1.169357</v>
      </c>
      <c r="B65" s="1">
        <f>DATE(2010,5,2) + TIME(4,3,52)</f>
        <v>40300.169351851851</v>
      </c>
      <c r="C65">
        <v>80</v>
      </c>
      <c r="D65">
        <v>67.032356261999993</v>
      </c>
      <c r="E65">
        <v>50</v>
      </c>
      <c r="F65">
        <v>14.998735428</v>
      </c>
      <c r="G65">
        <v>1349.5986327999999</v>
      </c>
      <c r="H65">
        <v>1345.4576416</v>
      </c>
      <c r="I65">
        <v>1313.5975341999999</v>
      </c>
      <c r="J65">
        <v>1305.706543</v>
      </c>
      <c r="K65">
        <v>2400</v>
      </c>
      <c r="L65">
        <v>0</v>
      </c>
      <c r="M65">
        <v>0</v>
      </c>
      <c r="N65">
        <v>2400</v>
      </c>
    </row>
    <row r="66" spans="1:14" x14ac:dyDescent="0.25">
      <c r="A66">
        <v>1.19137</v>
      </c>
      <c r="B66" s="1">
        <f>DATE(2010,5,2) + TIME(4,35,34)</f>
        <v>40300.191365740742</v>
      </c>
      <c r="C66">
        <v>80</v>
      </c>
      <c r="D66">
        <v>67.495529175000001</v>
      </c>
      <c r="E66">
        <v>50</v>
      </c>
      <c r="F66">
        <v>14.998739242999999</v>
      </c>
      <c r="G66">
        <v>1349.609375</v>
      </c>
      <c r="H66">
        <v>1345.4743652</v>
      </c>
      <c r="I66">
        <v>1313.5976562000001</v>
      </c>
      <c r="J66">
        <v>1305.7066649999999</v>
      </c>
      <c r="K66">
        <v>2400</v>
      </c>
      <c r="L66">
        <v>0</v>
      </c>
      <c r="M66">
        <v>0</v>
      </c>
      <c r="N66">
        <v>2400</v>
      </c>
    </row>
    <row r="67" spans="1:14" x14ac:dyDescent="0.25">
      <c r="A67">
        <v>1.2133830000000001</v>
      </c>
      <c r="B67" s="1">
        <f>DATE(2010,5,2) + TIME(5,7,16)</f>
        <v>40300.213379629633</v>
      </c>
      <c r="C67">
        <v>80</v>
      </c>
      <c r="D67">
        <v>67.944190978999998</v>
      </c>
      <c r="E67">
        <v>50</v>
      </c>
      <c r="F67">
        <v>14.998743057</v>
      </c>
      <c r="G67">
        <v>1349.6198730000001</v>
      </c>
      <c r="H67">
        <v>1345.4904785000001</v>
      </c>
      <c r="I67">
        <v>1313.5977783000001</v>
      </c>
      <c r="J67">
        <v>1305.7066649999999</v>
      </c>
      <c r="K67">
        <v>2400</v>
      </c>
      <c r="L67">
        <v>0</v>
      </c>
      <c r="M67">
        <v>0</v>
      </c>
      <c r="N67">
        <v>2400</v>
      </c>
    </row>
    <row r="68" spans="1:14" x14ac:dyDescent="0.25">
      <c r="A68">
        <v>1.2353959999999999</v>
      </c>
      <c r="B68" s="1">
        <f>DATE(2010,5,2) + TIME(5,38,58)</f>
        <v>40300.235393518517</v>
      </c>
      <c r="C68">
        <v>80</v>
      </c>
      <c r="D68">
        <v>68.378654479999994</v>
      </c>
      <c r="E68">
        <v>50</v>
      </c>
      <c r="F68">
        <v>14.998746872</v>
      </c>
      <c r="G68">
        <v>1349.6303711</v>
      </c>
      <c r="H68">
        <v>1345.5059814000001</v>
      </c>
      <c r="I68">
        <v>1313.5980225000001</v>
      </c>
      <c r="J68">
        <v>1305.7067870999999</v>
      </c>
      <c r="K68">
        <v>2400</v>
      </c>
      <c r="L68">
        <v>0</v>
      </c>
      <c r="M68">
        <v>0</v>
      </c>
      <c r="N68">
        <v>2400</v>
      </c>
    </row>
    <row r="69" spans="1:14" x14ac:dyDescent="0.25">
      <c r="A69">
        <v>1.257409</v>
      </c>
      <c r="B69" s="1">
        <f>DATE(2010,5,2) + TIME(6,10,40)</f>
        <v>40300.257407407407</v>
      </c>
      <c r="C69">
        <v>80</v>
      </c>
      <c r="D69">
        <v>68.799247742000006</v>
      </c>
      <c r="E69">
        <v>50</v>
      </c>
      <c r="F69">
        <v>14.998750686999999</v>
      </c>
      <c r="G69">
        <v>1349.640625</v>
      </c>
      <c r="H69">
        <v>1345.520874</v>
      </c>
      <c r="I69">
        <v>1313.5981445</v>
      </c>
      <c r="J69">
        <v>1305.7069091999999</v>
      </c>
      <c r="K69">
        <v>2400</v>
      </c>
      <c r="L69">
        <v>0</v>
      </c>
      <c r="M69">
        <v>0</v>
      </c>
      <c r="N69">
        <v>2400</v>
      </c>
    </row>
    <row r="70" spans="1:14" x14ac:dyDescent="0.25">
      <c r="A70">
        <v>1.279415</v>
      </c>
      <c r="B70" s="1">
        <f>DATE(2010,5,2) + TIME(6,42,21)</f>
        <v>40300.279409722221</v>
      </c>
      <c r="C70">
        <v>80</v>
      </c>
      <c r="D70">
        <v>69.206169127999999</v>
      </c>
      <c r="E70">
        <v>50</v>
      </c>
      <c r="F70">
        <v>14.998754501000001</v>
      </c>
      <c r="G70">
        <v>1349.6507568</v>
      </c>
      <c r="H70">
        <v>1345.5352783000001</v>
      </c>
      <c r="I70">
        <v>1313.5982666</v>
      </c>
      <c r="J70">
        <v>1305.7069091999999</v>
      </c>
      <c r="K70">
        <v>2400</v>
      </c>
      <c r="L70">
        <v>0</v>
      </c>
      <c r="M70">
        <v>0</v>
      </c>
      <c r="N70">
        <v>2400</v>
      </c>
    </row>
    <row r="71" spans="1:14" x14ac:dyDescent="0.25">
      <c r="A71">
        <v>1.3013680000000001</v>
      </c>
      <c r="B71" s="1">
        <f>DATE(2010,5,2) + TIME(7,13,58)</f>
        <v>40300.301365740743</v>
      </c>
      <c r="C71">
        <v>80</v>
      </c>
      <c r="D71">
        <v>69.598968506000006</v>
      </c>
      <c r="E71">
        <v>50</v>
      </c>
      <c r="F71">
        <v>14.998758316</v>
      </c>
      <c r="G71">
        <v>1349.6606445</v>
      </c>
      <c r="H71">
        <v>1345.5490723</v>
      </c>
      <c r="I71">
        <v>1313.5983887</v>
      </c>
      <c r="J71">
        <v>1305.7070312000001</v>
      </c>
      <c r="K71">
        <v>2400</v>
      </c>
      <c r="L71">
        <v>0</v>
      </c>
      <c r="M71">
        <v>0</v>
      </c>
      <c r="N71">
        <v>2400</v>
      </c>
    </row>
    <row r="72" spans="1:14" x14ac:dyDescent="0.25">
      <c r="A72">
        <v>1.32328</v>
      </c>
      <c r="B72" s="1">
        <f>DATE(2010,5,2) + TIME(7,45,31)</f>
        <v>40300.323275462964</v>
      </c>
      <c r="C72">
        <v>80</v>
      </c>
      <c r="D72">
        <v>69.978256225999999</v>
      </c>
      <c r="E72">
        <v>50</v>
      </c>
      <c r="F72">
        <v>14.998762130999999</v>
      </c>
      <c r="G72">
        <v>1349.6702881000001</v>
      </c>
      <c r="H72">
        <v>1345.5621338000001</v>
      </c>
      <c r="I72">
        <v>1313.5986327999999</v>
      </c>
      <c r="J72">
        <v>1305.7070312000001</v>
      </c>
      <c r="K72">
        <v>2400</v>
      </c>
      <c r="L72">
        <v>0</v>
      </c>
      <c r="M72">
        <v>0</v>
      </c>
      <c r="N72">
        <v>2400</v>
      </c>
    </row>
    <row r="73" spans="1:14" x14ac:dyDescent="0.25">
      <c r="A73">
        <v>1.345162</v>
      </c>
      <c r="B73" s="1">
        <f>DATE(2010,5,2) + TIME(8,17,2)</f>
        <v>40300.34516203704</v>
      </c>
      <c r="C73">
        <v>80</v>
      </c>
      <c r="D73">
        <v>70.344352721999996</v>
      </c>
      <c r="E73">
        <v>50</v>
      </c>
      <c r="F73">
        <v>14.998765945000001</v>
      </c>
      <c r="G73">
        <v>1349.6796875</v>
      </c>
      <c r="H73">
        <v>1345.574707</v>
      </c>
      <c r="I73">
        <v>1313.5987548999999</v>
      </c>
      <c r="J73">
        <v>1305.7071533000001</v>
      </c>
      <c r="K73">
        <v>2400</v>
      </c>
      <c r="L73">
        <v>0</v>
      </c>
      <c r="M73">
        <v>0</v>
      </c>
      <c r="N73">
        <v>2400</v>
      </c>
    </row>
    <row r="74" spans="1:14" x14ac:dyDescent="0.25">
      <c r="A74">
        <v>1.367027</v>
      </c>
      <c r="B74" s="1">
        <f>DATE(2010,5,2) + TIME(8,48,31)</f>
        <v>40300.367025462961</v>
      </c>
      <c r="C74">
        <v>80</v>
      </c>
      <c r="D74">
        <v>70.698028563999998</v>
      </c>
      <c r="E74">
        <v>50</v>
      </c>
      <c r="F74">
        <v>14.998768805999999</v>
      </c>
      <c r="G74">
        <v>1349.6888428</v>
      </c>
      <c r="H74">
        <v>1345.5866699000001</v>
      </c>
      <c r="I74">
        <v>1313.5988769999999</v>
      </c>
      <c r="J74">
        <v>1305.7071533000001</v>
      </c>
      <c r="K74">
        <v>2400</v>
      </c>
      <c r="L74">
        <v>0</v>
      </c>
      <c r="M74">
        <v>0</v>
      </c>
      <c r="N74">
        <v>2400</v>
      </c>
    </row>
    <row r="75" spans="1:14" x14ac:dyDescent="0.25">
      <c r="A75">
        <v>1.3888830000000001</v>
      </c>
      <c r="B75" s="1">
        <f>DATE(2010,5,2) + TIME(9,19,59)</f>
        <v>40300.388877314814</v>
      </c>
      <c r="C75">
        <v>80</v>
      </c>
      <c r="D75">
        <v>71.039810181000007</v>
      </c>
      <c r="E75">
        <v>50</v>
      </c>
      <c r="F75">
        <v>14.998772621000001</v>
      </c>
      <c r="G75">
        <v>1349.6976318</v>
      </c>
      <c r="H75">
        <v>1345.5981445</v>
      </c>
      <c r="I75">
        <v>1313.598999</v>
      </c>
      <c r="J75">
        <v>1305.7072754000001</v>
      </c>
      <c r="K75">
        <v>2400</v>
      </c>
      <c r="L75">
        <v>0</v>
      </c>
      <c r="M75">
        <v>0</v>
      </c>
      <c r="N75">
        <v>2400</v>
      </c>
    </row>
    <row r="76" spans="1:14" x14ac:dyDescent="0.25">
      <c r="A76">
        <v>1.4107400000000001</v>
      </c>
      <c r="B76" s="1">
        <f>DATE(2010,5,2) + TIME(9,51,27)</f>
        <v>40300.410729166666</v>
      </c>
      <c r="C76">
        <v>80</v>
      </c>
      <c r="D76">
        <v>71.370124817000004</v>
      </c>
      <c r="E76">
        <v>50</v>
      </c>
      <c r="F76">
        <v>14.998776436</v>
      </c>
      <c r="G76">
        <v>1349.7061768000001</v>
      </c>
      <c r="H76">
        <v>1345.6090088000001</v>
      </c>
      <c r="I76">
        <v>1313.5992432</v>
      </c>
      <c r="J76">
        <v>1305.7073975000001</v>
      </c>
      <c r="K76">
        <v>2400</v>
      </c>
      <c r="L76">
        <v>0</v>
      </c>
      <c r="M76">
        <v>0</v>
      </c>
      <c r="N76">
        <v>2400</v>
      </c>
    </row>
    <row r="77" spans="1:14" x14ac:dyDescent="0.25">
      <c r="A77">
        <v>1.4325969999999999</v>
      </c>
      <c r="B77" s="1">
        <f>DATE(2010,5,2) + TIME(10,22,56)</f>
        <v>40300.432592592595</v>
      </c>
      <c r="C77">
        <v>80</v>
      </c>
      <c r="D77">
        <v>71.689277649000005</v>
      </c>
      <c r="E77">
        <v>50</v>
      </c>
      <c r="F77">
        <v>14.998779297</v>
      </c>
      <c r="G77">
        <v>1349.7144774999999</v>
      </c>
      <c r="H77">
        <v>1345.6192627</v>
      </c>
      <c r="I77">
        <v>1313.5993652</v>
      </c>
      <c r="J77">
        <v>1305.7073975000001</v>
      </c>
      <c r="K77">
        <v>2400</v>
      </c>
      <c r="L77">
        <v>0</v>
      </c>
      <c r="M77">
        <v>0</v>
      </c>
      <c r="N77">
        <v>2400</v>
      </c>
    </row>
    <row r="78" spans="1:14" x14ac:dyDescent="0.25">
      <c r="A78">
        <v>1.4544539999999999</v>
      </c>
      <c r="B78" s="1">
        <f>DATE(2010,5,2) + TIME(10,54,24)</f>
        <v>40300.454444444447</v>
      </c>
      <c r="C78">
        <v>80</v>
      </c>
      <c r="D78">
        <v>71.997573853000006</v>
      </c>
      <c r="E78">
        <v>50</v>
      </c>
      <c r="F78">
        <v>14.998783112</v>
      </c>
      <c r="G78">
        <v>1349.7224120999999</v>
      </c>
      <c r="H78">
        <v>1345.6291504000001</v>
      </c>
      <c r="I78">
        <v>1313.5994873</v>
      </c>
      <c r="J78">
        <v>1305.7075195</v>
      </c>
      <c r="K78">
        <v>2400</v>
      </c>
      <c r="L78">
        <v>0</v>
      </c>
      <c r="M78">
        <v>0</v>
      </c>
      <c r="N78">
        <v>2400</v>
      </c>
    </row>
    <row r="79" spans="1:14" x14ac:dyDescent="0.25">
      <c r="A79">
        <v>1.4763109999999999</v>
      </c>
      <c r="B79" s="1">
        <f>DATE(2010,5,2) + TIME(11,25,53)</f>
        <v>40300.476307870369</v>
      </c>
      <c r="C79">
        <v>80</v>
      </c>
      <c r="D79">
        <v>72.295310974000003</v>
      </c>
      <c r="E79">
        <v>50</v>
      </c>
      <c r="F79">
        <v>14.998785973</v>
      </c>
      <c r="G79">
        <v>1349.7301024999999</v>
      </c>
      <c r="H79">
        <v>1345.6384277</v>
      </c>
      <c r="I79">
        <v>1313.5996094</v>
      </c>
      <c r="J79">
        <v>1305.7075195</v>
      </c>
      <c r="K79">
        <v>2400</v>
      </c>
      <c r="L79">
        <v>0</v>
      </c>
      <c r="M79">
        <v>0</v>
      </c>
      <c r="N79">
        <v>2400</v>
      </c>
    </row>
    <row r="80" spans="1:14" x14ac:dyDescent="0.25">
      <c r="A80">
        <v>1.4981679999999999</v>
      </c>
      <c r="B80" s="1">
        <f>DATE(2010,5,2) + TIME(11,57,21)</f>
        <v>40300.498159722221</v>
      </c>
      <c r="C80">
        <v>80</v>
      </c>
      <c r="D80">
        <v>72.582778931000007</v>
      </c>
      <c r="E80">
        <v>50</v>
      </c>
      <c r="F80">
        <v>14.998788834000001</v>
      </c>
      <c r="G80">
        <v>1349.7374268000001</v>
      </c>
      <c r="H80">
        <v>1345.6472168</v>
      </c>
      <c r="I80">
        <v>1313.5997314000001</v>
      </c>
      <c r="J80">
        <v>1305.7076416</v>
      </c>
      <c r="K80">
        <v>2400</v>
      </c>
      <c r="L80">
        <v>0</v>
      </c>
      <c r="M80">
        <v>0</v>
      </c>
      <c r="N80">
        <v>2400</v>
      </c>
    </row>
    <row r="81" spans="1:14" x14ac:dyDescent="0.25">
      <c r="A81">
        <v>1.520024</v>
      </c>
      <c r="B81" s="1">
        <f>DATE(2010,5,2) + TIME(12,28,50)</f>
        <v>40300.52002314815</v>
      </c>
      <c r="C81">
        <v>80</v>
      </c>
      <c r="D81">
        <v>72.860282897999994</v>
      </c>
      <c r="E81">
        <v>50</v>
      </c>
      <c r="F81">
        <v>14.998792648</v>
      </c>
      <c r="G81">
        <v>1349.7445068</v>
      </c>
      <c r="H81">
        <v>1345.6555175999999</v>
      </c>
      <c r="I81">
        <v>1313.5998535000001</v>
      </c>
      <c r="J81">
        <v>1305.7076416</v>
      </c>
      <c r="K81">
        <v>2400</v>
      </c>
      <c r="L81">
        <v>0</v>
      </c>
      <c r="M81">
        <v>0</v>
      </c>
      <c r="N81">
        <v>2400</v>
      </c>
    </row>
    <row r="82" spans="1:14" x14ac:dyDescent="0.25">
      <c r="A82">
        <v>1.5418810000000001</v>
      </c>
      <c r="B82" s="1">
        <f>DATE(2010,5,2) + TIME(13,0,18)</f>
        <v>40300.541875000003</v>
      </c>
      <c r="C82">
        <v>80</v>
      </c>
      <c r="D82">
        <v>73.128097534000005</v>
      </c>
      <c r="E82">
        <v>50</v>
      </c>
      <c r="F82">
        <v>14.998795509000001</v>
      </c>
      <c r="G82">
        <v>1349.7513428</v>
      </c>
      <c r="H82">
        <v>1345.6632079999999</v>
      </c>
      <c r="I82">
        <v>1313.5999756000001</v>
      </c>
      <c r="J82">
        <v>1305.7077637</v>
      </c>
      <c r="K82">
        <v>2400</v>
      </c>
      <c r="L82">
        <v>0</v>
      </c>
      <c r="M82">
        <v>0</v>
      </c>
      <c r="N82">
        <v>2400</v>
      </c>
    </row>
    <row r="83" spans="1:14" x14ac:dyDescent="0.25">
      <c r="A83">
        <v>1.5637380000000001</v>
      </c>
      <c r="B83" s="1">
        <f>DATE(2010,5,2) + TIME(13,31,46)</f>
        <v>40300.563726851855</v>
      </c>
      <c r="C83">
        <v>80</v>
      </c>
      <c r="D83">
        <v>73.386520386000001</v>
      </c>
      <c r="E83">
        <v>50</v>
      </c>
      <c r="F83">
        <v>14.998798369999999</v>
      </c>
      <c r="G83">
        <v>1349.7578125</v>
      </c>
      <c r="H83">
        <v>1345.6705322</v>
      </c>
      <c r="I83">
        <v>1313.6002197</v>
      </c>
      <c r="J83">
        <v>1305.7078856999999</v>
      </c>
      <c r="K83">
        <v>2400</v>
      </c>
      <c r="L83">
        <v>0</v>
      </c>
      <c r="M83">
        <v>0</v>
      </c>
      <c r="N83">
        <v>2400</v>
      </c>
    </row>
    <row r="84" spans="1:14" x14ac:dyDescent="0.25">
      <c r="A84">
        <v>1.5855950000000001</v>
      </c>
      <c r="B84" s="1">
        <f>DATE(2010,5,2) + TIME(14,3,15)</f>
        <v>40300.585590277777</v>
      </c>
      <c r="C84">
        <v>80</v>
      </c>
      <c r="D84">
        <v>73.635810852000006</v>
      </c>
      <c r="E84">
        <v>50</v>
      </c>
      <c r="F84">
        <v>14.998801231</v>
      </c>
      <c r="G84">
        <v>1349.7640381000001</v>
      </c>
      <c r="H84">
        <v>1345.6774902</v>
      </c>
      <c r="I84">
        <v>1313.6003418</v>
      </c>
      <c r="J84">
        <v>1305.7078856999999</v>
      </c>
      <c r="K84">
        <v>2400</v>
      </c>
      <c r="L84">
        <v>0</v>
      </c>
      <c r="M84">
        <v>0</v>
      </c>
      <c r="N84">
        <v>2400</v>
      </c>
    </row>
    <row r="85" spans="1:14" x14ac:dyDescent="0.25">
      <c r="A85">
        <v>1.6293089999999999</v>
      </c>
      <c r="B85" s="1">
        <f>DATE(2010,5,2) + TIME(15,6,12)</f>
        <v>40300.629305555558</v>
      </c>
      <c r="C85">
        <v>80</v>
      </c>
      <c r="D85">
        <v>74.098808289000004</v>
      </c>
      <c r="E85">
        <v>50</v>
      </c>
      <c r="F85">
        <v>14.998807907</v>
      </c>
      <c r="G85">
        <v>1349.7568358999999</v>
      </c>
      <c r="H85">
        <v>1345.6829834</v>
      </c>
      <c r="I85">
        <v>1313.6004639</v>
      </c>
      <c r="J85">
        <v>1305.7080077999999</v>
      </c>
      <c r="K85">
        <v>2400</v>
      </c>
      <c r="L85">
        <v>0</v>
      </c>
      <c r="M85">
        <v>0</v>
      </c>
      <c r="N85">
        <v>2400</v>
      </c>
    </row>
    <row r="86" spans="1:14" x14ac:dyDescent="0.25">
      <c r="A86">
        <v>1.6732130000000001</v>
      </c>
      <c r="B86" s="1">
        <f>DATE(2010,5,2) + TIME(16,9,25)</f>
        <v>40300.673206018517</v>
      </c>
      <c r="C86">
        <v>80</v>
      </c>
      <c r="D86">
        <v>74.531578064000001</v>
      </c>
      <c r="E86">
        <v>50</v>
      </c>
      <c r="F86">
        <v>14.998813629000001</v>
      </c>
      <c r="G86">
        <v>1349.7678223</v>
      </c>
      <c r="H86">
        <v>1345.6938477000001</v>
      </c>
      <c r="I86">
        <v>1313.6007079999999</v>
      </c>
      <c r="J86">
        <v>1305.7081298999999</v>
      </c>
      <c r="K86">
        <v>2400</v>
      </c>
      <c r="L86">
        <v>0</v>
      </c>
      <c r="M86">
        <v>0</v>
      </c>
      <c r="N86">
        <v>2400</v>
      </c>
    </row>
    <row r="87" spans="1:14" x14ac:dyDescent="0.25">
      <c r="A87">
        <v>1.7175940000000001</v>
      </c>
      <c r="B87" s="1">
        <f>DATE(2010,5,2) + TIME(17,13,20)</f>
        <v>40300.717592592591</v>
      </c>
      <c r="C87">
        <v>80</v>
      </c>
      <c r="D87">
        <v>74.938110351999995</v>
      </c>
      <c r="E87">
        <v>50</v>
      </c>
      <c r="F87">
        <v>14.998818397999999</v>
      </c>
      <c r="G87">
        <v>1349.7775879000001</v>
      </c>
      <c r="H87">
        <v>1345.7030029</v>
      </c>
      <c r="I87">
        <v>1313.6009521000001</v>
      </c>
      <c r="J87">
        <v>1305.7082519999999</v>
      </c>
      <c r="K87">
        <v>2400</v>
      </c>
      <c r="L87">
        <v>0</v>
      </c>
      <c r="M87">
        <v>0</v>
      </c>
      <c r="N87">
        <v>2400</v>
      </c>
    </row>
    <row r="88" spans="1:14" x14ac:dyDescent="0.25">
      <c r="A88">
        <v>1.7625139999999999</v>
      </c>
      <c r="B88" s="1">
        <f>DATE(2010,5,2) + TIME(18,18,1)</f>
        <v>40300.762511574074</v>
      </c>
      <c r="C88">
        <v>80</v>
      </c>
      <c r="D88">
        <v>75.319633483999993</v>
      </c>
      <c r="E88">
        <v>50</v>
      </c>
      <c r="F88">
        <v>14.99882412</v>
      </c>
      <c r="G88">
        <v>1349.7861327999999</v>
      </c>
      <c r="H88">
        <v>1345.7106934000001</v>
      </c>
      <c r="I88">
        <v>1313.6013184000001</v>
      </c>
      <c r="J88">
        <v>1305.7084961</v>
      </c>
      <c r="K88">
        <v>2400</v>
      </c>
      <c r="L88">
        <v>0</v>
      </c>
      <c r="M88">
        <v>0</v>
      </c>
      <c r="N88">
        <v>2400</v>
      </c>
    </row>
    <row r="89" spans="1:14" x14ac:dyDescent="0.25">
      <c r="A89">
        <v>1.808041</v>
      </c>
      <c r="B89" s="1">
        <f>DATE(2010,5,2) + TIME(19,23,34)</f>
        <v>40300.808032407411</v>
      </c>
      <c r="C89">
        <v>80</v>
      </c>
      <c r="D89">
        <v>75.677764893000003</v>
      </c>
      <c r="E89">
        <v>50</v>
      </c>
      <c r="F89">
        <v>14.998829841999999</v>
      </c>
      <c r="G89">
        <v>1349.7937012</v>
      </c>
      <c r="H89">
        <v>1345.7170410000001</v>
      </c>
      <c r="I89">
        <v>1313.6015625</v>
      </c>
      <c r="J89">
        <v>1305.7086182</v>
      </c>
      <c r="K89">
        <v>2400</v>
      </c>
      <c r="L89">
        <v>0</v>
      </c>
      <c r="M89">
        <v>0</v>
      </c>
      <c r="N89">
        <v>2400</v>
      </c>
    </row>
    <row r="90" spans="1:14" x14ac:dyDescent="0.25">
      <c r="A90">
        <v>1.854247</v>
      </c>
      <c r="B90" s="1">
        <f>DATE(2010,5,2) + TIME(20,30,6)</f>
        <v>40300.85423611111</v>
      </c>
      <c r="C90">
        <v>80</v>
      </c>
      <c r="D90">
        <v>76.013839722</v>
      </c>
      <c r="E90">
        <v>50</v>
      </c>
      <c r="F90">
        <v>14.998835564</v>
      </c>
      <c r="G90">
        <v>1349.8000488</v>
      </c>
      <c r="H90">
        <v>1345.7219238</v>
      </c>
      <c r="I90">
        <v>1313.6018065999999</v>
      </c>
      <c r="J90">
        <v>1305.7087402</v>
      </c>
      <c r="K90">
        <v>2400</v>
      </c>
      <c r="L90">
        <v>0</v>
      </c>
      <c r="M90">
        <v>0</v>
      </c>
      <c r="N90">
        <v>2400</v>
      </c>
    </row>
    <row r="91" spans="1:14" x14ac:dyDescent="0.25">
      <c r="A91">
        <v>1.9012070000000001</v>
      </c>
      <c r="B91" s="1">
        <f>DATE(2010,5,2) + TIME(21,37,44)</f>
        <v>40300.901203703703</v>
      </c>
      <c r="C91">
        <v>80</v>
      </c>
      <c r="D91">
        <v>76.329071045000006</v>
      </c>
      <c r="E91">
        <v>50</v>
      </c>
      <c r="F91">
        <v>14.998840332</v>
      </c>
      <c r="G91">
        <v>1349.8054199000001</v>
      </c>
      <c r="H91">
        <v>1345.7253418</v>
      </c>
      <c r="I91">
        <v>1313.6020507999999</v>
      </c>
      <c r="J91">
        <v>1305.7088623</v>
      </c>
      <c r="K91">
        <v>2400</v>
      </c>
      <c r="L91">
        <v>0</v>
      </c>
      <c r="M91">
        <v>0</v>
      </c>
      <c r="N91">
        <v>2400</v>
      </c>
    </row>
    <row r="92" spans="1:14" x14ac:dyDescent="0.25">
      <c r="A92">
        <v>1.9489989999999999</v>
      </c>
      <c r="B92" s="1">
        <f>DATE(2010,5,2) + TIME(22,46,33)</f>
        <v>40300.948993055557</v>
      </c>
      <c r="C92">
        <v>80</v>
      </c>
      <c r="D92">
        <v>76.624580382999994</v>
      </c>
      <c r="E92">
        <v>50</v>
      </c>
      <c r="F92">
        <v>14.998846053999999</v>
      </c>
      <c r="G92">
        <v>1349.8095702999999</v>
      </c>
      <c r="H92">
        <v>1345.7274170000001</v>
      </c>
      <c r="I92">
        <v>1313.6022949000001</v>
      </c>
      <c r="J92">
        <v>1305.7091064000001</v>
      </c>
      <c r="K92">
        <v>2400</v>
      </c>
      <c r="L92">
        <v>0</v>
      </c>
      <c r="M92">
        <v>0</v>
      </c>
      <c r="N92">
        <v>2400</v>
      </c>
    </row>
    <row r="93" spans="1:14" x14ac:dyDescent="0.25">
      <c r="A93">
        <v>1.9977069999999999</v>
      </c>
      <c r="B93" s="1">
        <f>DATE(2010,5,2) + TIME(23,56,41)</f>
        <v>40300.997696759259</v>
      </c>
      <c r="C93">
        <v>80</v>
      </c>
      <c r="D93">
        <v>76.901412964000002</v>
      </c>
      <c r="E93">
        <v>50</v>
      </c>
      <c r="F93">
        <v>14.998850822</v>
      </c>
      <c r="G93">
        <v>1349.8127440999999</v>
      </c>
      <c r="H93">
        <v>1345.7282714999999</v>
      </c>
      <c r="I93">
        <v>1313.6025391000001</v>
      </c>
      <c r="J93">
        <v>1305.7092285000001</v>
      </c>
      <c r="K93">
        <v>2400</v>
      </c>
      <c r="L93">
        <v>0</v>
      </c>
      <c r="M93">
        <v>0</v>
      </c>
      <c r="N93">
        <v>2400</v>
      </c>
    </row>
    <row r="94" spans="1:14" x14ac:dyDescent="0.25">
      <c r="A94">
        <v>2.0474190000000001</v>
      </c>
      <c r="B94" s="1">
        <f>DATE(2010,5,3) + TIME(1,8,16)</f>
        <v>40301.047407407408</v>
      </c>
      <c r="C94">
        <v>80</v>
      </c>
      <c r="D94">
        <v>77.160537719999994</v>
      </c>
      <c r="E94">
        <v>50</v>
      </c>
      <c r="F94">
        <v>14.998856544000001</v>
      </c>
      <c r="G94">
        <v>1349.8148193</v>
      </c>
      <c r="H94">
        <v>1345.7277832</v>
      </c>
      <c r="I94">
        <v>1313.6029053</v>
      </c>
      <c r="J94">
        <v>1305.7093506000001</v>
      </c>
      <c r="K94">
        <v>2400</v>
      </c>
      <c r="L94">
        <v>0</v>
      </c>
      <c r="M94">
        <v>0</v>
      </c>
      <c r="N94">
        <v>2400</v>
      </c>
    </row>
    <row r="95" spans="1:14" x14ac:dyDescent="0.25">
      <c r="A95">
        <v>2.0982440000000002</v>
      </c>
      <c r="B95" s="1">
        <f>DATE(2010,5,3) + TIME(2,21,28)</f>
        <v>40301.098240740743</v>
      </c>
      <c r="C95">
        <v>80</v>
      </c>
      <c r="D95">
        <v>77.402923584000007</v>
      </c>
      <c r="E95">
        <v>50</v>
      </c>
      <c r="F95">
        <v>14.998861313000001</v>
      </c>
      <c r="G95">
        <v>1349.8156738</v>
      </c>
      <c r="H95">
        <v>1345.7260742000001</v>
      </c>
      <c r="I95">
        <v>1313.6031493999999</v>
      </c>
      <c r="J95">
        <v>1305.7095947</v>
      </c>
      <c r="K95">
        <v>2400</v>
      </c>
      <c r="L95">
        <v>0</v>
      </c>
      <c r="M95">
        <v>0</v>
      </c>
      <c r="N95">
        <v>2400</v>
      </c>
    </row>
    <row r="96" spans="1:14" x14ac:dyDescent="0.25">
      <c r="A96">
        <v>2.1502789999999998</v>
      </c>
      <c r="B96" s="1">
        <f>DATE(2010,5,3) + TIME(3,36,24)</f>
        <v>40301.150277777779</v>
      </c>
      <c r="C96">
        <v>80</v>
      </c>
      <c r="D96">
        <v>77.629402161000002</v>
      </c>
      <c r="E96">
        <v>50</v>
      </c>
      <c r="F96">
        <v>14.998866080999999</v>
      </c>
      <c r="G96">
        <v>1349.8155518000001</v>
      </c>
      <c r="H96">
        <v>1345.7230225000001</v>
      </c>
      <c r="I96">
        <v>1313.6033935999999</v>
      </c>
      <c r="J96">
        <v>1305.7097168</v>
      </c>
      <c r="K96">
        <v>2400</v>
      </c>
      <c r="L96">
        <v>0</v>
      </c>
      <c r="M96">
        <v>0</v>
      </c>
      <c r="N96">
        <v>2400</v>
      </c>
    </row>
    <row r="97" spans="1:14" x14ac:dyDescent="0.25">
      <c r="A97">
        <v>2.2036259999999999</v>
      </c>
      <c r="B97" s="1">
        <f>DATE(2010,5,3) + TIME(4,53,13)</f>
        <v>40301.203622685185</v>
      </c>
      <c r="C97">
        <v>80</v>
      </c>
      <c r="D97">
        <v>77.840713500999996</v>
      </c>
      <c r="E97">
        <v>50</v>
      </c>
      <c r="F97">
        <v>14.998871803</v>
      </c>
      <c r="G97">
        <v>1349.8142089999999</v>
      </c>
      <c r="H97">
        <v>1345.71875</v>
      </c>
      <c r="I97">
        <v>1313.6036377</v>
      </c>
      <c r="J97">
        <v>1305.7099608999999</v>
      </c>
      <c r="K97">
        <v>2400</v>
      </c>
      <c r="L97">
        <v>0</v>
      </c>
      <c r="M97">
        <v>0</v>
      </c>
      <c r="N97">
        <v>2400</v>
      </c>
    </row>
    <row r="98" spans="1:14" x14ac:dyDescent="0.25">
      <c r="A98">
        <v>2.2584080000000002</v>
      </c>
      <c r="B98" s="1">
        <f>DATE(2010,5,3) + TIME(6,12,6)</f>
        <v>40301.258402777778</v>
      </c>
      <c r="C98">
        <v>80</v>
      </c>
      <c r="D98">
        <v>78.037635803000001</v>
      </c>
      <c r="E98">
        <v>50</v>
      </c>
      <c r="F98">
        <v>14.998876572</v>
      </c>
      <c r="G98">
        <v>1349.8117675999999</v>
      </c>
      <c r="H98">
        <v>1345.7131348</v>
      </c>
      <c r="I98">
        <v>1313.6038818</v>
      </c>
      <c r="J98">
        <v>1305.7100829999999</v>
      </c>
      <c r="K98">
        <v>2400</v>
      </c>
      <c r="L98">
        <v>0</v>
      </c>
      <c r="M98">
        <v>0</v>
      </c>
      <c r="N98">
        <v>2400</v>
      </c>
    </row>
    <row r="99" spans="1:14" x14ac:dyDescent="0.25">
      <c r="A99">
        <v>2.3147540000000002</v>
      </c>
      <c r="B99" s="1">
        <f>DATE(2010,5,3) + TIME(7,33,14)</f>
        <v>40301.314745370371</v>
      </c>
      <c r="C99">
        <v>80</v>
      </c>
      <c r="D99">
        <v>78.220878600999995</v>
      </c>
      <c r="E99">
        <v>50</v>
      </c>
      <c r="F99">
        <v>14.998882294</v>
      </c>
      <c r="G99">
        <v>1349.8082274999999</v>
      </c>
      <c r="H99">
        <v>1345.7062988</v>
      </c>
      <c r="I99">
        <v>1313.604126</v>
      </c>
      <c r="J99">
        <v>1305.7102050999999</v>
      </c>
      <c r="K99">
        <v>2400</v>
      </c>
      <c r="L99">
        <v>0</v>
      </c>
      <c r="M99">
        <v>0</v>
      </c>
      <c r="N99">
        <v>2400</v>
      </c>
    </row>
    <row r="100" spans="1:14" x14ac:dyDescent="0.25">
      <c r="A100">
        <v>2.3728150000000001</v>
      </c>
      <c r="B100" s="1">
        <f>DATE(2010,5,3) + TIME(8,56,51)</f>
        <v>40301.372812499998</v>
      </c>
      <c r="C100">
        <v>80</v>
      </c>
      <c r="D100">
        <v>78.391128539999997</v>
      </c>
      <c r="E100">
        <v>50</v>
      </c>
      <c r="F100">
        <v>14.998887062</v>
      </c>
      <c r="G100">
        <v>1349.8035889</v>
      </c>
      <c r="H100">
        <v>1345.6982422000001</v>
      </c>
      <c r="I100">
        <v>1313.6044922000001</v>
      </c>
      <c r="J100">
        <v>1305.7104492000001</v>
      </c>
      <c r="K100">
        <v>2400</v>
      </c>
      <c r="L100">
        <v>0</v>
      </c>
      <c r="M100">
        <v>0</v>
      </c>
      <c r="N100">
        <v>2400</v>
      </c>
    </row>
    <row r="101" spans="1:14" x14ac:dyDescent="0.25">
      <c r="A101">
        <v>2.4327559999999999</v>
      </c>
      <c r="B101" s="1">
        <f>DATE(2010,5,3) + TIME(10,23,10)</f>
        <v>40301.432754629626</v>
      </c>
      <c r="C101">
        <v>80</v>
      </c>
      <c r="D101">
        <v>78.549018860000004</v>
      </c>
      <c r="E101">
        <v>50</v>
      </c>
      <c r="F101">
        <v>14.99889183</v>
      </c>
      <c r="G101">
        <v>1349.7977295000001</v>
      </c>
      <c r="H101">
        <v>1345.6889647999999</v>
      </c>
      <c r="I101">
        <v>1313.6047363</v>
      </c>
      <c r="J101">
        <v>1305.7105713000001</v>
      </c>
      <c r="K101">
        <v>2400</v>
      </c>
      <c r="L101">
        <v>0</v>
      </c>
      <c r="M101">
        <v>0</v>
      </c>
      <c r="N101">
        <v>2400</v>
      </c>
    </row>
    <row r="102" spans="1:14" x14ac:dyDescent="0.25">
      <c r="A102">
        <v>2.4947550000000001</v>
      </c>
      <c r="B102" s="1">
        <f>DATE(2010,5,3) + TIME(11,52,26)</f>
        <v>40301.494745370372</v>
      </c>
      <c r="C102">
        <v>80</v>
      </c>
      <c r="D102">
        <v>78.695175171000002</v>
      </c>
      <c r="E102">
        <v>50</v>
      </c>
      <c r="F102">
        <v>14.998897552000001</v>
      </c>
      <c r="G102">
        <v>1349.7906493999999</v>
      </c>
      <c r="H102">
        <v>1345.6784668</v>
      </c>
      <c r="I102">
        <v>1313.6049805</v>
      </c>
      <c r="J102">
        <v>1305.7108154</v>
      </c>
      <c r="K102">
        <v>2400</v>
      </c>
      <c r="L102">
        <v>0</v>
      </c>
      <c r="M102">
        <v>0</v>
      </c>
      <c r="N102">
        <v>2400</v>
      </c>
    </row>
    <row r="103" spans="1:14" x14ac:dyDescent="0.25">
      <c r="A103">
        <v>2.5587629999999999</v>
      </c>
      <c r="B103" s="1">
        <f>DATE(2010,5,3) + TIME(13,24,37)</f>
        <v>40301.558761574073</v>
      </c>
      <c r="C103">
        <v>80</v>
      </c>
      <c r="D103">
        <v>78.829704285000005</v>
      </c>
      <c r="E103">
        <v>50</v>
      </c>
      <c r="F103">
        <v>14.998902320999999</v>
      </c>
      <c r="G103">
        <v>1349.7823486</v>
      </c>
      <c r="H103">
        <v>1345.666626</v>
      </c>
      <c r="I103">
        <v>1313.6053466999999</v>
      </c>
      <c r="J103">
        <v>1305.7110596</v>
      </c>
      <c r="K103">
        <v>2400</v>
      </c>
      <c r="L103">
        <v>0</v>
      </c>
      <c r="M103">
        <v>0</v>
      </c>
      <c r="N103">
        <v>2400</v>
      </c>
    </row>
    <row r="104" spans="1:14" x14ac:dyDescent="0.25">
      <c r="A104">
        <v>2.6247379999999998</v>
      </c>
      <c r="B104" s="1">
        <f>DATE(2010,5,3) + TIME(14,59,37)</f>
        <v>40301.6247337963</v>
      </c>
      <c r="C104">
        <v>80</v>
      </c>
      <c r="D104">
        <v>78.952857971</v>
      </c>
      <c r="E104">
        <v>50</v>
      </c>
      <c r="F104">
        <v>14.998908043</v>
      </c>
      <c r="G104">
        <v>1349.7729492000001</v>
      </c>
      <c r="H104">
        <v>1345.6535644999999</v>
      </c>
      <c r="I104">
        <v>1313.6055908000001</v>
      </c>
      <c r="J104">
        <v>1305.7111815999999</v>
      </c>
      <c r="K104">
        <v>2400</v>
      </c>
      <c r="L104">
        <v>0</v>
      </c>
      <c r="M104">
        <v>0</v>
      </c>
      <c r="N104">
        <v>2400</v>
      </c>
    </row>
    <row r="105" spans="1:14" x14ac:dyDescent="0.25">
      <c r="A105">
        <v>2.6928679999999998</v>
      </c>
      <c r="B105" s="1">
        <f>DATE(2010,5,3) + TIME(16,37,43)</f>
        <v>40301.692858796298</v>
      </c>
      <c r="C105">
        <v>80</v>
      </c>
      <c r="D105">
        <v>79.065383910999998</v>
      </c>
      <c r="E105">
        <v>50</v>
      </c>
      <c r="F105">
        <v>14.998912811</v>
      </c>
      <c r="G105">
        <v>1349.7623291</v>
      </c>
      <c r="H105">
        <v>1345.6391602000001</v>
      </c>
      <c r="I105">
        <v>1313.6058350000001</v>
      </c>
      <c r="J105">
        <v>1305.7114257999999</v>
      </c>
      <c r="K105">
        <v>2400</v>
      </c>
      <c r="L105">
        <v>0</v>
      </c>
      <c r="M105">
        <v>0</v>
      </c>
      <c r="N105">
        <v>2400</v>
      </c>
    </row>
    <row r="106" spans="1:14" x14ac:dyDescent="0.25">
      <c r="A106">
        <v>2.7633570000000001</v>
      </c>
      <c r="B106" s="1">
        <f>DATE(2010,5,3) + TIME(18,19,14)</f>
        <v>40301.763356481482</v>
      </c>
      <c r="C106">
        <v>80</v>
      </c>
      <c r="D106">
        <v>79.167938231999997</v>
      </c>
      <c r="E106">
        <v>50</v>
      </c>
      <c r="F106">
        <v>14.998917580000001</v>
      </c>
      <c r="G106">
        <v>1349.7504882999999</v>
      </c>
      <c r="H106">
        <v>1345.6236572</v>
      </c>
      <c r="I106">
        <v>1313.6062012</v>
      </c>
      <c r="J106">
        <v>1305.7116699000001</v>
      </c>
      <c r="K106">
        <v>2400</v>
      </c>
      <c r="L106">
        <v>0</v>
      </c>
      <c r="M106">
        <v>0</v>
      </c>
      <c r="N106">
        <v>2400</v>
      </c>
    </row>
    <row r="107" spans="1:14" x14ac:dyDescent="0.25">
      <c r="A107">
        <v>2.8362620000000001</v>
      </c>
      <c r="B107" s="1">
        <f>DATE(2010,5,3) + TIME(20,4,13)</f>
        <v>40301.836261574077</v>
      </c>
      <c r="C107">
        <v>80</v>
      </c>
      <c r="D107">
        <v>79.260971068999993</v>
      </c>
      <c r="E107">
        <v>50</v>
      </c>
      <c r="F107">
        <v>14.998923302</v>
      </c>
      <c r="G107">
        <v>1349.7374268000001</v>
      </c>
      <c r="H107">
        <v>1345.6069336</v>
      </c>
      <c r="I107">
        <v>1313.6064452999999</v>
      </c>
      <c r="J107">
        <v>1305.7117920000001</v>
      </c>
      <c r="K107">
        <v>2400</v>
      </c>
      <c r="L107">
        <v>0</v>
      </c>
      <c r="M107">
        <v>0</v>
      </c>
      <c r="N107">
        <v>2400</v>
      </c>
    </row>
    <row r="108" spans="1:14" x14ac:dyDescent="0.25">
      <c r="A108">
        <v>2.9118179999999998</v>
      </c>
      <c r="B108" s="1">
        <f>DATE(2010,5,3) + TIME(21,53,1)</f>
        <v>40301.911817129629</v>
      </c>
      <c r="C108">
        <v>80</v>
      </c>
      <c r="D108">
        <v>79.345153808999996</v>
      </c>
      <c r="E108">
        <v>50</v>
      </c>
      <c r="F108">
        <v>14.99892807</v>
      </c>
      <c r="G108">
        <v>1349.7231445</v>
      </c>
      <c r="H108">
        <v>1345.5889893000001</v>
      </c>
      <c r="I108">
        <v>1313.6068115</v>
      </c>
      <c r="J108">
        <v>1305.7120361</v>
      </c>
      <c r="K108">
        <v>2400</v>
      </c>
      <c r="L108">
        <v>0</v>
      </c>
      <c r="M108">
        <v>0</v>
      </c>
      <c r="N108">
        <v>2400</v>
      </c>
    </row>
    <row r="109" spans="1:14" x14ac:dyDescent="0.25">
      <c r="A109">
        <v>2.9901270000000002</v>
      </c>
      <c r="B109" s="1">
        <f>DATE(2010,5,3) + TIME(23,45,46)</f>
        <v>40301.990115740744</v>
      </c>
      <c r="C109">
        <v>80</v>
      </c>
      <c r="D109">
        <v>79.420951842999997</v>
      </c>
      <c r="E109">
        <v>50</v>
      </c>
      <c r="F109">
        <v>14.998933792000001</v>
      </c>
      <c r="G109">
        <v>1349.7076416</v>
      </c>
      <c r="H109">
        <v>1345.5698242000001</v>
      </c>
      <c r="I109">
        <v>1313.6070557</v>
      </c>
      <c r="J109">
        <v>1305.7122803</v>
      </c>
      <c r="K109">
        <v>2400</v>
      </c>
      <c r="L109">
        <v>0</v>
      </c>
      <c r="M109">
        <v>0</v>
      </c>
      <c r="N109">
        <v>2400</v>
      </c>
    </row>
    <row r="110" spans="1:14" x14ac:dyDescent="0.25">
      <c r="A110">
        <v>3.0304829999999998</v>
      </c>
      <c r="B110" s="1">
        <f>DATE(2010,5,4) + TIME(0,43,53)</f>
        <v>40302.030474537038</v>
      </c>
      <c r="C110">
        <v>80</v>
      </c>
      <c r="D110">
        <v>79.457237243999998</v>
      </c>
      <c r="E110">
        <v>50</v>
      </c>
      <c r="F110">
        <v>14.998936652999999</v>
      </c>
      <c r="G110">
        <v>1349.6938477000001</v>
      </c>
      <c r="H110">
        <v>1345.5499268000001</v>
      </c>
      <c r="I110">
        <v>1313.6072998</v>
      </c>
      <c r="J110">
        <v>1305.7125243999999</v>
      </c>
      <c r="K110">
        <v>2400</v>
      </c>
      <c r="L110">
        <v>0</v>
      </c>
      <c r="M110">
        <v>0</v>
      </c>
      <c r="N110">
        <v>2400</v>
      </c>
    </row>
    <row r="111" spans="1:14" x14ac:dyDescent="0.25">
      <c r="A111">
        <v>3.0708389999999999</v>
      </c>
      <c r="B111" s="1">
        <f>DATE(2010,5,4) + TIME(1,42,0)</f>
        <v>40302.070833333331</v>
      </c>
      <c r="C111">
        <v>80</v>
      </c>
      <c r="D111">
        <v>79.490890503000003</v>
      </c>
      <c r="E111">
        <v>50</v>
      </c>
      <c r="F111">
        <v>14.998939514</v>
      </c>
      <c r="G111">
        <v>1349.6850586</v>
      </c>
      <c r="H111">
        <v>1345.5394286999999</v>
      </c>
      <c r="I111">
        <v>1313.6075439000001</v>
      </c>
      <c r="J111">
        <v>1305.7125243999999</v>
      </c>
      <c r="K111">
        <v>2400</v>
      </c>
      <c r="L111">
        <v>0</v>
      </c>
      <c r="M111">
        <v>0</v>
      </c>
      <c r="N111">
        <v>2400</v>
      </c>
    </row>
    <row r="112" spans="1:14" x14ac:dyDescent="0.25">
      <c r="A112">
        <v>3.1111949999999999</v>
      </c>
      <c r="B112" s="1">
        <f>DATE(2010,5,4) + TIME(2,40,7)</f>
        <v>40302.111192129632</v>
      </c>
      <c r="C112">
        <v>80</v>
      </c>
      <c r="D112">
        <v>79.522109985</v>
      </c>
      <c r="E112">
        <v>50</v>
      </c>
      <c r="F112">
        <v>14.998942375</v>
      </c>
      <c r="G112">
        <v>1349.6761475000001</v>
      </c>
      <c r="H112">
        <v>1345.5288086</v>
      </c>
      <c r="I112">
        <v>1313.6076660000001</v>
      </c>
      <c r="J112">
        <v>1305.7126464999999</v>
      </c>
      <c r="K112">
        <v>2400</v>
      </c>
      <c r="L112">
        <v>0</v>
      </c>
      <c r="M112">
        <v>0</v>
      </c>
      <c r="N112">
        <v>2400</v>
      </c>
    </row>
    <row r="113" spans="1:14" x14ac:dyDescent="0.25">
      <c r="A113">
        <v>3.1919059999999999</v>
      </c>
      <c r="B113" s="1">
        <f>DATE(2010,5,4) + TIME(4,36,20)</f>
        <v>40302.19189814815</v>
      </c>
      <c r="C113">
        <v>80</v>
      </c>
      <c r="D113">
        <v>79.576057434000006</v>
      </c>
      <c r="E113">
        <v>50</v>
      </c>
      <c r="F113">
        <v>14.998947144000001</v>
      </c>
      <c r="G113">
        <v>1349.6646728999999</v>
      </c>
      <c r="H113">
        <v>1345.5179443</v>
      </c>
      <c r="I113">
        <v>1313.6079102000001</v>
      </c>
      <c r="J113">
        <v>1305.7128906</v>
      </c>
      <c r="K113">
        <v>2400</v>
      </c>
      <c r="L113">
        <v>0</v>
      </c>
      <c r="M113">
        <v>0</v>
      </c>
      <c r="N113">
        <v>2400</v>
      </c>
    </row>
    <row r="114" spans="1:14" x14ac:dyDescent="0.25">
      <c r="A114">
        <v>3.2726739999999999</v>
      </c>
      <c r="B114" s="1">
        <f>DATE(2010,5,4) + TIME(6,32,39)</f>
        <v>40302.272673611114</v>
      </c>
      <c r="C114">
        <v>80</v>
      </c>
      <c r="D114">
        <v>79.622772217000005</v>
      </c>
      <c r="E114">
        <v>50</v>
      </c>
      <c r="F114">
        <v>14.998951912000001</v>
      </c>
      <c r="G114">
        <v>1349.6462402</v>
      </c>
      <c r="H114">
        <v>1345.4962158000001</v>
      </c>
      <c r="I114">
        <v>1313.6081543</v>
      </c>
      <c r="J114">
        <v>1305.7131348</v>
      </c>
      <c r="K114">
        <v>2400</v>
      </c>
      <c r="L114">
        <v>0</v>
      </c>
      <c r="M114">
        <v>0</v>
      </c>
      <c r="N114">
        <v>2400</v>
      </c>
    </row>
    <row r="115" spans="1:14" x14ac:dyDescent="0.25">
      <c r="A115">
        <v>3.3537360000000001</v>
      </c>
      <c r="B115" s="1">
        <f>DATE(2010,5,4) + TIME(8,29,22)</f>
        <v>40302.353726851848</v>
      </c>
      <c r="C115">
        <v>80</v>
      </c>
      <c r="D115">
        <v>79.663307189999998</v>
      </c>
      <c r="E115">
        <v>50</v>
      </c>
      <c r="F115">
        <v>14.998956679999999</v>
      </c>
      <c r="G115">
        <v>1349.6273193</v>
      </c>
      <c r="H115">
        <v>1345.4742432</v>
      </c>
      <c r="I115">
        <v>1313.6085204999999</v>
      </c>
      <c r="J115">
        <v>1305.7133789</v>
      </c>
      <c r="K115">
        <v>2400</v>
      </c>
      <c r="L115">
        <v>0</v>
      </c>
      <c r="M115">
        <v>0</v>
      </c>
      <c r="N115">
        <v>2400</v>
      </c>
    </row>
    <row r="116" spans="1:14" x14ac:dyDescent="0.25">
      <c r="A116">
        <v>3.4351699999999998</v>
      </c>
      <c r="B116" s="1">
        <f>DATE(2010,5,4) + TIME(10,26,38)</f>
        <v>40302.435162037036</v>
      </c>
      <c r="C116">
        <v>80</v>
      </c>
      <c r="D116">
        <v>79.698509216000005</v>
      </c>
      <c r="E116">
        <v>50</v>
      </c>
      <c r="F116">
        <v>14.998961448999999</v>
      </c>
      <c r="G116">
        <v>1349.6079102000001</v>
      </c>
      <c r="H116">
        <v>1345.4521483999999</v>
      </c>
      <c r="I116">
        <v>1313.6087646000001</v>
      </c>
      <c r="J116">
        <v>1305.7136230000001</v>
      </c>
      <c r="K116">
        <v>2400</v>
      </c>
      <c r="L116">
        <v>0</v>
      </c>
      <c r="M116">
        <v>0</v>
      </c>
      <c r="N116">
        <v>2400</v>
      </c>
    </row>
    <row r="117" spans="1:14" x14ac:dyDescent="0.25">
      <c r="A117">
        <v>3.5169290000000002</v>
      </c>
      <c r="B117" s="1">
        <f>DATE(2010,5,4) + TIME(12,24,22)</f>
        <v>40302.516921296294</v>
      </c>
      <c r="C117">
        <v>80</v>
      </c>
      <c r="D117">
        <v>79.729042053000001</v>
      </c>
      <c r="E117">
        <v>50</v>
      </c>
      <c r="F117">
        <v>14.998966217</v>
      </c>
      <c r="G117">
        <v>1349.5882568</v>
      </c>
      <c r="H117">
        <v>1345.4298096</v>
      </c>
      <c r="I117">
        <v>1313.6091309000001</v>
      </c>
      <c r="J117">
        <v>1305.7138672000001</v>
      </c>
      <c r="K117">
        <v>2400</v>
      </c>
      <c r="L117">
        <v>0</v>
      </c>
      <c r="M117">
        <v>0</v>
      </c>
      <c r="N117">
        <v>2400</v>
      </c>
    </row>
    <row r="118" spans="1:14" x14ac:dyDescent="0.25">
      <c r="A118">
        <v>3.5991270000000002</v>
      </c>
      <c r="B118" s="1">
        <f>DATE(2010,5,4) + TIME(14,22,44)</f>
        <v>40302.599120370367</v>
      </c>
      <c r="C118">
        <v>80</v>
      </c>
      <c r="D118">
        <v>79.755554199000002</v>
      </c>
      <c r="E118">
        <v>50</v>
      </c>
      <c r="F118">
        <v>14.998970985</v>
      </c>
      <c r="G118">
        <v>1349.5683594</v>
      </c>
      <c r="H118">
        <v>1345.4073486</v>
      </c>
      <c r="I118">
        <v>1313.609375</v>
      </c>
      <c r="J118">
        <v>1305.7139893000001</v>
      </c>
      <c r="K118">
        <v>2400</v>
      </c>
      <c r="L118">
        <v>0</v>
      </c>
      <c r="M118">
        <v>0</v>
      </c>
      <c r="N118">
        <v>2400</v>
      </c>
    </row>
    <row r="119" spans="1:14" x14ac:dyDescent="0.25">
      <c r="A119">
        <v>3.6818960000000001</v>
      </c>
      <c r="B119" s="1">
        <f>DATE(2010,5,4) + TIME(16,21,55)</f>
        <v>40302.681886574072</v>
      </c>
      <c r="C119">
        <v>80</v>
      </c>
      <c r="D119">
        <v>79.778587341000005</v>
      </c>
      <c r="E119">
        <v>50</v>
      </c>
      <c r="F119">
        <v>14.998974799999999</v>
      </c>
      <c r="G119">
        <v>1349.5480957</v>
      </c>
      <c r="H119">
        <v>1345.3848877</v>
      </c>
      <c r="I119">
        <v>1313.6096190999999</v>
      </c>
      <c r="J119">
        <v>1305.7142334</v>
      </c>
      <c r="K119">
        <v>2400</v>
      </c>
      <c r="L119">
        <v>0</v>
      </c>
      <c r="M119">
        <v>0</v>
      </c>
      <c r="N119">
        <v>2400</v>
      </c>
    </row>
    <row r="120" spans="1:14" x14ac:dyDescent="0.25">
      <c r="A120">
        <v>3.7653650000000001</v>
      </c>
      <c r="B120" s="1">
        <f>DATE(2010,5,4) + TIME(18,22,7)</f>
        <v>40302.7653587963</v>
      </c>
      <c r="C120">
        <v>80</v>
      </c>
      <c r="D120">
        <v>79.798622131000002</v>
      </c>
      <c r="E120">
        <v>50</v>
      </c>
      <c r="F120">
        <v>14.998979567999999</v>
      </c>
      <c r="G120">
        <v>1349.5275879000001</v>
      </c>
      <c r="H120">
        <v>1345.3623047000001</v>
      </c>
      <c r="I120">
        <v>1313.6099853999999</v>
      </c>
      <c r="J120">
        <v>1305.7144774999999</v>
      </c>
      <c r="K120">
        <v>2400</v>
      </c>
      <c r="L120">
        <v>0</v>
      </c>
      <c r="M120">
        <v>0</v>
      </c>
      <c r="N120">
        <v>2400</v>
      </c>
    </row>
    <row r="121" spans="1:14" x14ac:dyDescent="0.25">
      <c r="A121">
        <v>3.8496540000000001</v>
      </c>
      <c r="B121" s="1">
        <f>DATE(2010,5,4) + TIME(20,23,30)</f>
        <v>40302.849652777775</v>
      </c>
      <c r="C121">
        <v>80</v>
      </c>
      <c r="D121">
        <v>79.816047667999996</v>
      </c>
      <c r="E121">
        <v>50</v>
      </c>
      <c r="F121">
        <v>14.998984337</v>
      </c>
      <c r="G121">
        <v>1349.5068358999999</v>
      </c>
      <c r="H121">
        <v>1345.3397216999999</v>
      </c>
      <c r="I121">
        <v>1313.6102295000001</v>
      </c>
      <c r="J121">
        <v>1305.7147216999999</v>
      </c>
      <c r="K121">
        <v>2400</v>
      </c>
      <c r="L121">
        <v>0</v>
      </c>
      <c r="M121">
        <v>0</v>
      </c>
      <c r="N121">
        <v>2400</v>
      </c>
    </row>
    <row r="122" spans="1:14" x14ac:dyDescent="0.25">
      <c r="A122">
        <v>3.9348900000000002</v>
      </c>
      <c r="B122" s="1">
        <f>DATE(2010,5,4) + TIME(22,26,14)</f>
        <v>40302.934884259259</v>
      </c>
      <c r="C122">
        <v>80</v>
      </c>
      <c r="D122">
        <v>79.831214904999996</v>
      </c>
      <c r="E122">
        <v>50</v>
      </c>
      <c r="F122">
        <v>14.998988152000001</v>
      </c>
      <c r="G122">
        <v>1349.4859618999999</v>
      </c>
      <c r="H122">
        <v>1345.3168945</v>
      </c>
      <c r="I122">
        <v>1313.6105957</v>
      </c>
      <c r="J122">
        <v>1305.7149658000001</v>
      </c>
      <c r="K122">
        <v>2400</v>
      </c>
      <c r="L122">
        <v>0</v>
      </c>
      <c r="M122">
        <v>0</v>
      </c>
      <c r="N122">
        <v>2400</v>
      </c>
    </row>
    <row r="123" spans="1:14" x14ac:dyDescent="0.25">
      <c r="A123">
        <v>4.0212000000000003</v>
      </c>
      <c r="B123" s="1">
        <f>DATE(2010,5,5) + TIME(0,30,31)</f>
        <v>40303.021192129629</v>
      </c>
      <c r="C123">
        <v>80</v>
      </c>
      <c r="D123">
        <v>79.844421386999997</v>
      </c>
      <c r="E123">
        <v>50</v>
      </c>
      <c r="F123">
        <v>14.998992919999999</v>
      </c>
      <c r="G123">
        <v>1349.4647216999999</v>
      </c>
      <c r="H123">
        <v>1345.2940673999999</v>
      </c>
      <c r="I123">
        <v>1313.6108397999999</v>
      </c>
      <c r="J123">
        <v>1305.7152100000001</v>
      </c>
      <c r="K123">
        <v>2400</v>
      </c>
      <c r="L123">
        <v>0</v>
      </c>
      <c r="M123">
        <v>0</v>
      </c>
      <c r="N123">
        <v>2400</v>
      </c>
    </row>
    <row r="124" spans="1:14" x14ac:dyDescent="0.25">
      <c r="A124">
        <v>4.1087160000000003</v>
      </c>
      <c r="B124" s="1">
        <f>DATE(2010,5,5) + TIME(2,36,33)</f>
        <v>40303.108715277776</v>
      </c>
      <c r="C124">
        <v>80</v>
      </c>
      <c r="D124">
        <v>79.855918884000005</v>
      </c>
      <c r="E124">
        <v>50</v>
      </c>
      <c r="F124">
        <v>14.998996735</v>
      </c>
      <c r="G124">
        <v>1349.4433594</v>
      </c>
      <c r="H124">
        <v>1345.2711182</v>
      </c>
      <c r="I124">
        <v>1313.6112060999999</v>
      </c>
      <c r="J124">
        <v>1305.7154541</v>
      </c>
      <c r="K124">
        <v>2400</v>
      </c>
      <c r="L124">
        <v>0</v>
      </c>
      <c r="M124">
        <v>0</v>
      </c>
      <c r="N124">
        <v>2400</v>
      </c>
    </row>
    <row r="125" spans="1:14" x14ac:dyDescent="0.25">
      <c r="A125">
        <v>4.1975749999999996</v>
      </c>
      <c r="B125" s="1">
        <f>DATE(2010,5,5) + TIME(4,44,30)</f>
        <v>40303.197569444441</v>
      </c>
      <c r="C125">
        <v>80</v>
      </c>
      <c r="D125">
        <v>79.865921021000005</v>
      </c>
      <c r="E125">
        <v>50</v>
      </c>
      <c r="F125">
        <v>14.999001503000001</v>
      </c>
      <c r="G125">
        <v>1349.4217529</v>
      </c>
      <c r="H125">
        <v>1345.2481689000001</v>
      </c>
      <c r="I125">
        <v>1313.6114502</v>
      </c>
      <c r="J125">
        <v>1305.7156981999999</v>
      </c>
      <c r="K125">
        <v>2400</v>
      </c>
      <c r="L125">
        <v>0</v>
      </c>
      <c r="M125">
        <v>0</v>
      </c>
      <c r="N125">
        <v>2400</v>
      </c>
    </row>
    <row r="126" spans="1:14" x14ac:dyDescent="0.25">
      <c r="A126">
        <v>4.2879199999999997</v>
      </c>
      <c r="B126" s="1">
        <f>DATE(2010,5,5) + TIME(6,54,36)</f>
        <v>40303.287916666668</v>
      </c>
      <c r="C126">
        <v>80</v>
      </c>
      <c r="D126">
        <v>79.874633789000001</v>
      </c>
      <c r="E126">
        <v>50</v>
      </c>
      <c r="F126">
        <v>14.999005318</v>
      </c>
      <c r="G126">
        <v>1349.3997803</v>
      </c>
      <c r="H126">
        <v>1345.2249756000001</v>
      </c>
      <c r="I126">
        <v>1313.6116943</v>
      </c>
      <c r="J126">
        <v>1305.7159423999999</v>
      </c>
      <c r="K126">
        <v>2400</v>
      </c>
      <c r="L126">
        <v>0</v>
      </c>
      <c r="M126">
        <v>0</v>
      </c>
      <c r="N126">
        <v>2400</v>
      </c>
    </row>
    <row r="127" spans="1:14" x14ac:dyDescent="0.25">
      <c r="A127">
        <v>4.3799049999999999</v>
      </c>
      <c r="B127" s="1">
        <f>DATE(2010,5,5) + TIME(9,7,3)</f>
        <v>40303.379895833335</v>
      </c>
      <c r="C127">
        <v>80</v>
      </c>
      <c r="D127">
        <v>79.882209778000004</v>
      </c>
      <c r="E127">
        <v>50</v>
      </c>
      <c r="F127">
        <v>14.999009131999999</v>
      </c>
      <c r="G127">
        <v>1349.3776855000001</v>
      </c>
      <c r="H127">
        <v>1345.2017822</v>
      </c>
      <c r="I127">
        <v>1313.6120605000001</v>
      </c>
      <c r="J127">
        <v>1305.7161865</v>
      </c>
      <c r="K127">
        <v>2400</v>
      </c>
      <c r="L127">
        <v>0</v>
      </c>
      <c r="M127">
        <v>0</v>
      </c>
      <c r="N127">
        <v>2400</v>
      </c>
    </row>
    <row r="128" spans="1:14" x14ac:dyDescent="0.25">
      <c r="A128">
        <v>4.4737169999999997</v>
      </c>
      <c r="B128" s="1">
        <f>DATE(2010,5,5) + TIME(11,22,9)</f>
        <v>40303.473715277774</v>
      </c>
      <c r="C128">
        <v>80</v>
      </c>
      <c r="D128">
        <v>79.888809203999998</v>
      </c>
      <c r="E128">
        <v>50</v>
      </c>
      <c r="F128">
        <v>14.999013901</v>
      </c>
      <c r="G128">
        <v>1349.3553466999999</v>
      </c>
      <c r="H128">
        <v>1345.1783447</v>
      </c>
      <c r="I128">
        <v>1313.6123047000001</v>
      </c>
      <c r="J128">
        <v>1305.7164307</v>
      </c>
      <c r="K128">
        <v>2400</v>
      </c>
      <c r="L128">
        <v>0</v>
      </c>
      <c r="M128">
        <v>0</v>
      </c>
      <c r="N128">
        <v>2400</v>
      </c>
    </row>
    <row r="129" spans="1:14" x14ac:dyDescent="0.25">
      <c r="A129">
        <v>4.5695230000000002</v>
      </c>
      <c r="B129" s="1">
        <f>DATE(2010,5,5) + TIME(13,40,6)</f>
        <v>40303.569513888891</v>
      </c>
      <c r="C129">
        <v>80</v>
      </c>
      <c r="D129">
        <v>79.894546508999994</v>
      </c>
      <c r="E129">
        <v>50</v>
      </c>
      <c r="F129">
        <v>14.999017715000001</v>
      </c>
      <c r="G129">
        <v>1349.3327637</v>
      </c>
      <c r="H129">
        <v>1345.1549072</v>
      </c>
      <c r="I129">
        <v>1313.6126709</v>
      </c>
      <c r="J129">
        <v>1305.7166748</v>
      </c>
      <c r="K129">
        <v>2400</v>
      </c>
      <c r="L129">
        <v>0</v>
      </c>
      <c r="M129">
        <v>0</v>
      </c>
      <c r="N129">
        <v>2400</v>
      </c>
    </row>
    <row r="130" spans="1:14" x14ac:dyDescent="0.25">
      <c r="A130">
        <v>4.667497</v>
      </c>
      <c r="B130" s="1">
        <f>DATE(2010,5,5) + TIME(16,1,11)</f>
        <v>40303.667488425926</v>
      </c>
      <c r="C130">
        <v>80</v>
      </c>
      <c r="D130">
        <v>79.899536132999998</v>
      </c>
      <c r="E130">
        <v>50</v>
      </c>
      <c r="F130">
        <v>14.999022483999999</v>
      </c>
      <c r="G130">
        <v>1349.3098144999999</v>
      </c>
      <c r="H130">
        <v>1345.1311035000001</v>
      </c>
      <c r="I130">
        <v>1313.6130370999999</v>
      </c>
      <c r="J130">
        <v>1305.7169189000001</v>
      </c>
      <c r="K130">
        <v>2400</v>
      </c>
      <c r="L130">
        <v>0</v>
      </c>
      <c r="M130">
        <v>0</v>
      </c>
      <c r="N130">
        <v>2400</v>
      </c>
    </row>
    <row r="131" spans="1:14" x14ac:dyDescent="0.25">
      <c r="A131">
        <v>4.7678430000000001</v>
      </c>
      <c r="B131" s="1">
        <f>DATE(2010,5,5) + TIME(18,25,41)</f>
        <v>40303.767835648148</v>
      </c>
      <c r="C131">
        <v>80</v>
      </c>
      <c r="D131">
        <v>79.903877257999994</v>
      </c>
      <c r="E131">
        <v>50</v>
      </c>
      <c r="F131">
        <v>14.999026299000001</v>
      </c>
      <c r="G131">
        <v>1349.2866211</v>
      </c>
      <c r="H131">
        <v>1345.1071777</v>
      </c>
      <c r="I131">
        <v>1313.6132812000001</v>
      </c>
      <c r="J131">
        <v>1305.7171631000001</v>
      </c>
      <c r="K131">
        <v>2400</v>
      </c>
      <c r="L131">
        <v>0</v>
      </c>
      <c r="M131">
        <v>0</v>
      </c>
      <c r="N131">
        <v>2400</v>
      </c>
    </row>
    <row r="132" spans="1:14" x14ac:dyDescent="0.25">
      <c r="A132">
        <v>4.8707839999999996</v>
      </c>
      <c r="B132" s="1">
        <f>DATE(2010,5,5) + TIME(20,53,55)</f>
        <v>40303.870775462965</v>
      </c>
      <c r="C132">
        <v>80</v>
      </c>
      <c r="D132">
        <v>79.907646178999997</v>
      </c>
      <c r="E132">
        <v>50</v>
      </c>
      <c r="F132">
        <v>14.999031067000001</v>
      </c>
      <c r="G132">
        <v>1349.2630615</v>
      </c>
      <c r="H132">
        <v>1345.0831298999999</v>
      </c>
      <c r="I132">
        <v>1313.6136475000001</v>
      </c>
      <c r="J132">
        <v>1305.7175293</v>
      </c>
      <c r="K132">
        <v>2400</v>
      </c>
      <c r="L132">
        <v>0</v>
      </c>
      <c r="M132">
        <v>0</v>
      </c>
      <c r="N132">
        <v>2400</v>
      </c>
    </row>
    <row r="133" spans="1:14" x14ac:dyDescent="0.25">
      <c r="A133">
        <v>4.9765649999999999</v>
      </c>
      <c r="B133" s="1">
        <f>DATE(2010,5,5) + TIME(23,26,15)</f>
        <v>40303.9765625</v>
      </c>
      <c r="C133">
        <v>80</v>
      </c>
      <c r="D133">
        <v>79.910919188999998</v>
      </c>
      <c r="E133">
        <v>50</v>
      </c>
      <c r="F133">
        <v>14.999034882</v>
      </c>
      <c r="G133">
        <v>1349.2391356999999</v>
      </c>
      <c r="H133">
        <v>1345.0587158000001</v>
      </c>
      <c r="I133">
        <v>1313.6140137</v>
      </c>
      <c r="J133">
        <v>1305.7177733999999</v>
      </c>
      <c r="K133">
        <v>2400</v>
      </c>
      <c r="L133">
        <v>0</v>
      </c>
      <c r="M133">
        <v>0</v>
      </c>
      <c r="N133">
        <v>2400</v>
      </c>
    </row>
    <row r="134" spans="1:14" x14ac:dyDescent="0.25">
      <c r="A134">
        <v>5.0854559999999998</v>
      </c>
      <c r="B134" s="1">
        <f>DATE(2010,5,6) + TIME(2,3,3)</f>
        <v>40304.085451388892</v>
      </c>
      <c r="C134">
        <v>80</v>
      </c>
      <c r="D134">
        <v>79.913757324000002</v>
      </c>
      <c r="E134">
        <v>50</v>
      </c>
      <c r="F134">
        <v>14.99903965</v>
      </c>
      <c r="G134">
        <v>1349.2149658000001</v>
      </c>
      <c r="H134">
        <v>1345.0341797000001</v>
      </c>
      <c r="I134">
        <v>1313.6142577999999</v>
      </c>
      <c r="J134">
        <v>1305.7180175999999</v>
      </c>
      <c r="K134">
        <v>2400</v>
      </c>
      <c r="L134">
        <v>0</v>
      </c>
      <c r="M134">
        <v>0</v>
      </c>
      <c r="N134">
        <v>2400</v>
      </c>
    </row>
    <row r="135" spans="1:14" x14ac:dyDescent="0.25">
      <c r="A135">
        <v>5.1970660000000004</v>
      </c>
      <c r="B135" s="1">
        <f>DATE(2010,5,6) + TIME(4,43,46)</f>
        <v>40304.197060185186</v>
      </c>
      <c r="C135">
        <v>80</v>
      </c>
      <c r="D135">
        <v>79.916213988999999</v>
      </c>
      <c r="E135">
        <v>50</v>
      </c>
      <c r="F135">
        <v>14.999043465</v>
      </c>
      <c r="G135">
        <v>1349.1903076000001</v>
      </c>
      <c r="H135">
        <v>1345.0091553</v>
      </c>
      <c r="I135">
        <v>1313.614624</v>
      </c>
      <c r="J135">
        <v>1305.7183838000001</v>
      </c>
      <c r="K135">
        <v>2400</v>
      </c>
      <c r="L135">
        <v>0</v>
      </c>
      <c r="M135">
        <v>0</v>
      </c>
      <c r="N135">
        <v>2400</v>
      </c>
    </row>
    <row r="136" spans="1:14" x14ac:dyDescent="0.25">
      <c r="A136">
        <v>5.3113089999999996</v>
      </c>
      <c r="B136" s="1">
        <f>DATE(2010,5,6) + TIME(7,28,17)</f>
        <v>40304.311307870368</v>
      </c>
      <c r="C136">
        <v>80</v>
      </c>
      <c r="D136">
        <v>79.918334960999999</v>
      </c>
      <c r="E136">
        <v>50</v>
      </c>
      <c r="F136">
        <v>14.999048233</v>
      </c>
      <c r="G136">
        <v>1349.1652832</v>
      </c>
      <c r="H136">
        <v>1344.9841309000001</v>
      </c>
      <c r="I136">
        <v>1313.6149902</v>
      </c>
      <c r="J136">
        <v>1305.7186279</v>
      </c>
      <c r="K136">
        <v>2400</v>
      </c>
      <c r="L136">
        <v>0</v>
      </c>
      <c r="M136">
        <v>0</v>
      </c>
      <c r="N136">
        <v>2400</v>
      </c>
    </row>
    <row r="137" spans="1:14" x14ac:dyDescent="0.25">
      <c r="A137">
        <v>5.4284359999999996</v>
      </c>
      <c r="B137" s="1">
        <f>DATE(2010,5,6) + TIME(10,16,56)</f>
        <v>40304.428425925929</v>
      </c>
      <c r="C137">
        <v>80</v>
      </c>
      <c r="D137">
        <v>79.920166015999996</v>
      </c>
      <c r="E137">
        <v>50</v>
      </c>
      <c r="F137">
        <v>14.999052047999999</v>
      </c>
      <c r="G137">
        <v>1349.1401367000001</v>
      </c>
      <c r="H137">
        <v>1344.9588623</v>
      </c>
      <c r="I137">
        <v>1313.6153564000001</v>
      </c>
      <c r="J137">
        <v>1305.7188721</v>
      </c>
      <c r="K137">
        <v>2400</v>
      </c>
      <c r="L137">
        <v>0</v>
      </c>
      <c r="M137">
        <v>0</v>
      </c>
      <c r="N137">
        <v>2400</v>
      </c>
    </row>
    <row r="138" spans="1:14" x14ac:dyDescent="0.25">
      <c r="A138">
        <v>5.5487149999999996</v>
      </c>
      <c r="B138" s="1">
        <f>DATE(2010,5,6) + TIME(13,10,8)</f>
        <v>40304.548703703702</v>
      </c>
      <c r="C138">
        <v>80</v>
      </c>
      <c r="D138">
        <v>79.921745299999998</v>
      </c>
      <c r="E138">
        <v>50</v>
      </c>
      <c r="F138">
        <v>14.999056816</v>
      </c>
      <c r="G138">
        <v>1349.1147461</v>
      </c>
      <c r="H138">
        <v>1344.9334716999999</v>
      </c>
      <c r="I138">
        <v>1313.6157227000001</v>
      </c>
      <c r="J138">
        <v>1305.7192382999999</v>
      </c>
      <c r="K138">
        <v>2400</v>
      </c>
      <c r="L138">
        <v>0</v>
      </c>
      <c r="M138">
        <v>0</v>
      </c>
      <c r="N138">
        <v>2400</v>
      </c>
    </row>
    <row r="139" spans="1:14" x14ac:dyDescent="0.25">
      <c r="A139">
        <v>5.6724420000000002</v>
      </c>
      <c r="B139" s="1">
        <f>DATE(2010,5,6) + TIME(16,8,19)</f>
        <v>40304.672442129631</v>
      </c>
      <c r="C139">
        <v>80</v>
      </c>
      <c r="D139">
        <v>79.923110961999996</v>
      </c>
      <c r="E139">
        <v>50</v>
      </c>
      <c r="F139">
        <v>14.999060631000001</v>
      </c>
      <c r="G139">
        <v>1349.0889893000001</v>
      </c>
      <c r="H139">
        <v>1344.9078368999999</v>
      </c>
      <c r="I139">
        <v>1313.6160889</v>
      </c>
      <c r="J139">
        <v>1305.7196045000001</v>
      </c>
      <c r="K139">
        <v>2400</v>
      </c>
      <c r="L139">
        <v>0</v>
      </c>
      <c r="M139">
        <v>0</v>
      </c>
      <c r="N139">
        <v>2400</v>
      </c>
    </row>
    <row r="140" spans="1:14" x14ac:dyDescent="0.25">
      <c r="A140">
        <v>5.7343310000000001</v>
      </c>
      <c r="B140" s="1">
        <f>DATE(2010,5,6) + TIME(17,37,26)</f>
        <v>40304.7343287037</v>
      </c>
      <c r="C140">
        <v>80</v>
      </c>
      <c r="D140">
        <v>79.923736571999996</v>
      </c>
      <c r="E140">
        <v>50</v>
      </c>
      <c r="F140">
        <v>14.999063491999999</v>
      </c>
      <c r="G140">
        <v>1349.0628661999999</v>
      </c>
      <c r="H140">
        <v>1344.8814697</v>
      </c>
      <c r="I140">
        <v>1313.6164550999999</v>
      </c>
      <c r="J140">
        <v>1305.7198486</v>
      </c>
      <c r="K140">
        <v>2400</v>
      </c>
      <c r="L140">
        <v>0</v>
      </c>
      <c r="M140">
        <v>0</v>
      </c>
      <c r="N140">
        <v>2400</v>
      </c>
    </row>
    <row r="141" spans="1:14" x14ac:dyDescent="0.25">
      <c r="A141">
        <v>5.7962189999999998</v>
      </c>
      <c r="B141" s="1">
        <f>DATE(2010,5,6) + TIME(19,6,33)</f>
        <v>40304.796215277776</v>
      </c>
      <c r="C141">
        <v>80</v>
      </c>
      <c r="D141">
        <v>79.924308776999993</v>
      </c>
      <c r="E141">
        <v>50</v>
      </c>
      <c r="F141">
        <v>14.999065398999999</v>
      </c>
      <c r="G141">
        <v>1349.0499268000001</v>
      </c>
      <c r="H141">
        <v>1344.8686522999999</v>
      </c>
      <c r="I141">
        <v>1313.6165771000001</v>
      </c>
      <c r="J141">
        <v>1305.7199707</v>
      </c>
      <c r="K141">
        <v>2400</v>
      </c>
      <c r="L141">
        <v>0</v>
      </c>
      <c r="M141">
        <v>0</v>
      </c>
      <c r="N141">
        <v>2400</v>
      </c>
    </row>
    <row r="142" spans="1:14" x14ac:dyDescent="0.25">
      <c r="A142">
        <v>5.8581070000000004</v>
      </c>
      <c r="B142" s="1">
        <f>DATE(2010,5,6) + TIME(20,35,40)</f>
        <v>40304.858101851853</v>
      </c>
      <c r="C142">
        <v>80</v>
      </c>
      <c r="D142">
        <v>79.924827575999998</v>
      </c>
      <c r="E142">
        <v>50</v>
      </c>
      <c r="F142">
        <v>14.99906826</v>
      </c>
      <c r="G142">
        <v>1349.0371094</v>
      </c>
      <c r="H142">
        <v>1344.8560791</v>
      </c>
      <c r="I142">
        <v>1313.6168213000001</v>
      </c>
      <c r="J142">
        <v>1305.7200928</v>
      </c>
      <c r="K142">
        <v>2400</v>
      </c>
      <c r="L142">
        <v>0</v>
      </c>
      <c r="M142">
        <v>0</v>
      </c>
      <c r="N142">
        <v>2400</v>
      </c>
    </row>
    <row r="143" spans="1:14" x14ac:dyDescent="0.25">
      <c r="A143">
        <v>5.9199950000000001</v>
      </c>
      <c r="B143" s="1">
        <f>DATE(2010,5,6) + TIME(22,4,47)</f>
        <v>40304.919988425929</v>
      </c>
      <c r="C143">
        <v>80</v>
      </c>
      <c r="D143">
        <v>79.925308228000006</v>
      </c>
      <c r="E143">
        <v>50</v>
      </c>
      <c r="F143">
        <v>14.999070167999999</v>
      </c>
      <c r="G143">
        <v>1349.0244141000001</v>
      </c>
      <c r="H143">
        <v>1344.8436279</v>
      </c>
      <c r="I143">
        <v>1313.6170654</v>
      </c>
      <c r="J143">
        <v>1305.7203368999999</v>
      </c>
      <c r="K143">
        <v>2400</v>
      </c>
      <c r="L143">
        <v>0</v>
      </c>
      <c r="M143">
        <v>0</v>
      </c>
      <c r="N143">
        <v>2400</v>
      </c>
    </row>
    <row r="144" spans="1:14" x14ac:dyDescent="0.25">
      <c r="A144">
        <v>6.0437719999999997</v>
      </c>
      <c r="B144" s="1">
        <f>DATE(2010,5,7) + TIME(1,3,1)</f>
        <v>40305.043761574074</v>
      </c>
      <c r="C144">
        <v>80</v>
      </c>
      <c r="D144">
        <v>79.926132202000005</v>
      </c>
      <c r="E144">
        <v>50</v>
      </c>
      <c r="F144">
        <v>14.999073982000001</v>
      </c>
      <c r="G144">
        <v>1349.0120850000001</v>
      </c>
      <c r="H144">
        <v>1344.8317870999999</v>
      </c>
      <c r="I144">
        <v>1313.6173096</v>
      </c>
      <c r="J144">
        <v>1305.7204589999999</v>
      </c>
      <c r="K144">
        <v>2400</v>
      </c>
      <c r="L144">
        <v>0</v>
      </c>
      <c r="M144">
        <v>0</v>
      </c>
      <c r="N144">
        <v>2400</v>
      </c>
    </row>
    <row r="145" spans="1:14" x14ac:dyDescent="0.25">
      <c r="A145">
        <v>6.1676419999999998</v>
      </c>
      <c r="B145" s="1">
        <f>DATE(2010,5,7) + TIME(4,1,24)</f>
        <v>40305.167638888888</v>
      </c>
      <c r="C145">
        <v>80</v>
      </c>
      <c r="D145">
        <v>79.926834106000001</v>
      </c>
      <c r="E145">
        <v>50</v>
      </c>
      <c r="F145">
        <v>14.999078751000001</v>
      </c>
      <c r="G145">
        <v>1348.9873047000001</v>
      </c>
      <c r="H145">
        <v>1344.8074951000001</v>
      </c>
      <c r="I145">
        <v>1313.6176757999999</v>
      </c>
      <c r="J145">
        <v>1305.7208252</v>
      </c>
      <c r="K145">
        <v>2400</v>
      </c>
      <c r="L145">
        <v>0</v>
      </c>
      <c r="M145">
        <v>0</v>
      </c>
      <c r="N145">
        <v>2400</v>
      </c>
    </row>
    <row r="146" spans="1:14" x14ac:dyDescent="0.25">
      <c r="A146">
        <v>6.2919580000000002</v>
      </c>
      <c r="B146" s="1">
        <f>DATE(2010,5,7) + TIME(7,0,25)</f>
        <v>40305.291956018518</v>
      </c>
      <c r="C146">
        <v>80</v>
      </c>
      <c r="D146">
        <v>79.927444457999997</v>
      </c>
      <c r="E146">
        <v>50</v>
      </c>
      <c r="F146">
        <v>14.999082565</v>
      </c>
      <c r="G146">
        <v>1348.9627685999999</v>
      </c>
      <c r="H146">
        <v>1344.7835693</v>
      </c>
      <c r="I146">
        <v>1313.6180420000001</v>
      </c>
      <c r="J146">
        <v>1305.7211914</v>
      </c>
      <c r="K146">
        <v>2400</v>
      </c>
      <c r="L146">
        <v>0</v>
      </c>
      <c r="M146">
        <v>0</v>
      </c>
      <c r="N146">
        <v>2400</v>
      </c>
    </row>
    <row r="147" spans="1:14" x14ac:dyDescent="0.25">
      <c r="A147">
        <v>6.4169369999999999</v>
      </c>
      <c r="B147" s="1">
        <f>DATE(2010,5,7) + TIME(10,0,23)</f>
        <v>40305.416932870372</v>
      </c>
      <c r="C147">
        <v>80</v>
      </c>
      <c r="D147">
        <v>79.927970885999997</v>
      </c>
      <c r="E147">
        <v>50</v>
      </c>
      <c r="F147">
        <v>14.99908638</v>
      </c>
      <c r="G147">
        <v>1348.9385986</v>
      </c>
      <c r="H147">
        <v>1344.7600098</v>
      </c>
      <c r="I147">
        <v>1313.6184082</v>
      </c>
      <c r="J147">
        <v>1305.7214355000001</v>
      </c>
      <c r="K147">
        <v>2400</v>
      </c>
      <c r="L147">
        <v>0</v>
      </c>
      <c r="M147">
        <v>0</v>
      </c>
      <c r="N147">
        <v>2400</v>
      </c>
    </row>
    <row r="148" spans="1:14" x14ac:dyDescent="0.25">
      <c r="A148">
        <v>6.5427730000000004</v>
      </c>
      <c r="B148" s="1">
        <f>DATE(2010,5,7) + TIME(13,1,35)</f>
        <v>40305.542766203704</v>
      </c>
      <c r="C148">
        <v>80</v>
      </c>
      <c r="D148">
        <v>79.928428650000001</v>
      </c>
      <c r="E148">
        <v>50</v>
      </c>
      <c r="F148">
        <v>14.999090195000001</v>
      </c>
      <c r="G148">
        <v>1348.9146728999999</v>
      </c>
      <c r="H148">
        <v>1344.7368164</v>
      </c>
      <c r="I148">
        <v>1313.6187743999999</v>
      </c>
      <c r="J148">
        <v>1305.7218018000001</v>
      </c>
      <c r="K148">
        <v>2400</v>
      </c>
      <c r="L148">
        <v>0</v>
      </c>
      <c r="M148">
        <v>0</v>
      </c>
      <c r="N148">
        <v>2400</v>
      </c>
    </row>
    <row r="149" spans="1:14" x14ac:dyDescent="0.25">
      <c r="A149">
        <v>6.6696590000000002</v>
      </c>
      <c r="B149" s="1">
        <f>DATE(2010,5,7) + TIME(16,4,18)</f>
        <v>40305.669652777775</v>
      </c>
      <c r="C149">
        <v>80</v>
      </c>
      <c r="D149">
        <v>79.928833007999998</v>
      </c>
      <c r="E149">
        <v>50</v>
      </c>
      <c r="F149">
        <v>14.999094009</v>
      </c>
      <c r="G149">
        <v>1348.8909911999999</v>
      </c>
      <c r="H149">
        <v>1344.7138672000001</v>
      </c>
      <c r="I149">
        <v>1313.6191406</v>
      </c>
      <c r="J149">
        <v>1305.722168</v>
      </c>
      <c r="K149">
        <v>2400</v>
      </c>
      <c r="L149">
        <v>0</v>
      </c>
      <c r="M149">
        <v>0</v>
      </c>
      <c r="N149">
        <v>2400</v>
      </c>
    </row>
    <row r="150" spans="1:14" x14ac:dyDescent="0.25">
      <c r="A150">
        <v>6.7977889999999999</v>
      </c>
      <c r="B150" s="1">
        <f>DATE(2010,5,7) + TIME(19,8,48)</f>
        <v>40305.797777777778</v>
      </c>
      <c r="C150">
        <v>80</v>
      </c>
      <c r="D150">
        <v>79.929191588999998</v>
      </c>
      <c r="E150">
        <v>50</v>
      </c>
      <c r="F150">
        <v>14.999098778</v>
      </c>
      <c r="G150">
        <v>1348.8674315999999</v>
      </c>
      <c r="H150">
        <v>1344.6911620999999</v>
      </c>
      <c r="I150">
        <v>1313.6195068</v>
      </c>
      <c r="J150">
        <v>1305.7224120999999</v>
      </c>
      <c r="K150">
        <v>2400</v>
      </c>
      <c r="L150">
        <v>0</v>
      </c>
      <c r="M150">
        <v>0</v>
      </c>
      <c r="N150">
        <v>2400</v>
      </c>
    </row>
    <row r="151" spans="1:14" x14ac:dyDescent="0.25">
      <c r="A151">
        <v>6.9273619999999996</v>
      </c>
      <c r="B151" s="1">
        <f>DATE(2010,5,7) + TIME(22,15,24)</f>
        <v>40305.927361111113</v>
      </c>
      <c r="C151">
        <v>80</v>
      </c>
      <c r="D151">
        <v>79.929504394999995</v>
      </c>
      <c r="E151">
        <v>50</v>
      </c>
      <c r="F151">
        <v>14.999102592</v>
      </c>
      <c r="G151">
        <v>1348.8441161999999</v>
      </c>
      <c r="H151">
        <v>1344.6687012</v>
      </c>
      <c r="I151">
        <v>1313.6199951000001</v>
      </c>
      <c r="J151">
        <v>1305.7227783000001</v>
      </c>
      <c r="K151">
        <v>2400</v>
      </c>
      <c r="L151">
        <v>0</v>
      </c>
      <c r="M151">
        <v>0</v>
      </c>
      <c r="N151">
        <v>2400</v>
      </c>
    </row>
    <row r="152" spans="1:14" x14ac:dyDescent="0.25">
      <c r="A152">
        <v>7.0585829999999996</v>
      </c>
      <c r="B152" s="1">
        <f>DATE(2010,5,8) + TIME(1,24,21)</f>
        <v>40306.058576388888</v>
      </c>
      <c r="C152">
        <v>80</v>
      </c>
      <c r="D152">
        <v>79.929779053000004</v>
      </c>
      <c r="E152">
        <v>50</v>
      </c>
      <c r="F152">
        <v>14.999106406999999</v>
      </c>
      <c r="G152">
        <v>1348.8208007999999</v>
      </c>
      <c r="H152">
        <v>1344.6464844</v>
      </c>
      <c r="I152">
        <v>1313.6203613</v>
      </c>
      <c r="J152">
        <v>1305.7231445</v>
      </c>
      <c r="K152">
        <v>2400</v>
      </c>
      <c r="L152">
        <v>0</v>
      </c>
      <c r="M152">
        <v>0</v>
      </c>
      <c r="N152">
        <v>2400</v>
      </c>
    </row>
    <row r="153" spans="1:14" x14ac:dyDescent="0.25">
      <c r="A153">
        <v>7.1916650000000004</v>
      </c>
      <c r="B153" s="1">
        <f>DATE(2010,5,8) + TIME(4,35,59)</f>
        <v>40306.191655092596</v>
      </c>
      <c r="C153">
        <v>80</v>
      </c>
      <c r="D153">
        <v>79.930030822999996</v>
      </c>
      <c r="E153">
        <v>50</v>
      </c>
      <c r="F153">
        <v>14.999110222000001</v>
      </c>
      <c r="G153">
        <v>1348.7976074000001</v>
      </c>
      <c r="H153">
        <v>1344.6242675999999</v>
      </c>
      <c r="I153">
        <v>1313.6207274999999</v>
      </c>
      <c r="J153">
        <v>1305.7233887</v>
      </c>
      <c r="K153">
        <v>2400</v>
      </c>
      <c r="L153">
        <v>0</v>
      </c>
      <c r="M153">
        <v>0</v>
      </c>
      <c r="N153">
        <v>2400</v>
      </c>
    </row>
    <row r="154" spans="1:14" x14ac:dyDescent="0.25">
      <c r="A154">
        <v>7.3268319999999996</v>
      </c>
      <c r="B154" s="1">
        <f>DATE(2010,5,8) + TIME(7,50,38)</f>
        <v>40306.326828703706</v>
      </c>
      <c r="C154">
        <v>80</v>
      </c>
      <c r="D154">
        <v>79.930252074999999</v>
      </c>
      <c r="E154">
        <v>50</v>
      </c>
      <c r="F154">
        <v>14.999114037</v>
      </c>
      <c r="G154">
        <v>1348.7744141000001</v>
      </c>
      <c r="H154">
        <v>1344.6022949000001</v>
      </c>
      <c r="I154">
        <v>1313.6210937999999</v>
      </c>
      <c r="J154">
        <v>1305.7237548999999</v>
      </c>
      <c r="K154">
        <v>2400</v>
      </c>
      <c r="L154">
        <v>0</v>
      </c>
      <c r="M154">
        <v>0</v>
      </c>
      <c r="N154">
        <v>2400</v>
      </c>
    </row>
    <row r="155" spans="1:14" x14ac:dyDescent="0.25">
      <c r="A155">
        <v>7.4643220000000001</v>
      </c>
      <c r="B155" s="1">
        <f>DATE(2010,5,8) + TIME(11,8,37)</f>
        <v>40306.464317129627</v>
      </c>
      <c r="C155">
        <v>80</v>
      </c>
      <c r="D155">
        <v>79.930442810000002</v>
      </c>
      <c r="E155">
        <v>50</v>
      </c>
      <c r="F155">
        <v>14.999117850999999</v>
      </c>
      <c r="G155">
        <v>1348.7513428</v>
      </c>
      <c r="H155">
        <v>1344.5803223</v>
      </c>
      <c r="I155">
        <v>1313.621582</v>
      </c>
      <c r="J155">
        <v>1305.7241211</v>
      </c>
      <c r="K155">
        <v>2400</v>
      </c>
      <c r="L155">
        <v>0</v>
      </c>
      <c r="M155">
        <v>0</v>
      </c>
      <c r="N155">
        <v>2400</v>
      </c>
    </row>
    <row r="156" spans="1:14" x14ac:dyDescent="0.25">
      <c r="A156">
        <v>7.604444</v>
      </c>
      <c r="B156" s="1">
        <f>DATE(2010,5,8) + TIME(14,30,23)</f>
        <v>40306.604432870372</v>
      </c>
      <c r="C156">
        <v>80</v>
      </c>
      <c r="D156">
        <v>79.930625915999997</v>
      </c>
      <c r="E156">
        <v>50</v>
      </c>
      <c r="F156">
        <v>14.999121666000001</v>
      </c>
      <c r="G156">
        <v>1348.7281493999999</v>
      </c>
      <c r="H156">
        <v>1344.5584716999999</v>
      </c>
      <c r="I156">
        <v>1313.6219481999999</v>
      </c>
      <c r="J156">
        <v>1305.7244873</v>
      </c>
      <c r="K156">
        <v>2400</v>
      </c>
      <c r="L156">
        <v>0</v>
      </c>
      <c r="M156">
        <v>0</v>
      </c>
      <c r="N156">
        <v>2400</v>
      </c>
    </row>
    <row r="157" spans="1:14" x14ac:dyDescent="0.25">
      <c r="A157">
        <v>7.7474100000000004</v>
      </c>
      <c r="B157" s="1">
        <f>DATE(2010,5,8) + TIME(17,56,16)</f>
        <v>40306.747407407405</v>
      </c>
      <c r="C157">
        <v>80</v>
      </c>
      <c r="D157">
        <v>79.930786132999998</v>
      </c>
      <c r="E157">
        <v>50</v>
      </c>
      <c r="F157">
        <v>14.999125481</v>
      </c>
      <c r="G157">
        <v>1348.7049560999999</v>
      </c>
      <c r="H157">
        <v>1344.5366211</v>
      </c>
      <c r="I157">
        <v>1313.6223144999999</v>
      </c>
      <c r="J157">
        <v>1305.7248535000001</v>
      </c>
      <c r="K157">
        <v>2400</v>
      </c>
      <c r="L157">
        <v>0</v>
      </c>
      <c r="M157">
        <v>0</v>
      </c>
      <c r="N157">
        <v>2400</v>
      </c>
    </row>
    <row r="158" spans="1:14" x14ac:dyDescent="0.25">
      <c r="A158">
        <v>7.8935139999999997</v>
      </c>
      <c r="B158" s="1">
        <f>DATE(2010,5,8) + TIME(21,26,39)</f>
        <v>40306.893506944441</v>
      </c>
      <c r="C158">
        <v>80</v>
      </c>
      <c r="D158">
        <v>79.930923461999996</v>
      </c>
      <c r="E158">
        <v>50</v>
      </c>
      <c r="F158">
        <v>14.999129294999999</v>
      </c>
      <c r="G158">
        <v>1348.6816406</v>
      </c>
      <c r="H158">
        <v>1344.5147704999999</v>
      </c>
      <c r="I158">
        <v>1313.6228027</v>
      </c>
      <c r="J158">
        <v>1305.7252197</v>
      </c>
      <c r="K158">
        <v>2400</v>
      </c>
      <c r="L158">
        <v>0</v>
      </c>
      <c r="M158">
        <v>0</v>
      </c>
      <c r="N158">
        <v>2400</v>
      </c>
    </row>
    <row r="159" spans="1:14" x14ac:dyDescent="0.25">
      <c r="A159">
        <v>8.0430740000000007</v>
      </c>
      <c r="B159" s="1">
        <f>DATE(2010,5,9) + TIME(1,2,1)</f>
        <v>40307.043067129627</v>
      </c>
      <c r="C159">
        <v>80</v>
      </c>
      <c r="D159">
        <v>79.931053161999998</v>
      </c>
      <c r="E159">
        <v>50</v>
      </c>
      <c r="F159">
        <v>14.999133110000001</v>
      </c>
      <c r="G159">
        <v>1348.6582031</v>
      </c>
      <c r="H159">
        <v>1344.4927978999999</v>
      </c>
      <c r="I159">
        <v>1313.6232910000001</v>
      </c>
      <c r="J159">
        <v>1305.7255858999999</v>
      </c>
      <c r="K159">
        <v>2400</v>
      </c>
      <c r="L159">
        <v>0</v>
      </c>
      <c r="M159">
        <v>0</v>
      </c>
      <c r="N159">
        <v>2400</v>
      </c>
    </row>
    <row r="160" spans="1:14" x14ac:dyDescent="0.25">
      <c r="A160">
        <v>8.1964330000000007</v>
      </c>
      <c r="B160" s="1">
        <f>DATE(2010,5,9) + TIME(4,42,51)</f>
        <v>40307.196423611109</v>
      </c>
      <c r="C160">
        <v>80</v>
      </c>
      <c r="D160">
        <v>79.931167603000006</v>
      </c>
      <c r="E160">
        <v>50</v>
      </c>
      <c r="F160">
        <v>14.999137878000001</v>
      </c>
      <c r="G160">
        <v>1348.6346435999999</v>
      </c>
      <c r="H160">
        <v>1344.4708252</v>
      </c>
      <c r="I160">
        <v>1313.6236572</v>
      </c>
      <c r="J160">
        <v>1305.7259521000001</v>
      </c>
      <c r="K160">
        <v>2400</v>
      </c>
      <c r="L160">
        <v>0</v>
      </c>
      <c r="M160">
        <v>0</v>
      </c>
      <c r="N160">
        <v>2400</v>
      </c>
    </row>
    <row r="161" spans="1:14" x14ac:dyDescent="0.25">
      <c r="A161">
        <v>8.3534769999999998</v>
      </c>
      <c r="B161" s="1">
        <f>DATE(2010,5,9) + TIME(8,29,0)</f>
        <v>40307.353472222225</v>
      </c>
      <c r="C161">
        <v>80</v>
      </c>
      <c r="D161">
        <v>79.931274414000001</v>
      </c>
      <c r="E161">
        <v>50</v>
      </c>
      <c r="F161">
        <v>14.999141693</v>
      </c>
      <c r="G161">
        <v>1348.6108397999999</v>
      </c>
      <c r="H161">
        <v>1344.4486084</v>
      </c>
      <c r="I161">
        <v>1313.6241454999999</v>
      </c>
      <c r="J161">
        <v>1305.7263184000001</v>
      </c>
      <c r="K161">
        <v>2400</v>
      </c>
      <c r="L161">
        <v>0</v>
      </c>
      <c r="M161">
        <v>0</v>
      </c>
      <c r="N161">
        <v>2400</v>
      </c>
    </row>
    <row r="162" spans="1:14" x14ac:dyDescent="0.25">
      <c r="A162">
        <v>8.5139680000000002</v>
      </c>
      <c r="B162" s="1">
        <f>DATE(2010,5,9) + TIME(12,20,6)</f>
        <v>40307.513958333337</v>
      </c>
      <c r="C162">
        <v>80</v>
      </c>
      <c r="D162">
        <v>79.931365967000005</v>
      </c>
      <c r="E162">
        <v>50</v>
      </c>
      <c r="F162">
        <v>14.999145508</v>
      </c>
      <c r="G162">
        <v>1348.5869141000001</v>
      </c>
      <c r="H162">
        <v>1344.4263916</v>
      </c>
      <c r="I162">
        <v>1313.6246338000001</v>
      </c>
      <c r="J162">
        <v>1305.7266846</v>
      </c>
      <c r="K162">
        <v>2400</v>
      </c>
      <c r="L162">
        <v>0</v>
      </c>
      <c r="M162">
        <v>0</v>
      </c>
      <c r="N162">
        <v>2400</v>
      </c>
    </row>
    <row r="163" spans="1:14" x14ac:dyDescent="0.25">
      <c r="A163">
        <v>8.6773779999999991</v>
      </c>
      <c r="B163" s="1">
        <f>DATE(2010,5,9) + TIME(16,15,25)</f>
        <v>40307.677372685182</v>
      </c>
      <c r="C163">
        <v>80</v>
      </c>
      <c r="D163">
        <v>79.931442261000001</v>
      </c>
      <c r="E163">
        <v>50</v>
      </c>
      <c r="F163">
        <v>14.999149322999999</v>
      </c>
      <c r="G163">
        <v>1348.5628661999999</v>
      </c>
      <c r="H163">
        <v>1344.4040527</v>
      </c>
      <c r="I163">
        <v>1313.6251221</v>
      </c>
      <c r="J163">
        <v>1305.7271728999999</v>
      </c>
      <c r="K163">
        <v>2400</v>
      </c>
      <c r="L163">
        <v>0</v>
      </c>
      <c r="M163">
        <v>0</v>
      </c>
      <c r="N163">
        <v>2400</v>
      </c>
    </row>
    <row r="164" spans="1:14" x14ac:dyDescent="0.25">
      <c r="A164">
        <v>8.7599839999999993</v>
      </c>
      <c r="B164" s="1">
        <f>DATE(2010,5,9) + TIME(18,14,22)</f>
        <v>40307.759976851848</v>
      </c>
      <c r="C164">
        <v>80</v>
      </c>
      <c r="D164">
        <v>79.931480407999999</v>
      </c>
      <c r="E164">
        <v>50</v>
      </c>
      <c r="F164">
        <v>14.999151230000001</v>
      </c>
      <c r="G164">
        <v>1348.5383300999999</v>
      </c>
      <c r="H164">
        <v>1344.3813477000001</v>
      </c>
      <c r="I164">
        <v>1313.6254882999999</v>
      </c>
      <c r="J164">
        <v>1305.7274170000001</v>
      </c>
      <c r="K164">
        <v>2400</v>
      </c>
      <c r="L164">
        <v>0</v>
      </c>
      <c r="M164">
        <v>0</v>
      </c>
      <c r="N164">
        <v>2400</v>
      </c>
    </row>
    <row r="165" spans="1:14" x14ac:dyDescent="0.25">
      <c r="A165">
        <v>8.8425910000000005</v>
      </c>
      <c r="B165" s="1">
        <f>DATE(2010,5,9) + TIME(20,13,19)</f>
        <v>40307.842581018522</v>
      </c>
      <c r="C165">
        <v>80</v>
      </c>
      <c r="D165">
        <v>79.931510924999998</v>
      </c>
      <c r="E165">
        <v>50</v>
      </c>
      <c r="F165">
        <v>14.999154090999999</v>
      </c>
      <c r="G165">
        <v>1348.5262451000001</v>
      </c>
      <c r="H165">
        <v>1344.3702393000001</v>
      </c>
      <c r="I165">
        <v>1313.6257324000001</v>
      </c>
      <c r="J165">
        <v>1305.7276611</v>
      </c>
      <c r="K165">
        <v>2400</v>
      </c>
      <c r="L165">
        <v>0</v>
      </c>
      <c r="M165">
        <v>0</v>
      </c>
      <c r="N165">
        <v>2400</v>
      </c>
    </row>
    <row r="166" spans="1:14" x14ac:dyDescent="0.25">
      <c r="A166">
        <v>8.925198</v>
      </c>
      <c r="B166" s="1">
        <f>DATE(2010,5,9) + TIME(22,12,17)</f>
        <v>40307.925196759257</v>
      </c>
      <c r="C166">
        <v>80</v>
      </c>
      <c r="D166">
        <v>79.931541443</v>
      </c>
      <c r="E166">
        <v>50</v>
      </c>
      <c r="F166">
        <v>14.999155998000001</v>
      </c>
      <c r="G166">
        <v>1348.5144043</v>
      </c>
      <c r="H166">
        <v>1344.3592529</v>
      </c>
      <c r="I166">
        <v>1313.6259766000001</v>
      </c>
      <c r="J166">
        <v>1305.7279053</v>
      </c>
      <c r="K166">
        <v>2400</v>
      </c>
      <c r="L166">
        <v>0</v>
      </c>
      <c r="M166">
        <v>0</v>
      </c>
      <c r="N166">
        <v>2400</v>
      </c>
    </row>
    <row r="167" spans="1:14" x14ac:dyDescent="0.25">
      <c r="A167">
        <v>9.0078049999999994</v>
      </c>
      <c r="B167" s="1">
        <f>DATE(2010,5,10) + TIME(0,11,14)</f>
        <v>40308.007800925923</v>
      </c>
      <c r="C167">
        <v>80</v>
      </c>
      <c r="D167">
        <v>79.931571959999999</v>
      </c>
      <c r="E167">
        <v>50</v>
      </c>
      <c r="F167">
        <v>14.999157906000001</v>
      </c>
      <c r="G167">
        <v>1348.5025635</v>
      </c>
      <c r="H167">
        <v>1344.3483887</v>
      </c>
      <c r="I167">
        <v>1313.6262207</v>
      </c>
      <c r="J167">
        <v>1305.7281493999999</v>
      </c>
      <c r="K167">
        <v>2400</v>
      </c>
      <c r="L167">
        <v>0</v>
      </c>
      <c r="M167">
        <v>0</v>
      </c>
      <c r="N167">
        <v>2400</v>
      </c>
    </row>
    <row r="168" spans="1:14" x14ac:dyDescent="0.25">
      <c r="A168">
        <v>9.0904120000000006</v>
      </c>
      <c r="B168" s="1">
        <f>DATE(2010,5,10) + TIME(2,10,11)</f>
        <v>40308.090405092589</v>
      </c>
      <c r="C168">
        <v>80</v>
      </c>
      <c r="D168">
        <v>79.931602478000002</v>
      </c>
      <c r="E168">
        <v>50</v>
      </c>
      <c r="F168">
        <v>14.999159813</v>
      </c>
      <c r="G168">
        <v>1348.4908447</v>
      </c>
      <c r="H168">
        <v>1344.3375243999999</v>
      </c>
      <c r="I168">
        <v>1313.6264647999999</v>
      </c>
      <c r="J168">
        <v>1305.7282714999999</v>
      </c>
      <c r="K168">
        <v>2400</v>
      </c>
      <c r="L168">
        <v>0</v>
      </c>
      <c r="M168">
        <v>0</v>
      </c>
      <c r="N168">
        <v>2400</v>
      </c>
    </row>
    <row r="169" spans="1:14" x14ac:dyDescent="0.25">
      <c r="A169">
        <v>9.1730180000000008</v>
      </c>
      <c r="B169" s="1">
        <f>DATE(2010,5,10) + TIME(4,9,8)</f>
        <v>40308.173009259262</v>
      </c>
      <c r="C169">
        <v>80</v>
      </c>
      <c r="D169">
        <v>79.931625366000006</v>
      </c>
      <c r="E169">
        <v>50</v>
      </c>
      <c r="F169">
        <v>14.99916172</v>
      </c>
      <c r="G169">
        <v>1348.4792480000001</v>
      </c>
      <c r="H169">
        <v>1344.3269043</v>
      </c>
      <c r="I169">
        <v>1313.6267089999999</v>
      </c>
      <c r="J169">
        <v>1305.7285156</v>
      </c>
      <c r="K169">
        <v>2400</v>
      </c>
      <c r="L169">
        <v>0</v>
      </c>
      <c r="M169">
        <v>0</v>
      </c>
      <c r="N169">
        <v>2400</v>
      </c>
    </row>
    <row r="170" spans="1:14" x14ac:dyDescent="0.25">
      <c r="A170">
        <v>9.2556250000000002</v>
      </c>
      <c r="B170" s="1">
        <f>DATE(2010,5,10) + TIME(6,8,6)</f>
        <v>40308.255624999998</v>
      </c>
      <c r="C170">
        <v>80</v>
      </c>
      <c r="D170">
        <v>79.931648253999995</v>
      </c>
      <c r="E170">
        <v>50</v>
      </c>
      <c r="F170">
        <v>14.999164581</v>
      </c>
      <c r="G170">
        <v>1348.4677733999999</v>
      </c>
      <c r="H170">
        <v>1344.3162841999999</v>
      </c>
      <c r="I170">
        <v>1313.6269531</v>
      </c>
      <c r="J170">
        <v>1305.7287598</v>
      </c>
      <c r="K170">
        <v>2400</v>
      </c>
      <c r="L170">
        <v>0</v>
      </c>
      <c r="M170">
        <v>0</v>
      </c>
      <c r="N170">
        <v>2400</v>
      </c>
    </row>
    <row r="171" spans="1:14" x14ac:dyDescent="0.25">
      <c r="A171">
        <v>9.4208390000000009</v>
      </c>
      <c r="B171" s="1">
        <f>DATE(2010,5,10) + TIME(10,6,0)</f>
        <v>40308.42083333333</v>
      </c>
      <c r="C171">
        <v>80</v>
      </c>
      <c r="D171">
        <v>79.931694031000006</v>
      </c>
      <c r="E171">
        <v>50</v>
      </c>
      <c r="F171">
        <v>14.999167441999999</v>
      </c>
      <c r="G171">
        <v>1348.4566649999999</v>
      </c>
      <c r="H171">
        <v>1344.3063964999999</v>
      </c>
      <c r="I171">
        <v>1313.6273193</v>
      </c>
      <c r="J171">
        <v>1305.7290039</v>
      </c>
      <c r="K171">
        <v>2400</v>
      </c>
      <c r="L171">
        <v>0</v>
      </c>
      <c r="M171">
        <v>0</v>
      </c>
      <c r="N171">
        <v>2400</v>
      </c>
    </row>
    <row r="172" spans="1:14" x14ac:dyDescent="0.25">
      <c r="A172">
        <v>9.5862110000000005</v>
      </c>
      <c r="B172" s="1">
        <f>DATE(2010,5,10) + TIME(14,4,8)</f>
        <v>40308.5862037037</v>
      </c>
      <c r="C172">
        <v>80</v>
      </c>
      <c r="D172">
        <v>79.931724548000005</v>
      </c>
      <c r="E172">
        <v>50</v>
      </c>
      <c r="F172">
        <v>14.999171257</v>
      </c>
      <c r="G172">
        <v>1348.434082</v>
      </c>
      <c r="H172">
        <v>1344.2857666</v>
      </c>
      <c r="I172">
        <v>1313.6278076000001</v>
      </c>
      <c r="J172">
        <v>1305.7293701000001</v>
      </c>
      <c r="K172">
        <v>2400</v>
      </c>
      <c r="L172">
        <v>0</v>
      </c>
      <c r="M172">
        <v>0</v>
      </c>
      <c r="N172">
        <v>2400</v>
      </c>
    </row>
    <row r="173" spans="1:14" x14ac:dyDescent="0.25">
      <c r="A173">
        <v>9.7524689999999996</v>
      </c>
      <c r="B173" s="1">
        <f>DATE(2010,5,10) + TIME(18,3,33)</f>
        <v>40308.752465277779</v>
      </c>
      <c r="C173">
        <v>80</v>
      </c>
      <c r="D173">
        <v>79.931755065999994</v>
      </c>
      <c r="E173">
        <v>50</v>
      </c>
      <c r="F173">
        <v>14.999175072</v>
      </c>
      <c r="G173">
        <v>1348.4118652</v>
      </c>
      <c r="H173">
        <v>1344.2655029</v>
      </c>
      <c r="I173">
        <v>1313.6282959</v>
      </c>
      <c r="J173">
        <v>1305.7298584</v>
      </c>
      <c r="K173">
        <v>2400</v>
      </c>
      <c r="L173">
        <v>0</v>
      </c>
      <c r="M173">
        <v>0</v>
      </c>
      <c r="N173">
        <v>2400</v>
      </c>
    </row>
    <row r="174" spans="1:14" x14ac:dyDescent="0.25">
      <c r="A174">
        <v>9.9198760000000004</v>
      </c>
      <c r="B174" s="1">
        <f>DATE(2010,5,10) + TIME(22,4,37)</f>
        <v>40308.919872685183</v>
      </c>
      <c r="C174">
        <v>80</v>
      </c>
      <c r="D174">
        <v>79.931785583000007</v>
      </c>
      <c r="E174">
        <v>50</v>
      </c>
      <c r="F174">
        <v>14.999178885999999</v>
      </c>
      <c r="G174">
        <v>1348.3897704999999</v>
      </c>
      <c r="H174">
        <v>1344.2454834</v>
      </c>
      <c r="I174">
        <v>1313.6287841999999</v>
      </c>
      <c r="J174">
        <v>1305.7302245999999</v>
      </c>
      <c r="K174">
        <v>2400</v>
      </c>
      <c r="L174">
        <v>0</v>
      </c>
      <c r="M174">
        <v>0</v>
      </c>
      <c r="N174">
        <v>2400</v>
      </c>
    </row>
    <row r="175" spans="1:14" x14ac:dyDescent="0.25">
      <c r="A175">
        <v>10.088703000000001</v>
      </c>
      <c r="B175" s="1">
        <f>DATE(2010,5,11) + TIME(2,7,43)</f>
        <v>40309.088692129626</v>
      </c>
      <c r="C175">
        <v>80</v>
      </c>
      <c r="D175">
        <v>79.931808472</v>
      </c>
      <c r="E175">
        <v>50</v>
      </c>
      <c r="F175">
        <v>14.999181747</v>
      </c>
      <c r="G175">
        <v>1348.3679199000001</v>
      </c>
      <c r="H175">
        <v>1344.2257079999999</v>
      </c>
      <c r="I175">
        <v>1313.6292725000001</v>
      </c>
      <c r="J175">
        <v>1305.7307129000001</v>
      </c>
      <c r="K175">
        <v>2400</v>
      </c>
      <c r="L175">
        <v>0</v>
      </c>
      <c r="M175">
        <v>0</v>
      </c>
      <c r="N175">
        <v>2400</v>
      </c>
    </row>
    <row r="176" spans="1:14" x14ac:dyDescent="0.25">
      <c r="A176">
        <v>10.259223</v>
      </c>
      <c r="B176" s="1">
        <f>DATE(2010,5,11) + TIME(6,13,16)</f>
        <v>40309.259212962963</v>
      </c>
      <c r="C176">
        <v>80</v>
      </c>
      <c r="D176">
        <v>79.931823730000005</v>
      </c>
      <c r="E176">
        <v>50</v>
      </c>
      <c r="F176">
        <v>14.999185561999999</v>
      </c>
      <c r="G176">
        <v>1348.3463135</v>
      </c>
      <c r="H176">
        <v>1344.2060547000001</v>
      </c>
      <c r="I176">
        <v>1313.6297606999999</v>
      </c>
      <c r="J176">
        <v>1305.7310791</v>
      </c>
      <c r="K176">
        <v>2400</v>
      </c>
      <c r="L176">
        <v>0</v>
      </c>
      <c r="M176">
        <v>0</v>
      </c>
      <c r="N176">
        <v>2400</v>
      </c>
    </row>
    <row r="177" spans="1:14" x14ac:dyDescent="0.25">
      <c r="A177">
        <v>10.431717000000001</v>
      </c>
      <c r="B177" s="1">
        <f>DATE(2010,5,11) + TIME(10,21,40)</f>
        <v>40309.431712962964</v>
      </c>
      <c r="C177">
        <v>80</v>
      </c>
      <c r="D177">
        <v>79.931838988999999</v>
      </c>
      <c r="E177">
        <v>50</v>
      </c>
      <c r="F177">
        <v>14.999189377</v>
      </c>
      <c r="G177">
        <v>1348.324707</v>
      </c>
      <c r="H177">
        <v>1344.1866454999999</v>
      </c>
      <c r="I177">
        <v>1313.630249</v>
      </c>
      <c r="J177">
        <v>1305.7314452999999</v>
      </c>
      <c r="K177">
        <v>2400</v>
      </c>
      <c r="L177">
        <v>0</v>
      </c>
      <c r="M177">
        <v>0</v>
      </c>
      <c r="N177">
        <v>2400</v>
      </c>
    </row>
    <row r="178" spans="1:14" x14ac:dyDescent="0.25">
      <c r="A178">
        <v>10.606477</v>
      </c>
      <c r="B178" s="1">
        <f>DATE(2010,5,11) + TIME(14,33,19)</f>
        <v>40309.606469907405</v>
      </c>
      <c r="C178">
        <v>80</v>
      </c>
      <c r="D178">
        <v>79.931846618999998</v>
      </c>
      <c r="E178">
        <v>50</v>
      </c>
      <c r="F178">
        <v>14.999193192</v>
      </c>
      <c r="G178">
        <v>1348.3032227000001</v>
      </c>
      <c r="H178">
        <v>1344.1673584</v>
      </c>
      <c r="I178">
        <v>1313.6307373</v>
      </c>
      <c r="J178">
        <v>1305.7319336</v>
      </c>
      <c r="K178">
        <v>2400</v>
      </c>
      <c r="L178">
        <v>0</v>
      </c>
      <c r="M178">
        <v>0</v>
      </c>
      <c r="N178">
        <v>2400</v>
      </c>
    </row>
    <row r="179" spans="1:14" x14ac:dyDescent="0.25">
      <c r="A179">
        <v>10.783806999999999</v>
      </c>
      <c r="B179" s="1">
        <f>DATE(2010,5,11) + TIME(18,48,40)</f>
        <v>40309.783796296295</v>
      </c>
      <c r="C179">
        <v>80</v>
      </c>
      <c r="D179">
        <v>79.931854247999993</v>
      </c>
      <c r="E179">
        <v>50</v>
      </c>
      <c r="F179">
        <v>14.999197005999999</v>
      </c>
      <c r="G179">
        <v>1348.2818603999999</v>
      </c>
      <c r="H179">
        <v>1344.1480713000001</v>
      </c>
      <c r="I179">
        <v>1313.6312256000001</v>
      </c>
      <c r="J179">
        <v>1305.7324219</v>
      </c>
      <c r="K179">
        <v>2400</v>
      </c>
      <c r="L179">
        <v>0</v>
      </c>
      <c r="M179">
        <v>0</v>
      </c>
      <c r="N179">
        <v>2400</v>
      </c>
    </row>
    <row r="180" spans="1:14" x14ac:dyDescent="0.25">
      <c r="A180">
        <v>10.964036999999999</v>
      </c>
      <c r="B180" s="1">
        <f>DATE(2010,5,11) + TIME(23,8,12)</f>
        <v>40309.96402777778</v>
      </c>
      <c r="C180">
        <v>80</v>
      </c>
      <c r="D180">
        <v>79.931861877000003</v>
      </c>
      <c r="E180">
        <v>50</v>
      </c>
      <c r="F180">
        <v>14.999199867</v>
      </c>
      <c r="G180">
        <v>1348.2604980000001</v>
      </c>
      <c r="H180">
        <v>1344.1289062000001</v>
      </c>
      <c r="I180">
        <v>1313.6318358999999</v>
      </c>
      <c r="J180">
        <v>1305.7327881000001</v>
      </c>
      <c r="K180">
        <v>2400</v>
      </c>
      <c r="L180">
        <v>0</v>
      </c>
      <c r="M180">
        <v>0</v>
      </c>
      <c r="N180">
        <v>2400</v>
      </c>
    </row>
    <row r="181" spans="1:14" x14ac:dyDescent="0.25">
      <c r="A181">
        <v>11.14757</v>
      </c>
      <c r="B181" s="1">
        <f>DATE(2010,5,12) + TIME(3,32,30)</f>
        <v>40310.147569444445</v>
      </c>
      <c r="C181">
        <v>80</v>
      </c>
      <c r="D181">
        <v>79.931861877000003</v>
      </c>
      <c r="E181">
        <v>50</v>
      </c>
      <c r="F181">
        <v>14.999203681999999</v>
      </c>
      <c r="G181">
        <v>1348.2390137</v>
      </c>
      <c r="H181">
        <v>1344.1098632999999</v>
      </c>
      <c r="I181">
        <v>1313.6323242000001</v>
      </c>
      <c r="J181">
        <v>1305.7332764</v>
      </c>
      <c r="K181">
        <v>2400</v>
      </c>
      <c r="L181">
        <v>0</v>
      </c>
      <c r="M181">
        <v>0</v>
      </c>
      <c r="N181">
        <v>2400</v>
      </c>
    </row>
    <row r="182" spans="1:14" x14ac:dyDescent="0.25">
      <c r="A182">
        <v>11.334702999999999</v>
      </c>
      <c r="B182" s="1">
        <f>DATE(2010,5,12) + TIME(8,1,58)</f>
        <v>40310.334699074076</v>
      </c>
      <c r="C182">
        <v>80</v>
      </c>
      <c r="D182">
        <v>79.931861877000003</v>
      </c>
      <c r="E182">
        <v>50</v>
      </c>
      <c r="F182">
        <v>14.999207497</v>
      </c>
      <c r="G182">
        <v>1348.2175293</v>
      </c>
      <c r="H182">
        <v>1344.0906981999999</v>
      </c>
      <c r="I182">
        <v>1313.6328125</v>
      </c>
      <c r="J182">
        <v>1305.7337646000001</v>
      </c>
      <c r="K182">
        <v>2400</v>
      </c>
      <c r="L182">
        <v>0</v>
      </c>
      <c r="M182">
        <v>0</v>
      </c>
      <c r="N182">
        <v>2400</v>
      </c>
    </row>
    <row r="183" spans="1:14" x14ac:dyDescent="0.25">
      <c r="A183">
        <v>11.525831999999999</v>
      </c>
      <c r="B183" s="1">
        <f>DATE(2010,5,12) + TIME(12,37,11)</f>
        <v>40310.525821759256</v>
      </c>
      <c r="C183">
        <v>80</v>
      </c>
      <c r="D183">
        <v>79.931861877000003</v>
      </c>
      <c r="E183">
        <v>50</v>
      </c>
      <c r="F183">
        <v>14.999211311</v>
      </c>
      <c r="G183">
        <v>1348.1959228999999</v>
      </c>
      <c r="H183">
        <v>1344.0715332</v>
      </c>
      <c r="I183">
        <v>1313.6334228999999</v>
      </c>
      <c r="J183">
        <v>1305.7342529</v>
      </c>
      <c r="K183">
        <v>2400</v>
      </c>
      <c r="L183">
        <v>0</v>
      </c>
      <c r="M183">
        <v>0</v>
      </c>
      <c r="N183">
        <v>2400</v>
      </c>
    </row>
    <row r="184" spans="1:14" x14ac:dyDescent="0.25">
      <c r="A184">
        <v>11.721385</v>
      </c>
      <c r="B184" s="1">
        <f>DATE(2010,5,12) + TIME(17,18,47)</f>
        <v>40310.721377314818</v>
      </c>
      <c r="C184">
        <v>80</v>
      </c>
      <c r="D184">
        <v>79.931854247999993</v>
      </c>
      <c r="E184">
        <v>50</v>
      </c>
      <c r="F184">
        <v>14.999214172</v>
      </c>
      <c r="G184">
        <v>1348.1741943</v>
      </c>
      <c r="H184">
        <v>1344.0523682</v>
      </c>
      <c r="I184">
        <v>1313.6340332</v>
      </c>
      <c r="J184">
        <v>1305.7346190999999</v>
      </c>
      <c r="K184">
        <v>2400</v>
      </c>
      <c r="L184">
        <v>0</v>
      </c>
      <c r="M184">
        <v>0</v>
      </c>
      <c r="N184">
        <v>2400</v>
      </c>
    </row>
    <row r="185" spans="1:14" x14ac:dyDescent="0.25">
      <c r="A185">
        <v>11.921099999999999</v>
      </c>
      <c r="B185" s="1">
        <f>DATE(2010,5,12) + TIME(22,6,23)</f>
        <v>40310.921099537038</v>
      </c>
      <c r="C185">
        <v>80</v>
      </c>
      <c r="D185">
        <v>79.931846618999998</v>
      </c>
      <c r="E185">
        <v>50</v>
      </c>
      <c r="F185">
        <v>14.999217987</v>
      </c>
      <c r="G185">
        <v>1348.1523437999999</v>
      </c>
      <c r="H185">
        <v>1344.0330810999999</v>
      </c>
      <c r="I185">
        <v>1313.6345214999999</v>
      </c>
      <c r="J185">
        <v>1305.7351074000001</v>
      </c>
      <c r="K185">
        <v>2400</v>
      </c>
      <c r="L185">
        <v>0</v>
      </c>
      <c r="M185">
        <v>0</v>
      </c>
      <c r="N185">
        <v>2400</v>
      </c>
    </row>
    <row r="186" spans="1:14" x14ac:dyDescent="0.25">
      <c r="A186">
        <v>12.124649</v>
      </c>
      <c r="B186" s="1">
        <f>DATE(2010,5,13) + TIME(2,59,29)</f>
        <v>40311.124641203707</v>
      </c>
      <c r="C186">
        <v>80</v>
      </c>
      <c r="D186">
        <v>79.931838988999999</v>
      </c>
      <c r="E186">
        <v>50</v>
      </c>
      <c r="F186">
        <v>14.999221801999999</v>
      </c>
      <c r="G186">
        <v>1348.1303711</v>
      </c>
      <c r="H186">
        <v>1344.0136719</v>
      </c>
      <c r="I186">
        <v>1313.6351318</v>
      </c>
      <c r="J186">
        <v>1305.7357178</v>
      </c>
      <c r="K186">
        <v>2400</v>
      </c>
      <c r="L186">
        <v>0</v>
      </c>
      <c r="M186">
        <v>0</v>
      </c>
      <c r="N186">
        <v>2400</v>
      </c>
    </row>
    <row r="187" spans="1:14" x14ac:dyDescent="0.25">
      <c r="A187">
        <v>12.228547000000001</v>
      </c>
      <c r="B187" s="1">
        <f>DATE(2010,5,13) + TIME(5,29,6)</f>
        <v>40311.228541666664</v>
      </c>
      <c r="C187">
        <v>80</v>
      </c>
      <c r="D187">
        <v>79.931831360000004</v>
      </c>
      <c r="E187">
        <v>50</v>
      </c>
      <c r="F187">
        <v>14.999223709000001</v>
      </c>
      <c r="G187">
        <v>1348.1080322</v>
      </c>
      <c r="H187">
        <v>1343.9938964999999</v>
      </c>
      <c r="I187">
        <v>1313.6357422000001</v>
      </c>
      <c r="J187">
        <v>1305.7360839999999</v>
      </c>
      <c r="K187">
        <v>2400</v>
      </c>
      <c r="L187">
        <v>0</v>
      </c>
      <c r="M187">
        <v>0</v>
      </c>
      <c r="N187">
        <v>2400</v>
      </c>
    </row>
    <row r="188" spans="1:14" x14ac:dyDescent="0.25">
      <c r="A188">
        <v>12.332445999999999</v>
      </c>
      <c r="B188" s="1">
        <f>DATE(2010,5,13) + TIME(7,58,43)</f>
        <v>40311.332442129627</v>
      </c>
      <c r="C188">
        <v>80</v>
      </c>
      <c r="D188">
        <v>79.931816100999995</v>
      </c>
      <c r="E188">
        <v>50</v>
      </c>
      <c r="F188">
        <v>14.999226569999999</v>
      </c>
      <c r="G188">
        <v>1348.0968018000001</v>
      </c>
      <c r="H188">
        <v>1343.9840088000001</v>
      </c>
      <c r="I188">
        <v>1313.6359863</v>
      </c>
      <c r="J188">
        <v>1305.7363281</v>
      </c>
      <c r="K188">
        <v>2400</v>
      </c>
      <c r="L188">
        <v>0</v>
      </c>
      <c r="M188">
        <v>0</v>
      </c>
      <c r="N188">
        <v>2400</v>
      </c>
    </row>
    <row r="189" spans="1:14" x14ac:dyDescent="0.25">
      <c r="A189">
        <v>12.436344999999999</v>
      </c>
      <c r="B189" s="1">
        <f>DATE(2010,5,13) + TIME(10,28,20)</f>
        <v>40311.436342592591</v>
      </c>
      <c r="C189">
        <v>80</v>
      </c>
      <c r="D189">
        <v>79.931808472</v>
      </c>
      <c r="E189">
        <v>50</v>
      </c>
      <c r="F189">
        <v>14.999228477000001</v>
      </c>
      <c r="G189">
        <v>1348.0858154</v>
      </c>
      <c r="H189">
        <v>1343.9743652</v>
      </c>
      <c r="I189">
        <v>1313.6363524999999</v>
      </c>
      <c r="J189">
        <v>1305.7365723</v>
      </c>
      <c r="K189">
        <v>2400</v>
      </c>
      <c r="L189">
        <v>0</v>
      </c>
      <c r="M189">
        <v>0</v>
      </c>
      <c r="N189">
        <v>2400</v>
      </c>
    </row>
    <row r="190" spans="1:14" x14ac:dyDescent="0.25">
      <c r="A190">
        <v>12.540243</v>
      </c>
      <c r="B190" s="1">
        <f>DATE(2010,5,13) + TIME(12,57,57)</f>
        <v>40311.540243055555</v>
      </c>
      <c r="C190">
        <v>80</v>
      </c>
      <c r="D190">
        <v>79.931800842000001</v>
      </c>
      <c r="E190">
        <v>50</v>
      </c>
      <c r="F190">
        <v>14.999230385000001</v>
      </c>
      <c r="G190">
        <v>1348.0748291</v>
      </c>
      <c r="H190">
        <v>1343.9647216999999</v>
      </c>
      <c r="I190">
        <v>1313.6365966999999</v>
      </c>
      <c r="J190">
        <v>1305.7369385</v>
      </c>
      <c r="K190">
        <v>2400</v>
      </c>
      <c r="L190">
        <v>0</v>
      </c>
      <c r="M190">
        <v>0</v>
      </c>
      <c r="N190">
        <v>2400</v>
      </c>
    </row>
    <row r="191" spans="1:14" x14ac:dyDescent="0.25">
      <c r="A191">
        <v>12.644142</v>
      </c>
      <c r="B191" s="1">
        <f>DATE(2010,5,13) + TIME(15,27,33)</f>
        <v>40311.644131944442</v>
      </c>
      <c r="C191">
        <v>80</v>
      </c>
      <c r="D191">
        <v>79.931793213000006</v>
      </c>
      <c r="E191">
        <v>50</v>
      </c>
      <c r="F191">
        <v>14.999232292</v>
      </c>
      <c r="G191">
        <v>1348.0639647999999</v>
      </c>
      <c r="H191">
        <v>1343.9552002</v>
      </c>
      <c r="I191">
        <v>1313.6369629000001</v>
      </c>
      <c r="J191">
        <v>1305.7371826000001</v>
      </c>
      <c r="K191">
        <v>2400</v>
      </c>
      <c r="L191">
        <v>0</v>
      </c>
      <c r="M191">
        <v>0</v>
      </c>
      <c r="N191">
        <v>2400</v>
      </c>
    </row>
    <row r="192" spans="1:14" x14ac:dyDescent="0.25">
      <c r="A192">
        <v>12.74804</v>
      </c>
      <c r="B192" s="1">
        <f>DATE(2010,5,13) + TIME(17,57,10)</f>
        <v>40311.748032407406</v>
      </c>
      <c r="C192">
        <v>80</v>
      </c>
      <c r="D192">
        <v>79.931785583000007</v>
      </c>
      <c r="E192">
        <v>50</v>
      </c>
      <c r="F192">
        <v>14.9992342</v>
      </c>
      <c r="G192">
        <v>1348.0531006000001</v>
      </c>
      <c r="H192">
        <v>1343.9456786999999</v>
      </c>
      <c r="I192">
        <v>1313.637207</v>
      </c>
      <c r="J192">
        <v>1305.7374268000001</v>
      </c>
      <c r="K192">
        <v>2400</v>
      </c>
      <c r="L192">
        <v>0</v>
      </c>
      <c r="M192">
        <v>0</v>
      </c>
      <c r="N192">
        <v>2400</v>
      </c>
    </row>
    <row r="193" spans="1:14" x14ac:dyDescent="0.25">
      <c r="A193">
        <v>12.851939</v>
      </c>
      <c r="B193" s="1">
        <f>DATE(2010,5,13) + TIME(20,26,47)</f>
        <v>40311.85193287037</v>
      </c>
      <c r="C193">
        <v>80</v>
      </c>
      <c r="D193">
        <v>79.931777953999998</v>
      </c>
      <c r="E193">
        <v>50</v>
      </c>
      <c r="F193">
        <v>14.999236107</v>
      </c>
      <c r="G193">
        <v>1348.0424805</v>
      </c>
      <c r="H193">
        <v>1343.9364014</v>
      </c>
      <c r="I193">
        <v>1313.6375731999999</v>
      </c>
      <c r="J193">
        <v>1305.7376709</v>
      </c>
      <c r="K193">
        <v>2400</v>
      </c>
      <c r="L193">
        <v>0</v>
      </c>
      <c r="M193">
        <v>0</v>
      </c>
      <c r="N193">
        <v>2400</v>
      </c>
    </row>
    <row r="194" spans="1:14" x14ac:dyDescent="0.25">
      <c r="A194">
        <v>12.955838</v>
      </c>
      <c r="B194" s="1">
        <f>DATE(2010,5,13) + TIME(22,56,24)</f>
        <v>40311.955833333333</v>
      </c>
      <c r="C194">
        <v>80</v>
      </c>
      <c r="D194">
        <v>79.931770325000002</v>
      </c>
      <c r="E194">
        <v>50</v>
      </c>
      <c r="F194">
        <v>14.999238013999999</v>
      </c>
      <c r="G194">
        <v>1348.0318603999999</v>
      </c>
      <c r="H194">
        <v>1343.927124</v>
      </c>
      <c r="I194">
        <v>1313.6378173999999</v>
      </c>
      <c r="J194">
        <v>1305.7379149999999</v>
      </c>
      <c r="K194">
        <v>2400</v>
      </c>
      <c r="L194">
        <v>0</v>
      </c>
      <c r="M194">
        <v>0</v>
      </c>
      <c r="N194">
        <v>2400</v>
      </c>
    </row>
    <row r="195" spans="1:14" x14ac:dyDescent="0.25">
      <c r="A195">
        <v>13.059735999999999</v>
      </c>
      <c r="B195" s="1">
        <f>DATE(2010,5,14) + TIME(1,26,1)</f>
        <v>40312.059733796297</v>
      </c>
      <c r="C195">
        <v>80</v>
      </c>
      <c r="D195">
        <v>79.931762695000003</v>
      </c>
      <c r="E195">
        <v>50</v>
      </c>
      <c r="F195">
        <v>14.999239921999999</v>
      </c>
      <c r="G195">
        <v>1348.0212402</v>
      </c>
      <c r="H195">
        <v>1343.9178466999999</v>
      </c>
      <c r="I195">
        <v>1313.6381836</v>
      </c>
      <c r="J195">
        <v>1305.7381591999999</v>
      </c>
      <c r="K195">
        <v>2400</v>
      </c>
      <c r="L195">
        <v>0</v>
      </c>
      <c r="M195">
        <v>0</v>
      </c>
      <c r="N195">
        <v>2400</v>
      </c>
    </row>
    <row r="196" spans="1:14" x14ac:dyDescent="0.25">
      <c r="A196">
        <v>13.163634999999999</v>
      </c>
      <c r="B196" s="1">
        <f>DATE(2010,5,14) + TIME(3,55,38)</f>
        <v>40312.163634259261</v>
      </c>
      <c r="C196">
        <v>80</v>
      </c>
      <c r="D196">
        <v>79.931755065999994</v>
      </c>
      <c r="E196">
        <v>50</v>
      </c>
      <c r="F196">
        <v>14.999240875</v>
      </c>
      <c r="G196">
        <v>1348.0107422000001</v>
      </c>
      <c r="H196">
        <v>1343.9088135</v>
      </c>
      <c r="I196">
        <v>1313.6384277</v>
      </c>
      <c r="J196">
        <v>1305.7384033000001</v>
      </c>
      <c r="K196">
        <v>2400</v>
      </c>
      <c r="L196">
        <v>0</v>
      </c>
      <c r="M196">
        <v>0</v>
      </c>
      <c r="N196">
        <v>2400</v>
      </c>
    </row>
    <row r="197" spans="1:14" x14ac:dyDescent="0.25">
      <c r="A197">
        <v>13.371432</v>
      </c>
      <c r="B197" s="1">
        <f>DATE(2010,5,14) + TIME(8,54,51)</f>
        <v>40312.371423611112</v>
      </c>
      <c r="C197">
        <v>80</v>
      </c>
      <c r="D197">
        <v>79.931739807</v>
      </c>
      <c r="E197">
        <v>50</v>
      </c>
      <c r="F197">
        <v>14.999244689999999</v>
      </c>
      <c r="G197">
        <v>1348.0007324000001</v>
      </c>
      <c r="H197">
        <v>1343.9001464999999</v>
      </c>
      <c r="I197">
        <v>1313.6387939000001</v>
      </c>
      <c r="J197">
        <v>1305.7387695</v>
      </c>
      <c r="K197">
        <v>2400</v>
      </c>
      <c r="L197">
        <v>0</v>
      </c>
      <c r="M197">
        <v>0</v>
      </c>
      <c r="N197">
        <v>2400</v>
      </c>
    </row>
    <row r="198" spans="1:14" x14ac:dyDescent="0.25">
      <c r="A198">
        <v>13.579247000000001</v>
      </c>
      <c r="B198" s="1">
        <f>DATE(2010,5,14) + TIME(13,54,6)</f>
        <v>40312.579236111109</v>
      </c>
      <c r="C198">
        <v>80</v>
      </c>
      <c r="D198">
        <v>79.931732178000004</v>
      </c>
      <c r="E198">
        <v>50</v>
      </c>
      <c r="F198">
        <v>14.999247551</v>
      </c>
      <c r="G198">
        <v>1347.9802245999999</v>
      </c>
      <c r="H198">
        <v>1343.8823242000001</v>
      </c>
      <c r="I198">
        <v>1313.6394043</v>
      </c>
      <c r="J198">
        <v>1305.7392577999999</v>
      </c>
      <c r="K198">
        <v>2400</v>
      </c>
      <c r="L198">
        <v>0</v>
      </c>
      <c r="M198">
        <v>0</v>
      </c>
      <c r="N198">
        <v>2400</v>
      </c>
    </row>
    <row r="199" spans="1:14" x14ac:dyDescent="0.25">
      <c r="A199">
        <v>13.788358000000001</v>
      </c>
      <c r="B199" s="1">
        <f>DATE(2010,5,14) + TIME(18,55,14)</f>
        <v>40312.788356481484</v>
      </c>
      <c r="C199">
        <v>80</v>
      </c>
      <c r="D199">
        <v>79.931716918999996</v>
      </c>
      <c r="E199">
        <v>50</v>
      </c>
      <c r="F199">
        <v>14.999251365999999</v>
      </c>
      <c r="G199">
        <v>1347.9598389</v>
      </c>
      <c r="H199">
        <v>1343.8647461</v>
      </c>
      <c r="I199">
        <v>1313.6400146000001</v>
      </c>
      <c r="J199">
        <v>1305.7398682</v>
      </c>
      <c r="K199">
        <v>2400</v>
      </c>
      <c r="L199">
        <v>0</v>
      </c>
      <c r="M199">
        <v>0</v>
      </c>
      <c r="N199">
        <v>2400</v>
      </c>
    </row>
    <row r="200" spans="1:14" x14ac:dyDescent="0.25">
      <c r="A200">
        <v>13.999115</v>
      </c>
      <c r="B200" s="1">
        <f>DATE(2010,5,14) + TIME(23,58,43)</f>
        <v>40312.999108796299</v>
      </c>
      <c r="C200">
        <v>80</v>
      </c>
      <c r="D200">
        <v>79.931701660000002</v>
      </c>
      <c r="E200">
        <v>50</v>
      </c>
      <c r="F200">
        <v>14.999254227</v>
      </c>
      <c r="G200">
        <v>1347.9398193</v>
      </c>
      <c r="H200">
        <v>1343.8474120999999</v>
      </c>
      <c r="I200">
        <v>1313.640625</v>
      </c>
      <c r="J200">
        <v>1305.7403564000001</v>
      </c>
      <c r="K200">
        <v>2400</v>
      </c>
      <c r="L200">
        <v>0</v>
      </c>
      <c r="M200">
        <v>0</v>
      </c>
      <c r="N200">
        <v>2400</v>
      </c>
    </row>
    <row r="201" spans="1:14" x14ac:dyDescent="0.25">
      <c r="A201">
        <v>14.211876</v>
      </c>
      <c r="B201" s="1">
        <f>DATE(2010,5,15) + TIME(5,5,6)</f>
        <v>40313.211875000001</v>
      </c>
      <c r="C201">
        <v>80</v>
      </c>
      <c r="D201">
        <v>79.931678771999998</v>
      </c>
      <c r="E201">
        <v>50</v>
      </c>
      <c r="F201">
        <v>14.999258040999999</v>
      </c>
      <c r="G201">
        <v>1347.9197998</v>
      </c>
      <c r="H201">
        <v>1343.8302002</v>
      </c>
      <c r="I201">
        <v>1313.6412353999999</v>
      </c>
      <c r="J201">
        <v>1305.7408447</v>
      </c>
      <c r="K201">
        <v>2400</v>
      </c>
      <c r="L201">
        <v>0</v>
      </c>
      <c r="M201">
        <v>0</v>
      </c>
      <c r="N201">
        <v>2400</v>
      </c>
    </row>
    <row r="202" spans="1:14" x14ac:dyDescent="0.25">
      <c r="A202">
        <v>14.427007</v>
      </c>
      <c r="B202" s="1">
        <f>DATE(2010,5,15) + TIME(10,14,53)</f>
        <v>40313.427002314813</v>
      </c>
      <c r="C202">
        <v>80</v>
      </c>
      <c r="D202">
        <v>79.931663513000004</v>
      </c>
      <c r="E202">
        <v>50</v>
      </c>
      <c r="F202">
        <v>14.999260902</v>
      </c>
      <c r="G202">
        <v>1347.8999022999999</v>
      </c>
      <c r="H202">
        <v>1343.8131103999999</v>
      </c>
      <c r="I202">
        <v>1313.6419678</v>
      </c>
      <c r="J202">
        <v>1305.7413329999999</v>
      </c>
      <c r="K202">
        <v>2400</v>
      </c>
      <c r="L202">
        <v>0</v>
      </c>
      <c r="M202">
        <v>0</v>
      </c>
      <c r="N202">
        <v>2400</v>
      </c>
    </row>
    <row r="203" spans="1:14" x14ac:dyDescent="0.25">
      <c r="A203">
        <v>14.644887000000001</v>
      </c>
      <c r="B203" s="1">
        <f>DATE(2010,5,15) + TIME(15,28,38)</f>
        <v>40313.644884259258</v>
      </c>
      <c r="C203">
        <v>80</v>
      </c>
      <c r="D203">
        <v>79.931640625</v>
      </c>
      <c r="E203">
        <v>50</v>
      </c>
      <c r="F203">
        <v>14.999264717000001</v>
      </c>
      <c r="G203">
        <v>1347.8800048999999</v>
      </c>
      <c r="H203">
        <v>1343.7960204999999</v>
      </c>
      <c r="I203">
        <v>1313.6425781</v>
      </c>
      <c r="J203">
        <v>1305.7419434000001</v>
      </c>
      <c r="K203">
        <v>2400</v>
      </c>
      <c r="L203">
        <v>0</v>
      </c>
      <c r="M203">
        <v>0</v>
      </c>
      <c r="N203">
        <v>2400</v>
      </c>
    </row>
    <row r="204" spans="1:14" x14ac:dyDescent="0.25">
      <c r="A204">
        <v>14.865912</v>
      </c>
      <c r="B204" s="1">
        <f>DATE(2010,5,15) + TIME(20,46,54)</f>
        <v>40313.865902777776</v>
      </c>
      <c r="C204">
        <v>80</v>
      </c>
      <c r="D204">
        <v>79.931625366000006</v>
      </c>
      <c r="E204">
        <v>50</v>
      </c>
      <c r="F204">
        <v>14.999267578</v>
      </c>
      <c r="G204">
        <v>1347.8602295000001</v>
      </c>
      <c r="H204">
        <v>1343.7790527</v>
      </c>
      <c r="I204">
        <v>1313.6431885</v>
      </c>
      <c r="J204">
        <v>1305.7424315999999</v>
      </c>
      <c r="K204">
        <v>2400</v>
      </c>
      <c r="L204">
        <v>0</v>
      </c>
      <c r="M204">
        <v>0</v>
      </c>
      <c r="N204">
        <v>2400</v>
      </c>
    </row>
    <row r="205" spans="1:14" x14ac:dyDescent="0.25">
      <c r="A205">
        <v>15.090514000000001</v>
      </c>
      <c r="B205" s="1">
        <f>DATE(2010,5,16) + TIME(2,10,20)</f>
        <v>40314.090509259258</v>
      </c>
      <c r="C205">
        <v>80</v>
      </c>
      <c r="D205">
        <v>79.931602478000002</v>
      </c>
      <c r="E205">
        <v>50</v>
      </c>
      <c r="F205">
        <v>14.999271393000001</v>
      </c>
      <c r="G205">
        <v>1347.840332</v>
      </c>
      <c r="H205">
        <v>1343.7620850000001</v>
      </c>
      <c r="I205">
        <v>1313.6437988</v>
      </c>
      <c r="J205">
        <v>1305.7430420000001</v>
      </c>
      <c r="K205">
        <v>2400</v>
      </c>
      <c r="L205">
        <v>0</v>
      </c>
      <c r="M205">
        <v>0</v>
      </c>
      <c r="N205">
        <v>2400</v>
      </c>
    </row>
    <row r="206" spans="1:14" x14ac:dyDescent="0.25">
      <c r="A206">
        <v>15.31921</v>
      </c>
      <c r="B206" s="1">
        <f>DATE(2010,5,16) + TIME(7,39,39)</f>
        <v>40314.319201388891</v>
      </c>
      <c r="C206">
        <v>80</v>
      </c>
      <c r="D206">
        <v>79.931579589999998</v>
      </c>
      <c r="E206">
        <v>50</v>
      </c>
      <c r="F206">
        <v>14.999274253999999</v>
      </c>
      <c r="G206">
        <v>1347.8204346</v>
      </c>
      <c r="H206">
        <v>1343.7451172000001</v>
      </c>
      <c r="I206">
        <v>1313.6445312000001</v>
      </c>
      <c r="J206">
        <v>1305.7436522999999</v>
      </c>
      <c r="K206">
        <v>2400</v>
      </c>
      <c r="L206">
        <v>0</v>
      </c>
      <c r="M206">
        <v>0</v>
      </c>
      <c r="N206">
        <v>2400</v>
      </c>
    </row>
    <row r="207" spans="1:14" x14ac:dyDescent="0.25">
      <c r="A207">
        <v>15.552394</v>
      </c>
      <c r="B207" s="1">
        <f>DATE(2010,5,16) + TIME(13,15,26)</f>
        <v>40314.552384259259</v>
      </c>
      <c r="C207">
        <v>80</v>
      </c>
      <c r="D207">
        <v>79.931556701999995</v>
      </c>
      <c r="E207">
        <v>50</v>
      </c>
      <c r="F207">
        <v>14.999278069000001</v>
      </c>
      <c r="G207">
        <v>1347.8005370999999</v>
      </c>
      <c r="H207">
        <v>1343.7281493999999</v>
      </c>
      <c r="I207">
        <v>1313.6452637</v>
      </c>
      <c r="J207">
        <v>1305.7441406</v>
      </c>
      <c r="K207">
        <v>2400</v>
      </c>
      <c r="L207">
        <v>0</v>
      </c>
      <c r="M207">
        <v>0</v>
      </c>
      <c r="N207">
        <v>2400</v>
      </c>
    </row>
    <row r="208" spans="1:14" x14ac:dyDescent="0.25">
      <c r="A208">
        <v>15.79058</v>
      </c>
      <c r="B208" s="1">
        <f>DATE(2010,5,16) + TIME(18,58,26)</f>
        <v>40314.790578703702</v>
      </c>
      <c r="C208">
        <v>80</v>
      </c>
      <c r="D208">
        <v>79.931533813000001</v>
      </c>
      <c r="E208">
        <v>50</v>
      </c>
      <c r="F208">
        <v>14.999280929999999</v>
      </c>
      <c r="G208">
        <v>1347.7803954999999</v>
      </c>
      <c r="H208">
        <v>1343.7110596</v>
      </c>
      <c r="I208">
        <v>1313.645874</v>
      </c>
      <c r="J208">
        <v>1305.744751</v>
      </c>
      <c r="K208">
        <v>2400</v>
      </c>
      <c r="L208">
        <v>0</v>
      </c>
      <c r="M208">
        <v>0</v>
      </c>
      <c r="N208">
        <v>2400</v>
      </c>
    </row>
    <row r="209" spans="1:14" x14ac:dyDescent="0.25">
      <c r="A209">
        <v>16.034322</v>
      </c>
      <c r="B209" s="1">
        <f>DATE(2010,5,17) + TIME(0,49,25)</f>
        <v>40315.034317129626</v>
      </c>
      <c r="C209">
        <v>80</v>
      </c>
      <c r="D209">
        <v>79.931510924999998</v>
      </c>
      <c r="E209">
        <v>50</v>
      </c>
      <c r="F209">
        <v>14.999284744000001</v>
      </c>
      <c r="G209">
        <v>1347.7602539</v>
      </c>
      <c r="H209">
        <v>1343.6939697</v>
      </c>
      <c r="I209">
        <v>1313.6466064000001</v>
      </c>
      <c r="J209">
        <v>1305.7453613</v>
      </c>
      <c r="K209">
        <v>2400</v>
      </c>
      <c r="L209">
        <v>0</v>
      </c>
      <c r="M209">
        <v>0</v>
      </c>
      <c r="N209">
        <v>2400</v>
      </c>
    </row>
    <row r="210" spans="1:14" x14ac:dyDescent="0.25">
      <c r="A210">
        <v>16.281891000000002</v>
      </c>
      <c r="B210" s="1">
        <f>DATE(2010,5,17) + TIME(6,45,55)</f>
        <v>40315.281886574077</v>
      </c>
      <c r="C210">
        <v>80</v>
      </c>
      <c r="D210">
        <v>79.931488036999994</v>
      </c>
      <c r="E210">
        <v>50</v>
      </c>
      <c r="F210">
        <v>14.999287604999999</v>
      </c>
      <c r="G210">
        <v>1347.7397461</v>
      </c>
      <c r="H210">
        <v>1343.6767577999999</v>
      </c>
      <c r="I210">
        <v>1313.6473389</v>
      </c>
      <c r="J210">
        <v>1305.7459716999999</v>
      </c>
      <c r="K210">
        <v>2400</v>
      </c>
      <c r="L210">
        <v>0</v>
      </c>
      <c r="M210">
        <v>0</v>
      </c>
      <c r="N210">
        <v>2400</v>
      </c>
    </row>
    <row r="211" spans="1:14" x14ac:dyDescent="0.25">
      <c r="A211">
        <v>16.407322000000001</v>
      </c>
      <c r="B211" s="1">
        <f>DATE(2010,5,17) + TIME(9,46,32)</f>
        <v>40315.407314814816</v>
      </c>
      <c r="C211">
        <v>80</v>
      </c>
      <c r="D211">
        <v>79.931472778</v>
      </c>
      <c r="E211">
        <v>50</v>
      </c>
      <c r="F211">
        <v>14.999289513000001</v>
      </c>
      <c r="G211">
        <v>1347.7189940999999</v>
      </c>
      <c r="H211">
        <v>1343.6590576000001</v>
      </c>
      <c r="I211">
        <v>1313.6480713000001</v>
      </c>
      <c r="J211">
        <v>1305.746582</v>
      </c>
      <c r="K211">
        <v>2400</v>
      </c>
      <c r="L211">
        <v>0</v>
      </c>
      <c r="M211">
        <v>0</v>
      </c>
      <c r="N211">
        <v>2400</v>
      </c>
    </row>
    <row r="212" spans="1:14" x14ac:dyDescent="0.25">
      <c r="A212">
        <v>16.532753</v>
      </c>
      <c r="B212" s="1">
        <f>DATE(2010,5,17) + TIME(12,47,9)</f>
        <v>40315.532743055555</v>
      </c>
      <c r="C212">
        <v>80</v>
      </c>
      <c r="D212">
        <v>79.931457519999995</v>
      </c>
      <c r="E212">
        <v>50</v>
      </c>
      <c r="F212">
        <v>14.99929142</v>
      </c>
      <c r="G212">
        <v>1347.7087402</v>
      </c>
      <c r="H212">
        <v>1343.6503906</v>
      </c>
      <c r="I212">
        <v>1313.6484375</v>
      </c>
      <c r="J212">
        <v>1305.7468262</v>
      </c>
      <c r="K212">
        <v>2400</v>
      </c>
      <c r="L212">
        <v>0</v>
      </c>
      <c r="M212">
        <v>0</v>
      </c>
      <c r="N212">
        <v>2400</v>
      </c>
    </row>
    <row r="213" spans="1:14" x14ac:dyDescent="0.25">
      <c r="A213">
        <v>16.658183999999999</v>
      </c>
      <c r="B213" s="1">
        <f>DATE(2010,5,17) + TIME(15,47,47)</f>
        <v>40315.658182870371</v>
      </c>
      <c r="C213">
        <v>80</v>
      </c>
      <c r="D213">
        <v>79.931442261000001</v>
      </c>
      <c r="E213">
        <v>50</v>
      </c>
      <c r="F213">
        <v>14.999293327</v>
      </c>
      <c r="G213">
        <v>1347.6986084</v>
      </c>
      <c r="H213">
        <v>1343.6418457</v>
      </c>
      <c r="I213">
        <v>1313.6488036999999</v>
      </c>
      <c r="J213">
        <v>1305.7471923999999</v>
      </c>
      <c r="K213">
        <v>2400</v>
      </c>
      <c r="L213">
        <v>0</v>
      </c>
      <c r="M213">
        <v>0</v>
      </c>
      <c r="N213">
        <v>2400</v>
      </c>
    </row>
    <row r="214" spans="1:14" x14ac:dyDescent="0.25">
      <c r="A214">
        <v>16.783615000000001</v>
      </c>
      <c r="B214" s="1">
        <f>DATE(2010,5,17) + TIME(18,48,24)</f>
        <v>40315.78361111111</v>
      </c>
      <c r="C214">
        <v>80</v>
      </c>
      <c r="D214">
        <v>79.931427002000007</v>
      </c>
      <c r="E214">
        <v>50</v>
      </c>
      <c r="F214">
        <v>14.999295235</v>
      </c>
      <c r="G214">
        <v>1347.6884766000001</v>
      </c>
      <c r="H214">
        <v>1343.6333007999999</v>
      </c>
      <c r="I214">
        <v>1313.6491699000001</v>
      </c>
      <c r="J214">
        <v>1305.7474365</v>
      </c>
      <c r="K214">
        <v>2400</v>
      </c>
      <c r="L214">
        <v>0</v>
      </c>
      <c r="M214">
        <v>0</v>
      </c>
      <c r="N214">
        <v>2400</v>
      </c>
    </row>
    <row r="215" spans="1:14" x14ac:dyDescent="0.25">
      <c r="A215">
        <v>16.909047000000001</v>
      </c>
      <c r="B215" s="1">
        <f>DATE(2010,5,17) + TIME(21,49,1)</f>
        <v>40315.909039351849</v>
      </c>
      <c r="C215">
        <v>80</v>
      </c>
      <c r="D215">
        <v>79.931411742999998</v>
      </c>
      <c r="E215">
        <v>50</v>
      </c>
      <c r="F215">
        <v>14.999297142</v>
      </c>
      <c r="G215">
        <v>1347.6784668</v>
      </c>
      <c r="H215">
        <v>1343.6248779</v>
      </c>
      <c r="I215">
        <v>1313.6495361</v>
      </c>
      <c r="J215">
        <v>1305.7478027</v>
      </c>
      <c r="K215">
        <v>2400</v>
      </c>
      <c r="L215">
        <v>0</v>
      </c>
      <c r="M215">
        <v>0</v>
      </c>
      <c r="N215">
        <v>2400</v>
      </c>
    </row>
    <row r="216" spans="1:14" x14ac:dyDescent="0.25">
      <c r="A216">
        <v>17.034478</v>
      </c>
      <c r="B216" s="1">
        <f>DATE(2010,5,18) + TIME(0,49,38)</f>
        <v>40316.034467592595</v>
      </c>
      <c r="C216">
        <v>80</v>
      </c>
      <c r="D216">
        <v>79.931396484000004</v>
      </c>
      <c r="E216">
        <v>50</v>
      </c>
      <c r="F216">
        <v>14.999299048999999</v>
      </c>
      <c r="G216">
        <v>1347.668457</v>
      </c>
      <c r="H216">
        <v>1343.6164550999999</v>
      </c>
      <c r="I216">
        <v>1313.6499022999999</v>
      </c>
      <c r="J216">
        <v>1305.7481689000001</v>
      </c>
      <c r="K216">
        <v>2400</v>
      </c>
      <c r="L216">
        <v>0</v>
      </c>
      <c r="M216">
        <v>0</v>
      </c>
      <c r="N216">
        <v>2400</v>
      </c>
    </row>
    <row r="217" spans="1:14" x14ac:dyDescent="0.25">
      <c r="A217">
        <v>17.159908999999999</v>
      </c>
      <c r="B217" s="1">
        <f>DATE(2010,5,18) + TIME(3,50,16)</f>
        <v>40316.159907407404</v>
      </c>
      <c r="C217">
        <v>80</v>
      </c>
      <c r="D217">
        <v>79.931381225999999</v>
      </c>
      <c r="E217">
        <v>50</v>
      </c>
      <c r="F217">
        <v>14.999300957000001</v>
      </c>
      <c r="G217">
        <v>1347.6585693</v>
      </c>
      <c r="H217">
        <v>1343.6081543</v>
      </c>
      <c r="I217">
        <v>1313.6502685999999</v>
      </c>
      <c r="J217">
        <v>1305.7484131000001</v>
      </c>
      <c r="K217">
        <v>2400</v>
      </c>
      <c r="L217">
        <v>0</v>
      </c>
      <c r="M217">
        <v>0</v>
      </c>
      <c r="N217">
        <v>2400</v>
      </c>
    </row>
    <row r="218" spans="1:14" x14ac:dyDescent="0.25">
      <c r="A218">
        <v>17.285340000000001</v>
      </c>
      <c r="B218" s="1">
        <f>DATE(2010,5,18) + TIME(6,50,53)</f>
        <v>40316.28533564815</v>
      </c>
      <c r="C218">
        <v>80</v>
      </c>
      <c r="D218">
        <v>79.931373596</v>
      </c>
      <c r="E218">
        <v>50</v>
      </c>
      <c r="F218">
        <v>14.999302864000001</v>
      </c>
      <c r="G218">
        <v>1347.6486815999999</v>
      </c>
      <c r="H218">
        <v>1343.5998535000001</v>
      </c>
      <c r="I218">
        <v>1313.6506348</v>
      </c>
      <c r="J218">
        <v>1305.7487793</v>
      </c>
      <c r="K218">
        <v>2400</v>
      </c>
      <c r="L218">
        <v>0</v>
      </c>
      <c r="M218">
        <v>0</v>
      </c>
      <c r="N218">
        <v>2400</v>
      </c>
    </row>
    <row r="219" spans="1:14" x14ac:dyDescent="0.25">
      <c r="A219">
        <v>17.410771</v>
      </c>
      <c r="B219" s="1">
        <f>DATE(2010,5,18) + TIME(9,51,30)</f>
        <v>40316.410763888889</v>
      </c>
      <c r="C219">
        <v>80</v>
      </c>
      <c r="D219">
        <v>79.931358337000006</v>
      </c>
      <c r="E219">
        <v>50</v>
      </c>
      <c r="F219">
        <v>14.999303818</v>
      </c>
      <c r="G219">
        <v>1347.6389160000001</v>
      </c>
      <c r="H219">
        <v>1343.5916748</v>
      </c>
      <c r="I219">
        <v>1313.651001</v>
      </c>
      <c r="J219">
        <v>1305.7490233999999</v>
      </c>
      <c r="K219">
        <v>2400</v>
      </c>
      <c r="L219">
        <v>0</v>
      </c>
      <c r="M219">
        <v>0</v>
      </c>
      <c r="N219">
        <v>2400</v>
      </c>
    </row>
    <row r="220" spans="1:14" x14ac:dyDescent="0.25">
      <c r="A220">
        <v>17.536201999999999</v>
      </c>
      <c r="B220" s="1">
        <f>DATE(2010,5,18) + TIME(12,52,7)</f>
        <v>40316.536192129628</v>
      </c>
      <c r="C220">
        <v>80</v>
      </c>
      <c r="D220">
        <v>79.931343079000001</v>
      </c>
      <c r="E220">
        <v>50</v>
      </c>
      <c r="F220">
        <v>14.999305724999999</v>
      </c>
      <c r="G220">
        <v>1347.6292725000001</v>
      </c>
      <c r="H220">
        <v>1343.5836182</v>
      </c>
      <c r="I220">
        <v>1313.6513672000001</v>
      </c>
      <c r="J220">
        <v>1305.7493896000001</v>
      </c>
      <c r="K220">
        <v>2400</v>
      </c>
      <c r="L220">
        <v>0</v>
      </c>
      <c r="M220">
        <v>0</v>
      </c>
      <c r="N220">
        <v>2400</v>
      </c>
    </row>
    <row r="221" spans="1:14" x14ac:dyDescent="0.25">
      <c r="A221">
        <v>17.661632999999998</v>
      </c>
      <c r="B221" s="1">
        <f>DATE(2010,5,18) + TIME(15,52,45)</f>
        <v>40316.661631944444</v>
      </c>
      <c r="C221">
        <v>80</v>
      </c>
      <c r="D221">
        <v>79.931335449000002</v>
      </c>
      <c r="E221">
        <v>50</v>
      </c>
      <c r="F221">
        <v>14.999307632000001</v>
      </c>
      <c r="G221">
        <v>1347.6196289</v>
      </c>
      <c r="H221">
        <v>1343.5754394999999</v>
      </c>
      <c r="I221">
        <v>1313.6518555</v>
      </c>
      <c r="J221">
        <v>1305.7497559000001</v>
      </c>
      <c r="K221">
        <v>2400</v>
      </c>
      <c r="L221">
        <v>0</v>
      </c>
      <c r="M221">
        <v>0</v>
      </c>
      <c r="N221">
        <v>2400</v>
      </c>
    </row>
    <row r="222" spans="1:14" x14ac:dyDescent="0.25">
      <c r="A222">
        <v>17.912496000000001</v>
      </c>
      <c r="B222" s="1">
        <f>DATE(2010,5,18) + TIME(21,53,59)</f>
        <v>40316.912488425929</v>
      </c>
      <c r="C222">
        <v>80</v>
      </c>
      <c r="D222">
        <v>79.931320189999994</v>
      </c>
      <c r="E222">
        <v>50</v>
      </c>
      <c r="F222">
        <v>14.999310492999999</v>
      </c>
      <c r="G222">
        <v>1347.6103516000001</v>
      </c>
      <c r="H222">
        <v>1343.5678711</v>
      </c>
      <c r="I222">
        <v>1313.6522216999999</v>
      </c>
      <c r="J222">
        <v>1305.7501221</v>
      </c>
      <c r="K222">
        <v>2400</v>
      </c>
      <c r="L222">
        <v>0</v>
      </c>
      <c r="M222">
        <v>0</v>
      </c>
      <c r="N222">
        <v>2400</v>
      </c>
    </row>
    <row r="223" spans="1:14" x14ac:dyDescent="0.25">
      <c r="A223">
        <v>18.163447999999999</v>
      </c>
      <c r="B223" s="1">
        <f>DATE(2010,5,19) + TIME(3,55,21)</f>
        <v>40317.163437499999</v>
      </c>
      <c r="C223">
        <v>80</v>
      </c>
      <c r="D223">
        <v>79.931297302000004</v>
      </c>
      <c r="E223">
        <v>50</v>
      </c>
      <c r="F223">
        <v>14.999313354</v>
      </c>
      <c r="G223">
        <v>1347.5914307</v>
      </c>
      <c r="H223">
        <v>1343.5520019999999</v>
      </c>
      <c r="I223">
        <v>1313.6529541</v>
      </c>
      <c r="J223">
        <v>1305.7507324000001</v>
      </c>
      <c r="K223">
        <v>2400</v>
      </c>
      <c r="L223">
        <v>0</v>
      </c>
      <c r="M223">
        <v>0</v>
      </c>
      <c r="N223">
        <v>2400</v>
      </c>
    </row>
    <row r="224" spans="1:14" x14ac:dyDescent="0.25">
      <c r="A224">
        <v>18.416412999999999</v>
      </c>
      <c r="B224" s="1">
        <f>DATE(2010,5,19) + TIME(9,59,38)</f>
        <v>40317.416412037041</v>
      </c>
      <c r="C224">
        <v>80</v>
      </c>
      <c r="D224">
        <v>79.931282042999996</v>
      </c>
      <c r="E224">
        <v>50</v>
      </c>
      <c r="F224">
        <v>14.999316216</v>
      </c>
      <c r="G224">
        <v>1347.5726318</v>
      </c>
      <c r="H224">
        <v>1343.536499</v>
      </c>
      <c r="I224">
        <v>1313.6538086</v>
      </c>
      <c r="J224">
        <v>1305.7513428</v>
      </c>
      <c r="K224">
        <v>2400</v>
      </c>
      <c r="L224">
        <v>0</v>
      </c>
      <c r="M224">
        <v>0</v>
      </c>
      <c r="N224">
        <v>2400</v>
      </c>
    </row>
    <row r="225" spans="1:14" x14ac:dyDescent="0.25">
      <c r="A225">
        <v>18.671835999999999</v>
      </c>
      <c r="B225" s="1">
        <f>DATE(2010,5,19) + TIME(16,7,26)</f>
        <v>40317.6718287037</v>
      </c>
      <c r="C225">
        <v>80</v>
      </c>
      <c r="D225">
        <v>79.931259155000006</v>
      </c>
      <c r="E225">
        <v>50</v>
      </c>
      <c r="F225">
        <v>14.99932003</v>
      </c>
      <c r="G225">
        <v>1347.5539550999999</v>
      </c>
      <c r="H225">
        <v>1343.5209961</v>
      </c>
      <c r="I225">
        <v>1313.6545410000001</v>
      </c>
      <c r="J225">
        <v>1305.7519531</v>
      </c>
      <c r="K225">
        <v>2400</v>
      </c>
      <c r="L225">
        <v>0</v>
      </c>
      <c r="M225">
        <v>0</v>
      </c>
      <c r="N225">
        <v>2400</v>
      </c>
    </row>
    <row r="226" spans="1:14" x14ac:dyDescent="0.25">
      <c r="A226">
        <v>18.930181000000001</v>
      </c>
      <c r="B226" s="1">
        <f>DATE(2010,5,19) + TIME(22,19,27)</f>
        <v>40317.930173611108</v>
      </c>
      <c r="C226">
        <v>80</v>
      </c>
      <c r="D226">
        <v>79.931236267000003</v>
      </c>
      <c r="E226">
        <v>50</v>
      </c>
      <c r="F226">
        <v>14.999322891</v>
      </c>
      <c r="G226">
        <v>1347.5354004000001</v>
      </c>
      <c r="H226">
        <v>1343.5056152</v>
      </c>
      <c r="I226">
        <v>1313.6552733999999</v>
      </c>
      <c r="J226">
        <v>1305.7526855000001</v>
      </c>
      <c r="K226">
        <v>2400</v>
      </c>
      <c r="L226">
        <v>0</v>
      </c>
      <c r="M226">
        <v>0</v>
      </c>
      <c r="N226">
        <v>2400</v>
      </c>
    </row>
    <row r="227" spans="1:14" x14ac:dyDescent="0.25">
      <c r="A227">
        <v>19.191929999999999</v>
      </c>
      <c r="B227" s="1">
        <f>DATE(2010,5,20) + TIME(4,36,22)</f>
        <v>40318.191921296297</v>
      </c>
      <c r="C227">
        <v>80</v>
      </c>
      <c r="D227">
        <v>79.931213378999999</v>
      </c>
      <c r="E227">
        <v>50</v>
      </c>
      <c r="F227">
        <v>14.999325752000001</v>
      </c>
      <c r="G227">
        <v>1347.5168457</v>
      </c>
      <c r="H227">
        <v>1343.4902344</v>
      </c>
      <c r="I227">
        <v>1313.6561279</v>
      </c>
      <c r="J227">
        <v>1305.7532959</v>
      </c>
      <c r="K227">
        <v>2400</v>
      </c>
      <c r="L227">
        <v>0</v>
      </c>
      <c r="M227">
        <v>0</v>
      </c>
      <c r="N227">
        <v>2400</v>
      </c>
    </row>
    <row r="228" spans="1:14" x14ac:dyDescent="0.25">
      <c r="A228">
        <v>19.457587</v>
      </c>
      <c r="B228" s="1">
        <f>DATE(2010,5,20) + TIME(10,58,55)</f>
        <v>40318.45758101852</v>
      </c>
      <c r="C228">
        <v>80</v>
      </c>
      <c r="D228">
        <v>79.931190490999995</v>
      </c>
      <c r="E228">
        <v>50</v>
      </c>
      <c r="F228">
        <v>14.999328612999999</v>
      </c>
      <c r="G228">
        <v>1347.4982910000001</v>
      </c>
      <c r="H228">
        <v>1343.4748535000001</v>
      </c>
      <c r="I228">
        <v>1313.6568603999999</v>
      </c>
      <c r="J228">
        <v>1305.7540283000001</v>
      </c>
      <c r="K228">
        <v>2400</v>
      </c>
      <c r="L228">
        <v>0</v>
      </c>
      <c r="M228">
        <v>0</v>
      </c>
      <c r="N228">
        <v>2400</v>
      </c>
    </row>
    <row r="229" spans="1:14" x14ac:dyDescent="0.25">
      <c r="A229">
        <v>19.727736</v>
      </c>
      <c r="B229" s="1">
        <f>DATE(2010,5,20) + TIME(17,27,56)</f>
        <v>40318.727731481478</v>
      </c>
      <c r="C229">
        <v>80</v>
      </c>
      <c r="D229">
        <v>79.931167603000006</v>
      </c>
      <c r="E229">
        <v>50</v>
      </c>
      <c r="F229">
        <v>14.999332428000001</v>
      </c>
      <c r="G229">
        <v>1347.4796143000001</v>
      </c>
      <c r="H229">
        <v>1343.4594727000001</v>
      </c>
      <c r="I229">
        <v>1313.6577147999999</v>
      </c>
      <c r="J229">
        <v>1305.7546387</v>
      </c>
      <c r="K229">
        <v>2400</v>
      </c>
      <c r="L229">
        <v>0</v>
      </c>
      <c r="M229">
        <v>0</v>
      </c>
      <c r="N229">
        <v>2400</v>
      </c>
    </row>
    <row r="230" spans="1:14" x14ac:dyDescent="0.25">
      <c r="A230">
        <v>20.002973999999998</v>
      </c>
      <c r="B230" s="1">
        <f>DATE(2010,5,21) + TIME(0,4,16)</f>
        <v>40319.002962962964</v>
      </c>
      <c r="C230">
        <v>80</v>
      </c>
      <c r="D230">
        <v>79.931137085000003</v>
      </c>
      <c r="E230">
        <v>50</v>
      </c>
      <c r="F230">
        <v>14.999335288999999</v>
      </c>
      <c r="G230">
        <v>1347.4609375</v>
      </c>
      <c r="H230">
        <v>1343.4440918</v>
      </c>
      <c r="I230">
        <v>1313.6584473</v>
      </c>
      <c r="J230">
        <v>1305.7553711</v>
      </c>
      <c r="K230">
        <v>2400</v>
      </c>
      <c r="L230">
        <v>0</v>
      </c>
      <c r="M230">
        <v>0</v>
      </c>
      <c r="N230">
        <v>2400</v>
      </c>
    </row>
    <row r="231" spans="1:14" x14ac:dyDescent="0.25">
      <c r="A231">
        <v>20.283844999999999</v>
      </c>
      <c r="B231" s="1">
        <f>DATE(2010,5,21) + TIME(6,48,44)</f>
        <v>40319.283842592595</v>
      </c>
      <c r="C231">
        <v>80</v>
      </c>
      <c r="D231">
        <v>79.931114196999999</v>
      </c>
      <c r="E231">
        <v>50</v>
      </c>
      <c r="F231">
        <v>14.99933815</v>
      </c>
      <c r="G231">
        <v>1347.4421387</v>
      </c>
      <c r="H231">
        <v>1343.4285889</v>
      </c>
      <c r="I231">
        <v>1313.6593018000001</v>
      </c>
      <c r="J231">
        <v>1305.7561035000001</v>
      </c>
      <c r="K231">
        <v>2400</v>
      </c>
      <c r="L231">
        <v>0</v>
      </c>
      <c r="M231">
        <v>0</v>
      </c>
      <c r="N231">
        <v>2400</v>
      </c>
    </row>
    <row r="232" spans="1:14" x14ac:dyDescent="0.25">
      <c r="A232">
        <v>20.571007999999999</v>
      </c>
      <c r="B232" s="1">
        <f>DATE(2010,5,21) + TIME(13,42,15)</f>
        <v>40319.571006944447</v>
      </c>
      <c r="C232">
        <v>80</v>
      </c>
      <c r="D232">
        <v>79.931091308999996</v>
      </c>
      <c r="E232">
        <v>50</v>
      </c>
      <c r="F232">
        <v>14.999341964999999</v>
      </c>
      <c r="G232">
        <v>1347.4230957</v>
      </c>
      <c r="H232">
        <v>1343.4130858999999</v>
      </c>
      <c r="I232">
        <v>1313.6601562000001</v>
      </c>
      <c r="J232">
        <v>1305.7568358999999</v>
      </c>
      <c r="K232">
        <v>2400</v>
      </c>
      <c r="L232">
        <v>0</v>
      </c>
      <c r="M232">
        <v>0</v>
      </c>
      <c r="N232">
        <v>2400</v>
      </c>
    </row>
    <row r="233" spans="1:14" x14ac:dyDescent="0.25">
      <c r="A233">
        <v>20.716370000000001</v>
      </c>
      <c r="B233" s="1">
        <f>DATE(2010,5,21) + TIME(17,11,34)</f>
        <v>40319.716365740744</v>
      </c>
      <c r="C233">
        <v>80</v>
      </c>
      <c r="D233">
        <v>79.931068420000003</v>
      </c>
      <c r="E233">
        <v>50</v>
      </c>
      <c r="F233">
        <v>14.999343872000001</v>
      </c>
      <c r="G233">
        <v>1347.4036865</v>
      </c>
      <c r="H233">
        <v>1343.3970947</v>
      </c>
      <c r="I233">
        <v>1313.6610106999999</v>
      </c>
      <c r="J233">
        <v>1305.7574463000001</v>
      </c>
      <c r="K233">
        <v>2400</v>
      </c>
      <c r="L233">
        <v>0</v>
      </c>
      <c r="M233">
        <v>0</v>
      </c>
      <c r="N233">
        <v>2400</v>
      </c>
    </row>
    <row r="234" spans="1:14" x14ac:dyDescent="0.25">
      <c r="A234">
        <v>20.861730999999999</v>
      </c>
      <c r="B234" s="1">
        <f>DATE(2010,5,21) + TIME(20,40,53)</f>
        <v>40319.861724537041</v>
      </c>
      <c r="C234">
        <v>80</v>
      </c>
      <c r="D234">
        <v>79.931053161999998</v>
      </c>
      <c r="E234">
        <v>50</v>
      </c>
      <c r="F234">
        <v>14.999344826</v>
      </c>
      <c r="G234">
        <v>1347.394043</v>
      </c>
      <c r="H234">
        <v>1343.3891602000001</v>
      </c>
      <c r="I234">
        <v>1313.661499</v>
      </c>
      <c r="J234">
        <v>1305.7578125</v>
      </c>
      <c r="K234">
        <v>2400</v>
      </c>
      <c r="L234">
        <v>0</v>
      </c>
      <c r="M234">
        <v>0</v>
      </c>
      <c r="N234">
        <v>2400</v>
      </c>
    </row>
    <row r="235" spans="1:14" x14ac:dyDescent="0.25">
      <c r="A235">
        <v>21.007093000000001</v>
      </c>
      <c r="B235" s="1">
        <f>DATE(2010,5,22) + TIME(0,10,12)</f>
        <v>40320.00708333333</v>
      </c>
      <c r="C235">
        <v>80</v>
      </c>
      <c r="D235">
        <v>79.931037903000004</v>
      </c>
      <c r="E235">
        <v>50</v>
      </c>
      <c r="F235">
        <v>14.999346732999999</v>
      </c>
      <c r="G235">
        <v>1347.3845214999999</v>
      </c>
      <c r="H235">
        <v>1343.3813477000001</v>
      </c>
      <c r="I235">
        <v>1313.6618652</v>
      </c>
      <c r="J235">
        <v>1305.7581786999999</v>
      </c>
      <c r="K235">
        <v>2400</v>
      </c>
      <c r="L235">
        <v>0</v>
      </c>
      <c r="M235">
        <v>0</v>
      </c>
      <c r="N235">
        <v>2400</v>
      </c>
    </row>
    <row r="236" spans="1:14" x14ac:dyDescent="0.25">
      <c r="A236">
        <v>21.152453999999999</v>
      </c>
      <c r="B236" s="1">
        <f>DATE(2010,5,22) + TIME(3,39,32)</f>
        <v>40320.152453703704</v>
      </c>
      <c r="C236">
        <v>80</v>
      </c>
      <c r="D236">
        <v>79.931022643999995</v>
      </c>
      <c r="E236">
        <v>50</v>
      </c>
      <c r="F236">
        <v>14.999348639999999</v>
      </c>
      <c r="G236">
        <v>1347.375</v>
      </c>
      <c r="H236">
        <v>1343.3735352000001</v>
      </c>
      <c r="I236">
        <v>1313.6623535000001</v>
      </c>
      <c r="J236">
        <v>1305.7585449000001</v>
      </c>
      <c r="K236">
        <v>2400</v>
      </c>
      <c r="L236">
        <v>0</v>
      </c>
      <c r="M236">
        <v>0</v>
      </c>
      <c r="N236">
        <v>2400</v>
      </c>
    </row>
    <row r="237" spans="1:14" x14ac:dyDescent="0.25">
      <c r="A237">
        <v>21.297816000000001</v>
      </c>
      <c r="B237" s="1">
        <f>DATE(2010,5,22) + TIME(7,8,51)</f>
        <v>40320.297812500001</v>
      </c>
      <c r="C237">
        <v>80</v>
      </c>
      <c r="D237">
        <v>79.931007385000001</v>
      </c>
      <c r="E237">
        <v>50</v>
      </c>
      <c r="F237">
        <v>14.999350548000001</v>
      </c>
      <c r="G237">
        <v>1347.3656006000001</v>
      </c>
      <c r="H237">
        <v>1343.3658447</v>
      </c>
      <c r="I237">
        <v>1313.6628418</v>
      </c>
      <c r="J237">
        <v>1305.7589111</v>
      </c>
      <c r="K237">
        <v>2400</v>
      </c>
      <c r="L237">
        <v>0</v>
      </c>
      <c r="M237">
        <v>0</v>
      </c>
      <c r="N237">
        <v>2400</v>
      </c>
    </row>
    <row r="238" spans="1:14" x14ac:dyDescent="0.25">
      <c r="A238">
        <v>21.443176999999999</v>
      </c>
      <c r="B238" s="1">
        <f>DATE(2010,5,22) + TIME(10,38,10)</f>
        <v>40320.443171296298</v>
      </c>
      <c r="C238">
        <v>80</v>
      </c>
      <c r="D238">
        <v>79.930992126000007</v>
      </c>
      <c r="E238">
        <v>50</v>
      </c>
      <c r="F238">
        <v>14.999352455</v>
      </c>
      <c r="G238">
        <v>1347.3563231999999</v>
      </c>
      <c r="H238">
        <v>1343.3581543</v>
      </c>
      <c r="I238">
        <v>1313.6632079999999</v>
      </c>
      <c r="J238">
        <v>1305.7592772999999</v>
      </c>
      <c r="K238">
        <v>2400</v>
      </c>
      <c r="L238">
        <v>0</v>
      </c>
      <c r="M238">
        <v>0</v>
      </c>
      <c r="N238">
        <v>2400</v>
      </c>
    </row>
    <row r="239" spans="1:14" x14ac:dyDescent="0.25">
      <c r="A239">
        <v>21.588539000000001</v>
      </c>
      <c r="B239" s="1">
        <f>DATE(2010,5,22) + TIME(14,7,29)</f>
        <v>40320.588530092595</v>
      </c>
      <c r="C239">
        <v>80</v>
      </c>
      <c r="D239">
        <v>79.930976868000002</v>
      </c>
      <c r="E239">
        <v>50</v>
      </c>
      <c r="F239">
        <v>14.999353408999999</v>
      </c>
      <c r="G239">
        <v>1347.3469238</v>
      </c>
      <c r="H239">
        <v>1343.3505858999999</v>
      </c>
      <c r="I239">
        <v>1313.6636963000001</v>
      </c>
      <c r="J239">
        <v>1305.7596435999999</v>
      </c>
      <c r="K239">
        <v>2400</v>
      </c>
      <c r="L239">
        <v>0</v>
      </c>
      <c r="M239">
        <v>0</v>
      </c>
      <c r="N239">
        <v>2400</v>
      </c>
    </row>
    <row r="240" spans="1:14" x14ac:dyDescent="0.25">
      <c r="A240">
        <v>21.733899999999998</v>
      </c>
      <c r="B240" s="1">
        <f>DATE(2010,5,22) + TIME(17,36,48)</f>
        <v>40320.733888888892</v>
      </c>
      <c r="C240">
        <v>80</v>
      </c>
      <c r="D240">
        <v>79.930969238000003</v>
      </c>
      <c r="E240">
        <v>50</v>
      </c>
      <c r="F240">
        <v>14.999355316000001</v>
      </c>
      <c r="G240">
        <v>1347.3377685999999</v>
      </c>
      <c r="H240">
        <v>1343.3430175999999</v>
      </c>
      <c r="I240">
        <v>1313.6641846</v>
      </c>
      <c r="J240">
        <v>1305.7601318</v>
      </c>
      <c r="K240">
        <v>2400</v>
      </c>
      <c r="L240">
        <v>0</v>
      </c>
      <c r="M240">
        <v>0</v>
      </c>
      <c r="N240">
        <v>2400</v>
      </c>
    </row>
    <row r="241" spans="1:14" x14ac:dyDescent="0.25">
      <c r="A241">
        <v>21.879262000000001</v>
      </c>
      <c r="B241" s="1">
        <f>DATE(2010,5,22) + TIME(21,6,8)</f>
        <v>40320.879259259258</v>
      </c>
      <c r="C241">
        <v>80</v>
      </c>
      <c r="D241">
        <v>79.930953978999995</v>
      </c>
      <c r="E241">
        <v>50</v>
      </c>
      <c r="F241">
        <v>14.999357224000001</v>
      </c>
      <c r="G241">
        <v>1347.3284911999999</v>
      </c>
      <c r="H241">
        <v>1343.3355713000001</v>
      </c>
      <c r="I241">
        <v>1313.6645507999999</v>
      </c>
      <c r="J241">
        <v>1305.7604980000001</v>
      </c>
      <c r="K241">
        <v>2400</v>
      </c>
      <c r="L241">
        <v>0</v>
      </c>
      <c r="M241">
        <v>0</v>
      </c>
      <c r="N241">
        <v>2400</v>
      </c>
    </row>
    <row r="242" spans="1:14" x14ac:dyDescent="0.25">
      <c r="A242">
        <v>22.024622999999998</v>
      </c>
      <c r="B242" s="1">
        <f>DATE(2010,5,23) + TIME(0,35,27)</f>
        <v>40321.024618055555</v>
      </c>
      <c r="C242">
        <v>80</v>
      </c>
      <c r="D242">
        <v>79.930938721000004</v>
      </c>
      <c r="E242">
        <v>50</v>
      </c>
      <c r="F242">
        <v>14.999359131</v>
      </c>
      <c r="G242">
        <v>1347.3194579999999</v>
      </c>
      <c r="H242">
        <v>1343.328125</v>
      </c>
      <c r="I242">
        <v>1313.6650391000001</v>
      </c>
      <c r="J242">
        <v>1305.7608643000001</v>
      </c>
      <c r="K242">
        <v>2400</v>
      </c>
      <c r="L242">
        <v>0</v>
      </c>
      <c r="M242">
        <v>0</v>
      </c>
      <c r="N242">
        <v>2400</v>
      </c>
    </row>
    <row r="243" spans="1:14" x14ac:dyDescent="0.25">
      <c r="A243">
        <v>22.169985</v>
      </c>
      <c r="B243" s="1">
        <f>DATE(2010,5,23) + TIME(4,4,46)</f>
        <v>40321.169976851852</v>
      </c>
      <c r="C243">
        <v>80</v>
      </c>
      <c r="D243">
        <v>79.930931091000005</v>
      </c>
      <c r="E243">
        <v>50</v>
      </c>
      <c r="F243">
        <v>14.999360084999999</v>
      </c>
      <c r="G243">
        <v>1347.3103027</v>
      </c>
      <c r="H243">
        <v>1343.3206786999999</v>
      </c>
      <c r="I243">
        <v>1313.6655272999999</v>
      </c>
      <c r="J243">
        <v>1305.7612305</v>
      </c>
      <c r="K243">
        <v>2400</v>
      </c>
      <c r="L243">
        <v>0</v>
      </c>
      <c r="M243">
        <v>0</v>
      </c>
      <c r="N243">
        <v>2400</v>
      </c>
    </row>
    <row r="244" spans="1:14" x14ac:dyDescent="0.25">
      <c r="A244">
        <v>22.315346000000002</v>
      </c>
      <c r="B244" s="1">
        <f>DATE(2010,5,23) + TIME(7,34,5)</f>
        <v>40321.315335648149</v>
      </c>
      <c r="C244">
        <v>80</v>
      </c>
      <c r="D244">
        <v>79.930915833</v>
      </c>
      <c r="E244">
        <v>50</v>
      </c>
      <c r="F244">
        <v>14.999361992000001</v>
      </c>
      <c r="G244">
        <v>1347.3012695</v>
      </c>
      <c r="H244">
        <v>1343.3133545000001</v>
      </c>
      <c r="I244">
        <v>1313.6658935999999</v>
      </c>
      <c r="J244">
        <v>1305.7615966999999</v>
      </c>
      <c r="K244">
        <v>2400</v>
      </c>
      <c r="L244">
        <v>0</v>
      </c>
      <c r="M244">
        <v>0</v>
      </c>
      <c r="N244">
        <v>2400</v>
      </c>
    </row>
    <row r="245" spans="1:14" x14ac:dyDescent="0.25">
      <c r="A245">
        <v>22.460708</v>
      </c>
      <c r="B245" s="1">
        <f>DATE(2010,5,23) + TIME(11,3,25)</f>
        <v>40321.460706018515</v>
      </c>
      <c r="C245">
        <v>80</v>
      </c>
      <c r="D245">
        <v>79.930900574000006</v>
      </c>
      <c r="E245">
        <v>50</v>
      </c>
      <c r="F245">
        <v>14.999362946</v>
      </c>
      <c r="G245">
        <v>1347.2923584</v>
      </c>
      <c r="H245">
        <v>1343.3060303</v>
      </c>
      <c r="I245">
        <v>1313.6663818</v>
      </c>
      <c r="J245">
        <v>1305.7619629000001</v>
      </c>
      <c r="K245">
        <v>2400</v>
      </c>
      <c r="L245">
        <v>0</v>
      </c>
      <c r="M245">
        <v>0</v>
      </c>
      <c r="N245">
        <v>2400</v>
      </c>
    </row>
    <row r="246" spans="1:14" x14ac:dyDescent="0.25">
      <c r="A246">
        <v>22.751431</v>
      </c>
      <c r="B246" s="1">
        <f>DATE(2010,5,23) + TIME(18,2,3)</f>
        <v>40321.751423611109</v>
      </c>
      <c r="C246">
        <v>80</v>
      </c>
      <c r="D246">
        <v>79.930892943999993</v>
      </c>
      <c r="E246">
        <v>50</v>
      </c>
      <c r="F246">
        <v>14.999365807</v>
      </c>
      <c r="G246">
        <v>1347.2836914</v>
      </c>
      <c r="H246">
        <v>1343.2990723</v>
      </c>
      <c r="I246">
        <v>1313.6668701000001</v>
      </c>
      <c r="J246">
        <v>1305.7624512</v>
      </c>
      <c r="K246">
        <v>2400</v>
      </c>
      <c r="L246">
        <v>0</v>
      </c>
      <c r="M246">
        <v>0</v>
      </c>
      <c r="N246">
        <v>2400</v>
      </c>
    </row>
    <row r="247" spans="1:14" x14ac:dyDescent="0.25">
      <c r="A247">
        <v>23.042594999999999</v>
      </c>
      <c r="B247" s="1">
        <f>DATE(2010,5,24) + TIME(1,1,20)</f>
        <v>40322.042592592596</v>
      </c>
      <c r="C247">
        <v>80</v>
      </c>
      <c r="D247">
        <v>79.930877686000002</v>
      </c>
      <c r="E247">
        <v>50</v>
      </c>
      <c r="F247">
        <v>14.999368668000001</v>
      </c>
      <c r="G247">
        <v>1347.2659911999999</v>
      </c>
      <c r="H247">
        <v>1343.2847899999999</v>
      </c>
      <c r="I247">
        <v>1313.6678466999999</v>
      </c>
      <c r="J247">
        <v>1305.7631836</v>
      </c>
      <c r="K247">
        <v>2400</v>
      </c>
      <c r="L247">
        <v>0</v>
      </c>
      <c r="M247">
        <v>0</v>
      </c>
      <c r="N247">
        <v>2400</v>
      </c>
    </row>
    <row r="248" spans="1:14" x14ac:dyDescent="0.25">
      <c r="A248">
        <v>23.336397999999999</v>
      </c>
      <c r="B248" s="1">
        <f>DATE(2010,5,24) + TIME(8,4,24)</f>
        <v>40322.336388888885</v>
      </c>
      <c r="C248">
        <v>80</v>
      </c>
      <c r="D248">
        <v>79.930854796999995</v>
      </c>
      <c r="E248">
        <v>50</v>
      </c>
      <c r="F248">
        <v>14.999371528999999</v>
      </c>
      <c r="G248">
        <v>1347.2485352000001</v>
      </c>
      <c r="H248">
        <v>1343.2706298999999</v>
      </c>
      <c r="I248">
        <v>1313.6687012</v>
      </c>
      <c r="J248">
        <v>1305.7639160000001</v>
      </c>
      <c r="K248">
        <v>2400</v>
      </c>
      <c r="L248">
        <v>0</v>
      </c>
      <c r="M248">
        <v>0</v>
      </c>
      <c r="N248">
        <v>2400</v>
      </c>
    </row>
    <row r="249" spans="1:14" x14ac:dyDescent="0.25">
      <c r="A249">
        <v>23.633391</v>
      </c>
      <c r="B249" s="1">
        <f>DATE(2010,5,24) + TIME(15,12,4)</f>
        <v>40322.633379629631</v>
      </c>
      <c r="C249">
        <v>80</v>
      </c>
      <c r="D249">
        <v>79.930831909000005</v>
      </c>
      <c r="E249">
        <v>50</v>
      </c>
      <c r="F249">
        <v>14.99937439</v>
      </c>
      <c r="G249">
        <v>1347.2310791</v>
      </c>
      <c r="H249">
        <v>1343.2565918</v>
      </c>
      <c r="I249">
        <v>1313.6696777</v>
      </c>
      <c r="J249">
        <v>1305.7646483999999</v>
      </c>
      <c r="K249">
        <v>2400</v>
      </c>
      <c r="L249">
        <v>0</v>
      </c>
      <c r="M249">
        <v>0</v>
      </c>
      <c r="N249">
        <v>2400</v>
      </c>
    </row>
    <row r="250" spans="1:14" x14ac:dyDescent="0.25">
      <c r="A250">
        <v>23.934155000000001</v>
      </c>
      <c r="B250" s="1">
        <f>DATE(2010,5,24) + TIME(22,25,11)</f>
        <v>40322.934155092589</v>
      </c>
      <c r="C250">
        <v>80</v>
      </c>
      <c r="D250">
        <v>79.930816649999997</v>
      </c>
      <c r="E250">
        <v>50</v>
      </c>
      <c r="F250">
        <v>14.999377251</v>
      </c>
      <c r="G250">
        <v>1347.2136230000001</v>
      </c>
      <c r="H250">
        <v>1343.2424315999999</v>
      </c>
      <c r="I250">
        <v>1313.6705322</v>
      </c>
      <c r="J250">
        <v>1305.7655029</v>
      </c>
      <c r="K250">
        <v>2400</v>
      </c>
      <c r="L250">
        <v>0</v>
      </c>
      <c r="M250">
        <v>0</v>
      </c>
      <c r="N250">
        <v>2400</v>
      </c>
    </row>
    <row r="251" spans="1:14" x14ac:dyDescent="0.25">
      <c r="A251">
        <v>24.239297000000001</v>
      </c>
      <c r="B251" s="1">
        <f>DATE(2010,5,25) + TIME(5,44,35)</f>
        <v>40323.239293981482</v>
      </c>
      <c r="C251">
        <v>80</v>
      </c>
      <c r="D251">
        <v>79.930793761999993</v>
      </c>
      <c r="E251">
        <v>50</v>
      </c>
      <c r="F251">
        <v>14.999380112000001</v>
      </c>
      <c r="G251">
        <v>1347.1961670000001</v>
      </c>
      <c r="H251">
        <v>1343.2283935999999</v>
      </c>
      <c r="I251">
        <v>1313.6715088000001</v>
      </c>
      <c r="J251">
        <v>1305.7662353999999</v>
      </c>
      <c r="K251">
        <v>2400</v>
      </c>
      <c r="L251">
        <v>0</v>
      </c>
      <c r="M251">
        <v>0</v>
      </c>
      <c r="N251">
        <v>2400</v>
      </c>
    </row>
    <row r="252" spans="1:14" x14ac:dyDescent="0.25">
      <c r="A252">
        <v>24.549454000000001</v>
      </c>
      <c r="B252" s="1">
        <f>DATE(2010,5,25) + TIME(13,11,12)</f>
        <v>40323.549444444441</v>
      </c>
      <c r="C252">
        <v>80</v>
      </c>
      <c r="D252">
        <v>79.930770874000004</v>
      </c>
      <c r="E252">
        <v>50</v>
      </c>
      <c r="F252">
        <v>14.999382972999999</v>
      </c>
      <c r="G252">
        <v>1347.1785889</v>
      </c>
      <c r="H252">
        <v>1343.2143555</v>
      </c>
      <c r="I252">
        <v>1313.6724853999999</v>
      </c>
      <c r="J252">
        <v>1305.7670897999999</v>
      </c>
      <c r="K252">
        <v>2400</v>
      </c>
      <c r="L252">
        <v>0</v>
      </c>
      <c r="M252">
        <v>0</v>
      </c>
      <c r="N252">
        <v>2400</v>
      </c>
    </row>
    <row r="253" spans="1:14" x14ac:dyDescent="0.25">
      <c r="A253">
        <v>24.865442000000002</v>
      </c>
      <c r="B253" s="1">
        <f>DATE(2010,5,25) + TIME(20,46,14)</f>
        <v>40323.865439814814</v>
      </c>
      <c r="C253">
        <v>80</v>
      </c>
      <c r="D253">
        <v>79.930747986</v>
      </c>
      <c r="E253">
        <v>50</v>
      </c>
      <c r="F253">
        <v>14.999385834</v>
      </c>
      <c r="G253">
        <v>1347.1610106999999</v>
      </c>
      <c r="H253">
        <v>1343.2001952999999</v>
      </c>
      <c r="I253">
        <v>1313.6734618999999</v>
      </c>
      <c r="J253">
        <v>1305.7678223</v>
      </c>
      <c r="K253">
        <v>2400</v>
      </c>
      <c r="L253">
        <v>0</v>
      </c>
      <c r="M253">
        <v>0</v>
      </c>
      <c r="N253">
        <v>2400</v>
      </c>
    </row>
    <row r="254" spans="1:14" x14ac:dyDescent="0.25">
      <c r="A254">
        <v>25.187859</v>
      </c>
      <c r="B254" s="1">
        <f>DATE(2010,5,26) + TIME(4,30,31)</f>
        <v>40324.187858796293</v>
      </c>
      <c r="C254">
        <v>80</v>
      </c>
      <c r="D254">
        <v>79.930725097999996</v>
      </c>
      <c r="E254">
        <v>50</v>
      </c>
      <c r="F254">
        <v>14.999389647999999</v>
      </c>
      <c r="G254">
        <v>1347.1433105000001</v>
      </c>
      <c r="H254">
        <v>1343.1860352000001</v>
      </c>
      <c r="I254">
        <v>1313.6744385</v>
      </c>
      <c r="J254">
        <v>1305.7686768000001</v>
      </c>
      <c r="K254">
        <v>2400</v>
      </c>
      <c r="L254">
        <v>0</v>
      </c>
      <c r="M254">
        <v>0</v>
      </c>
      <c r="N254">
        <v>2400</v>
      </c>
    </row>
    <row r="255" spans="1:14" x14ac:dyDescent="0.25">
      <c r="A255">
        <v>25.517495</v>
      </c>
      <c r="B255" s="1">
        <f>DATE(2010,5,26) + TIME(12,25,11)</f>
        <v>40324.517488425925</v>
      </c>
      <c r="C255">
        <v>80</v>
      </c>
      <c r="D255">
        <v>79.930702209000003</v>
      </c>
      <c r="E255">
        <v>50</v>
      </c>
      <c r="F255">
        <v>14.999392509</v>
      </c>
      <c r="G255">
        <v>1347.1253661999999</v>
      </c>
      <c r="H255">
        <v>1343.1716309000001</v>
      </c>
      <c r="I255">
        <v>1313.6755370999999</v>
      </c>
      <c r="J255">
        <v>1305.7695312000001</v>
      </c>
      <c r="K255">
        <v>2400</v>
      </c>
      <c r="L255">
        <v>0</v>
      </c>
      <c r="M255">
        <v>0</v>
      </c>
      <c r="N255">
        <v>2400</v>
      </c>
    </row>
    <row r="256" spans="1:14" x14ac:dyDescent="0.25">
      <c r="A256">
        <v>25.684466</v>
      </c>
      <c r="B256" s="1">
        <f>DATE(2010,5,26) + TIME(16,25,37)</f>
        <v>40324.68445601852</v>
      </c>
      <c r="C256">
        <v>80</v>
      </c>
      <c r="D256">
        <v>79.930679321</v>
      </c>
      <c r="E256">
        <v>50</v>
      </c>
      <c r="F256">
        <v>14.999394417</v>
      </c>
      <c r="G256">
        <v>1347.1070557</v>
      </c>
      <c r="H256">
        <v>1343.1568603999999</v>
      </c>
      <c r="I256">
        <v>1313.6765137</v>
      </c>
      <c r="J256">
        <v>1305.7703856999999</v>
      </c>
      <c r="K256">
        <v>2400</v>
      </c>
      <c r="L256">
        <v>0</v>
      </c>
      <c r="M256">
        <v>0</v>
      </c>
      <c r="N256">
        <v>2400</v>
      </c>
    </row>
    <row r="257" spans="1:14" x14ac:dyDescent="0.25">
      <c r="A257">
        <v>25.850925</v>
      </c>
      <c r="B257" s="1">
        <f>DATE(2010,5,26) + TIME(20,25,19)</f>
        <v>40324.850914351853</v>
      </c>
      <c r="C257">
        <v>80</v>
      </c>
      <c r="D257">
        <v>79.930664062000005</v>
      </c>
      <c r="E257">
        <v>50</v>
      </c>
      <c r="F257">
        <v>14.99939537</v>
      </c>
      <c r="G257">
        <v>1347.0979004000001</v>
      </c>
      <c r="H257">
        <v>1343.1495361</v>
      </c>
      <c r="I257">
        <v>1313.6770019999999</v>
      </c>
      <c r="J257">
        <v>1305.7707519999999</v>
      </c>
      <c r="K257">
        <v>2400</v>
      </c>
      <c r="L257">
        <v>0</v>
      </c>
      <c r="M257">
        <v>0</v>
      </c>
      <c r="N257">
        <v>2400</v>
      </c>
    </row>
    <row r="258" spans="1:14" x14ac:dyDescent="0.25">
      <c r="A258">
        <v>26.017059</v>
      </c>
      <c r="B258" s="1">
        <f>DATE(2010,5,27) + TIME(0,24,33)</f>
        <v>40325.017048611109</v>
      </c>
      <c r="C258">
        <v>80</v>
      </c>
      <c r="D258">
        <v>79.930648804</v>
      </c>
      <c r="E258">
        <v>50</v>
      </c>
      <c r="F258">
        <v>14.999397278</v>
      </c>
      <c r="G258">
        <v>1347.0889893000001</v>
      </c>
      <c r="H258">
        <v>1343.1423339999999</v>
      </c>
      <c r="I258">
        <v>1313.6774902</v>
      </c>
      <c r="J258">
        <v>1305.7712402</v>
      </c>
      <c r="K258">
        <v>2400</v>
      </c>
      <c r="L258">
        <v>0</v>
      </c>
      <c r="M258">
        <v>0</v>
      </c>
      <c r="N258">
        <v>2400</v>
      </c>
    </row>
    <row r="259" spans="1:14" x14ac:dyDescent="0.25">
      <c r="A259">
        <v>26.182957999999999</v>
      </c>
      <c r="B259" s="1">
        <f>DATE(2010,5,27) + TIME(4,23,27)</f>
        <v>40325.182951388888</v>
      </c>
      <c r="C259">
        <v>80</v>
      </c>
      <c r="D259">
        <v>79.930633545000006</v>
      </c>
      <c r="E259">
        <v>50</v>
      </c>
      <c r="F259">
        <v>14.999399185</v>
      </c>
      <c r="G259">
        <v>1347.0800781</v>
      </c>
      <c r="H259">
        <v>1343.1352539</v>
      </c>
      <c r="I259">
        <v>1313.6781006000001</v>
      </c>
      <c r="J259">
        <v>1305.7717285000001</v>
      </c>
      <c r="K259">
        <v>2400</v>
      </c>
      <c r="L259">
        <v>0</v>
      </c>
      <c r="M259">
        <v>0</v>
      </c>
      <c r="N259">
        <v>2400</v>
      </c>
    </row>
    <row r="260" spans="1:14" x14ac:dyDescent="0.25">
      <c r="A260">
        <v>26.348707999999998</v>
      </c>
      <c r="B260" s="1">
        <f>DATE(2010,5,27) + TIME(8,22,8)</f>
        <v>40325.348703703705</v>
      </c>
      <c r="C260">
        <v>80</v>
      </c>
      <c r="D260">
        <v>79.930618285999998</v>
      </c>
      <c r="E260">
        <v>50</v>
      </c>
      <c r="F260">
        <v>14.999401092999999</v>
      </c>
      <c r="G260">
        <v>1347.0711670000001</v>
      </c>
      <c r="H260">
        <v>1343.1281738</v>
      </c>
      <c r="I260">
        <v>1313.6785889</v>
      </c>
      <c r="J260">
        <v>1305.7720947</v>
      </c>
      <c r="K260">
        <v>2400</v>
      </c>
      <c r="L260">
        <v>0</v>
      </c>
      <c r="M260">
        <v>0</v>
      </c>
      <c r="N260">
        <v>2400</v>
      </c>
    </row>
    <row r="261" spans="1:14" x14ac:dyDescent="0.25">
      <c r="A261">
        <v>26.514365999999999</v>
      </c>
      <c r="B261" s="1">
        <f>DATE(2010,5,27) + TIME(12,20,41)</f>
        <v>40325.514363425929</v>
      </c>
      <c r="C261">
        <v>80</v>
      </c>
      <c r="D261">
        <v>79.930610657000003</v>
      </c>
      <c r="E261">
        <v>50</v>
      </c>
      <c r="F261">
        <v>14.999402046</v>
      </c>
      <c r="G261">
        <v>1347.0623779</v>
      </c>
      <c r="H261">
        <v>1343.1210937999999</v>
      </c>
      <c r="I261">
        <v>1313.6791992000001</v>
      </c>
      <c r="J261">
        <v>1305.7725829999999</v>
      </c>
      <c r="K261">
        <v>2400</v>
      </c>
      <c r="L261">
        <v>0</v>
      </c>
      <c r="M261">
        <v>0</v>
      </c>
      <c r="N261">
        <v>2400</v>
      </c>
    </row>
    <row r="262" spans="1:14" x14ac:dyDescent="0.25">
      <c r="A262">
        <v>26.680025000000001</v>
      </c>
      <c r="B262" s="1">
        <f>DATE(2010,5,27) + TIME(16,19,14)</f>
        <v>40325.680023148147</v>
      </c>
      <c r="C262">
        <v>80</v>
      </c>
      <c r="D262">
        <v>79.930595397999994</v>
      </c>
      <c r="E262">
        <v>50</v>
      </c>
      <c r="F262">
        <v>14.999403954</v>
      </c>
      <c r="G262">
        <v>1347.0535889</v>
      </c>
      <c r="H262">
        <v>1343.1140137</v>
      </c>
      <c r="I262">
        <v>1313.6796875</v>
      </c>
      <c r="J262">
        <v>1305.7729492000001</v>
      </c>
      <c r="K262">
        <v>2400</v>
      </c>
      <c r="L262">
        <v>0</v>
      </c>
      <c r="M262">
        <v>0</v>
      </c>
      <c r="N262">
        <v>2400</v>
      </c>
    </row>
    <row r="263" spans="1:14" x14ac:dyDescent="0.25">
      <c r="A263">
        <v>26.845683999999999</v>
      </c>
      <c r="B263" s="1">
        <f>DATE(2010,5,27) + TIME(20,17,47)</f>
        <v>40325.845682870371</v>
      </c>
      <c r="C263">
        <v>80</v>
      </c>
      <c r="D263">
        <v>79.930580139</v>
      </c>
      <c r="E263">
        <v>50</v>
      </c>
      <c r="F263">
        <v>14.999405861</v>
      </c>
      <c r="G263">
        <v>1347.0449219</v>
      </c>
      <c r="H263">
        <v>1343.1070557</v>
      </c>
      <c r="I263">
        <v>1313.6801757999999</v>
      </c>
      <c r="J263">
        <v>1305.7734375</v>
      </c>
      <c r="K263">
        <v>2400</v>
      </c>
      <c r="L263">
        <v>0</v>
      </c>
      <c r="M263">
        <v>0</v>
      </c>
      <c r="N263">
        <v>2400</v>
      </c>
    </row>
    <row r="264" spans="1:14" x14ac:dyDescent="0.25">
      <c r="A264">
        <v>27.011341999999999</v>
      </c>
      <c r="B264" s="1">
        <f>DATE(2010,5,28) + TIME(0,16,19)</f>
        <v>40326.011331018519</v>
      </c>
      <c r="C264">
        <v>80</v>
      </c>
      <c r="D264">
        <v>79.930572510000005</v>
      </c>
      <c r="E264">
        <v>50</v>
      </c>
      <c r="F264">
        <v>14.999406815</v>
      </c>
      <c r="G264">
        <v>1347.0362548999999</v>
      </c>
      <c r="H264">
        <v>1343.1002197</v>
      </c>
      <c r="I264">
        <v>1313.6807861</v>
      </c>
      <c r="J264">
        <v>1305.7739257999999</v>
      </c>
      <c r="K264">
        <v>2400</v>
      </c>
      <c r="L264">
        <v>0</v>
      </c>
      <c r="M264">
        <v>0</v>
      </c>
      <c r="N264">
        <v>2400</v>
      </c>
    </row>
    <row r="265" spans="1:14" x14ac:dyDescent="0.25">
      <c r="A265">
        <v>27.177001000000001</v>
      </c>
      <c r="B265" s="1">
        <f>DATE(2010,5,28) + TIME(4,14,52)</f>
        <v>40326.176990740743</v>
      </c>
      <c r="C265">
        <v>80</v>
      </c>
      <c r="D265">
        <v>79.930557250999996</v>
      </c>
      <c r="E265">
        <v>50</v>
      </c>
      <c r="F265">
        <v>14.999408722</v>
      </c>
      <c r="G265">
        <v>1347.0275879000001</v>
      </c>
      <c r="H265">
        <v>1343.0933838000001</v>
      </c>
      <c r="I265">
        <v>1313.6812743999999</v>
      </c>
      <c r="J265">
        <v>1305.7742920000001</v>
      </c>
      <c r="K265">
        <v>2400</v>
      </c>
      <c r="L265">
        <v>0</v>
      </c>
      <c r="M265">
        <v>0</v>
      </c>
      <c r="N265">
        <v>2400</v>
      </c>
    </row>
    <row r="266" spans="1:14" x14ac:dyDescent="0.25">
      <c r="A266">
        <v>27.342659999999999</v>
      </c>
      <c r="B266" s="1">
        <f>DATE(2010,5,28) + TIME(8,13,25)</f>
        <v>40326.342650462961</v>
      </c>
      <c r="C266">
        <v>80</v>
      </c>
      <c r="D266">
        <v>79.930549622000001</v>
      </c>
      <c r="E266">
        <v>50</v>
      </c>
      <c r="F266">
        <v>14.999409676000001</v>
      </c>
      <c r="G266">
        <v>1347.019043</v>
      </c>
      <c r="H266">
        <v>1343.0865478999999</v>
      </c>
      <c r="I266">
        <v>1313.6817627</v>
      </c>
      <c r="J266">
        <v>1305.7747803</v>
      </c>
      <c r="K266">
        <v>2400</v>
      </c>
      <c r="L266">
        <v>0</v>
      </c>
      <c r="M266">
        <v>0</v>
      </c>
      <c r="N266">
        <v>2400</v>
      </c>
    </row>
    <row r="267" spans="1:14" x14ac:dyDescent="0.25">
      <c r="A267">
        <v>27.508317999999999</v>
      </c>
      <c r="B267" s="1">
        <f>DATE(2010,5,28) + TIME(12,11,58)</f>
        <v>40326.508310185185</v>
      </c>
      <c r="C267">
        <v>80</v>
      </c>
      <c r="D267">
        <v>79.930534363000007</v>
      </c>
      <c r="E267">
        <v>50</v>
      </c>
      <c r="F267">
        <v>14.999411583000001</v>
      </c>
      <c r="G267">
        <v>1347.0106201000001</v>
      </c>
      <c r="H267">
        <v>1343.0797118999999</v>
      </c>
      <c r="I267">
        <v>1313.6823730000001</v>
      </c>
      <c r="J267">
        <v>1305.7752685999999</v>
      </c>
      <c r="K267">
        <v>2400</v>
      </c>
      <c r="L267">
        <v>0</v>
      </c>
      <c r="M267">
        <v>0</v>
      </c>
      <c r="N267">
        <v>2400</v>
      </c>
    </row>
    <row r="268" spans="1:14" x14ac:dyDescent="0.25">
      <c r="A268">
        <v>27.839635999999999</v>
      </c>
      <c r="B268" s="1">
        <f>DATE(2010,5,28) + TIME(20,9,4)</f>
        <v>40326.839629629627</v>
      </c>
      <c r="C268">
        <v>80</v>
      </c>
      <c r="D268">
        <v>79.930526732999994</v>
      </c>
      <c r="E268">
        <v>50</v>
      </c>
      <c r="F268">
        <v>14.999414443999999</v>
      </c>
      <c r="G268">
        <v>1347.0023193</v>
      </c>
      <c r="H268">
        <v>1343.0732422000001</v>
      </c>
      <c r="I268">
        <v>1313.6829834</v>
      </c>
      <c r="J268">
        <v>1305.7757568</v>
      </c>
      <c r="K268">
        <v>2400</v>
      </c>
      <c r="L268">
        <v>0</v>
      </c>
      <c r="M268">
        <v>0</v>
      </c>
      <c r="N268">
        <v>2400</v>
      </c>
    </row>
    <row r="269" spans="1:14" x14ac:dyDescent="0.25">
      <c r="A269">
        <v>28.171569000000002</v>
      </c>
      <c r="B269" s="1">
        <f>DATE(2010,5,29) + TIME(4,7,3)</f>
        <v>40327.1715625</v>
      </c>
      <c r="C269">
        <v>80</v>
      </c>
      <c r="D269">
        <v>79.930519103999998</v>
      </c>
      <c r="E269">
        <v>50</v>
      </c>
      <c r="F269">
        <v>14.999416351000001</v>
      </c>
      <c r="G269">
        <v>1346.9855957</v>
      </c>
      <c r="H269">
        <v>1343.0599365</v>
      </c>
      <c r="I269">
        <v>1313.684082</v>
      </c>
      <c r="J269">
        <v>1305.7766113</v>
      </c>
      <c r="K269">
        <v>2400</v>
      </c>
      <c r="L269">
        <v>0</v>
      </c>
      <c r="M269">
        <v>0</v>
      </c>
      <c r="N269">
        <v>2400</v>
      </c>
    </row>
    <row r="270" spans="1:14" x14ac:dyDescent="0.25">
      <c r="A270">
        <v>28.506319000000001</v>
      </c>
      <c r="B270" s="1">
        <f>DATE(2010,5,29) + TIME(12,9,6)</f>
        <v>40327.506319444445</v>
      </c>
      <c r="C270">
        <v>80</v>
      </c>
      <c r="D270">
        <v>79.930496215999995</v>
      </c>
      <c r="E270">
        <v>50</v>
      </c>
      <c r="F270">
        <v>14.999419211999999</v>
      </c>
      <c r="G270">
        <v>1346.9688721</v>
      </c>
      <c r="H270">
        <v>1343.0467529</v>
      </c>
      <c r="I270">
        <v>1313.6850586</v>
      </c>
      <c r="J270">
        <v>1305.7774658000001</v>
      </c>
      <c r="K270">
        <v>2400</v>
      </c>
      <c r="L270">
        <v>0</v>
      </c>
      <c r="M270">
        <v>0</v>
      </c>
      <c r="N270">
        <v>2400</v>
      </c>
    </row>
    <row r="271" spans="1:14" x14ac:dyDescent="0.25">
      <c r="A271">
        <v>28.844525000000001</v>
      </c>
      <c r="B271" s="1">
        <f>DATE(2010,5,29) + TIME(20,16,6)</f>
        <v>40327.844513888886</v>
      </c>
      <c r="C271">
        <v>80</v>
      </c>
      <c r="D271">
        <v>79.930480957</v>
      </c>
      <c r="E271">
        <v>50</v>
      </c>
      <c r="F271">
        <v>14.999422073</v>
      </c>
      <c r="G271">
        <v>1346.9522704999999</v>
      </c>
      <c r="H271">
        <v>1343.0335693</v>
      </c>
      <c r="I271">
        <v>1313.6861572</v>
      </c>
      <c r="J271">
        <v>1305.7784423999999</v>
      </c>
      <c r="K271">
        <v>2400</v>
      </c>
      <c r="L271">
        <v>0</v>
      </c>
      <c r="M271">
        <v>0</v>
      </c>
      <c r="N271">
        <v>2400</v>
      </c>
    </row>
    <row r="272" spans="1:14" x14ac:dyDescent="0.25">
      <c r="A272">
        <v>29.186889999999998</v>
      </c>
      <c r="B272" s="1">
        <f>DATE(2010,5,30) + TIME(4,29,7)</f>
        <v>40328.186886574076</v>
      </c>
      <c r="C272">
        <v>80</v>
      </c>
      <c r="D272">
        <v>79.930465698000006</v>
      </c>
      <c r="E272">
        <v>50</v>
      </c>
      <c r="F272">
        <v>14.999424934</v>
      </c>
      <c r="G272">
        <v>1346.9356689000001</v>
      </c>
      <c r="H272">
        <v>1343.0203856999999</v>
      </c>
      <c r="I272">
        <v>1313.6872559000001</v>
      </c>
      <c r="J272">
        <v>1305.7792969</v>
      </c>
      <c r="K272">
        <v>2400</v>
      </c>
      <c r="L272">
        <v>0</v>
      </c>
      <c r="M272">
        <v>0</v>
      </c>
      <c r="N272">
        <v>2400</v>
      </c>
    </row>
    <row r="273" spans="1:14" x14ac:dyDescent="0.25">
      <c r="A273">
        <v>29.534143</v>
      </c>
      <c r="B273" s="1">
        <f>DATE(2010,5,30) + TIME(12,49,9)</f>
        <v>40328.534131944441</v>
      </c>
      <c r="C273">
        <v>80</v>
      </c>
      <c r="D273">
        <v>79.930442810000002</v>
      </c>
      <c r="E273">
        <v>50</v>
      </c>
      <c r="F273">
        <v>14.999427795000001</v>
      </c>
      <c r="G273">
        <v>1346.9190673999999</v>
      </c>
      <c r="H273">
        <v>1343.0073242000001</v>
      </c>
      <c r="I273">
        <v>1313.6884766000001</v>
      </c>
      <c r="J273">
        <v>1305.7802733999999</v>
      </c>
      <c r="K273">
        <v>2400</v>
      </c>
      <c r="L273">
        <v>0</v>
      </c>
      <c r="M273">
        <v>0</v>
      </c>
      <c r="N273">
        <v>2400</v>
      </c>
    </row>
    <row r="274" spans="1:14" x14ac:dyDescent="0.25">
      <c r="A274">
        <v>29.887049999999999</v>
      </c>
      <c r="B274" s="1">
        <f>DATE(2010,5,30) + TIME(21,17,21)</f>
        <v>40328.887048611112</v>
      </c>
      <c r="C274">
        <v>80</v>
      </c>
      <c r="D274">
        <v>79.930427550999994</v>
      </c>
      <c r="E274">
        <v>50</v>
      </c>
      <c r="F274">
        <v>14.999430655999999</v>
      </c>
      <c r="G274">
        <v>1346.9023437999999</v>
      </c>
      <c r="H274">
        <v>1342.9941406</v>
      </c>
      <c r="I274">
        <v>1313.6895752</v>
      </c>
      <c r="J274">
        <v>1305.78125</v>
      </c>
      <c r="K274">
        <v>2400</v>
      </c>
      <c r="L274">
        <v>0</v>
      </c>
      <c r="M274">
        <v>0</v>
      </c>
      <c r="N274">
        <v>2400</v>
      </c>
    </row>
    <row r="275" spans="1:14" x14ac:dyDescent="0.25">
      <c r="A275">
        <v>30.246524000000001</v>
      </c>
      <c r="B275" s="1">
        <f>DATE(2010,5,31) + TIME(5,54,59)</f>
        <v>40329.246516203704</v>
      </c>
      <c r="C275">
        <v>80</v>
      </c>
      <c r="D275">
        <v>79.930404663000004</v>
      </c>
      <c r="E275">
        <v>50</v>
      </c>
      <c r="F275">
        <v>14.999433517</v>
      </c>
      <c r="G275">
        <v>1346.8854980000001</v>
      </c>
      <c r="H275">
        <v>1342.9808350000001</v>
      </c>
      <c r="I275">
        <v>1313.6907959</v>
      </c>
      <c r="J275">
        <v>1305.7822266000001</v>
      </c>
      <c r="K275">
        <v>2400</v>
      </c>
      <c r="L275">
        <v>0</v>
      </c>
      <c r="M275">
        <v>0</v>
      </c>
      <c r="N275">
        <v>2400</v>
      </c>
    </row>
    <row r="276" spans="1:14" x14ac:dyDescent="0.25">
      <c r="A276">
        <v>30.613401</v>
      </c>
      <c r="B276" s="1">
        <f>DATE(2010,5,31) + TIME(14,43,17)</f>
        <v>40329.613391203704</v>
      </c>
      <c r="C276">
        <v>80</v>
      </c>
      <c r="D276">
        <v>79.930389403999996</v>
      </c>
      <c r="E276">
        <v>50</v>
      </c>
      <c r="F276">
        <v>14.999436378</v>
      </c>
      <c r="G276">
        <v>1346.8686522999999</v>
      </c>
      <c r="H276">
        <v>1342.9675293</v>
      </c>
      <c r="I276">
        <v>1313.6918945</v>
      </c>
      <c r="J276">
        <v>1305.7832031</v>
      </c>
      <c r="K276">
        <v>2400</v>
      </c>
      <c r="L276">
        <v>0</v>
      </c>
      <c r="M276">
        <v>0</v>
      </c>
      <c r="N276">
        <v>2400</v>
      </c>
    </row>
    <row r="277" spans="1:14" x14ac:dyDescent="0.25">
      <c r="A277">
        <v>30.806699999999999</v>
      </c>
      <c r="B277" s="1">
        <f>DATE(2010,5,31) + TIME(19,21,38)</f>
        <v>40329.806689814817</v>
      </c>
      <c r="C277">
        <v>80</v>
      </c>
      <c r="D277">
        <v>79.930366516000007</v>
      </c>
      <c r="E277">
        <v>50</v>
      </c>
      <c r="F277">
        <v>14.999438286</v>
      </c>
      <c r="G277">
        <v>1346.8513184000001</v>
      </c>
      <c r="H277">
        <v>1342.9537353999999</v>
      </c>
      <c r="I277">
        <v>1313.6931152</v>
      </c>
      <c r="J277">
        <v>1305.7840576000001</v>
      </c>
      <c r="K277">
        <v>2400</v>
      </c>
      <c r="L277">
        <v>0</v>
      </c>
      <c r="M277">
        <v>0</v>
      </c>
      <c r="N277">
        <v>2400</v>
      </c>
    </row>
    <row r="278" spans="1:14" x14ac:dyDescent="0.25">
      <c r="A278">
        <v>31</v>
      </c>
      <c r="B278" s="1">
        <f>DATE(2010,6,1) + TIME(0,0,0)</f>
        <v>40330</v>
      </c>
      <c r="C278">
        <v>80</v>
      </c>
      <c r="D278">
        <v>79.930351256999998</v>
      </c>
      <c r="E278">
        <v>50</v>
      </c>
      <c r="F278">
        <v>14.999439239999999</v>
      </c>
      <c r="G278">
        <v>1346.8424072</v>
      </c>
      <c r="H278">
        <v>1342.9467772999999</v>
      </c>
      <c r="I278">
        <v>1313.6937256000001</v>
      </c>
      <c r="J278">
        <v>1305.784668</v>
      </c>
      <c r="K278">
        <v>2400</v>
      </c>
      <c r="L278">
        <v>0</v>
      </c>
      <c r="M278">
        <v>0</v>
      </c>
      <c r="N278">
        <v>2400</v>
      </c>
    </row>
    <row r="279" spans="1:14" x14ac:dyDescent="0.25">
      <c r="A279">
        <v>31.188286999999999</v>
      </c>
      <c r="B279" s="1">
        <f>DATE(2010,6,1) + TIME(4,31,8)</f>
        <v>40330.188287037039</v>
      </c>
      <c r="C279">
        <v>80</v>
      </c>
      <c r="D279">
        <v>79.930335998999993</v>
      </c>
      <c r="E279">
        <v>50</v>
      </c>
      <c r="F279">
        <v>14.999441147000001</v>
      </c>
      <c r="G279">
        <v>1346.8334961</v>
      </c>
      <c r="H279">
        <v>1342.9396973</v>
      </c>
      <c r="I279">
        <v>1313.6943358999999</v>
      </c>
      <c r="J279">
        <v>1305.7851562000001</v>
      </c>
      <c r="K279">
        <v>2400</v>
      </c>
      <c r="L279">
        <v>0</v>
      </c>
      <c r="M279">
        <v>0</v>
      </c>
      <c r="N279">
        <v>2400</v>
      </c>
    </row>
    <row r="280" spans="1:14" x14ac:dyDescent="0.25">
      <c r="A280">
        <v>31.375589000000002</v>
      </c>
      <c r="B280" s="1">
        <f>DATE(2010,6,1) + TIME(9,0,50)</f>
        <v>40330.375578703701</v>
      </c>
      <c r="C280">
        <v>80</v>
      </c>
      <c r="D280">
        <v>79.930320739999999</v>
      </c>
      <c r="E280">
        <v>50</v>
      </c>
      <c r="F280">
        <v>14.999443054</v>
      </c>
      <c r="G280">
        <v>1346.8248291</v>
      </c>
      <c r="H280">
        <v>1342.9328613</v>
      </c>
      <c r="I280">
        <v>1313.6950684000001</v>
      </c>
      <c r="J280">
        <v>1305.7856445</v>
      </c>
      <c r="K280">
        <v>2400</v>
      </c>
      <c r="L280">
        <v>0</v>
      </c>
      <c r="M280">
        <v>0</v>
      </c>
      <c r="N280">
        <v>2400</v>
      </c>
    </row>
    <row r="281" spans="1:14" x14ac:dyDescent="0.25">
      <c r="A281">
        <v>31.562567999999999</v>
      </c>
      <c r="B281" s="1">
        <f>DATE(2010,6,1) + TIME(13,30,5)</f>
        <v>40330.562557870369</v>
      </c>
      <c r="C281">
        <v>80</v>
      </c>
      <c r="D281">
        <v>79.93031311</v>
      </c>
      <c r="E281">
        <v>50</v>
      </c>
      <c r="F281">
        <v>14.999444007999999</v>
      </c>
      <c r="G281">
        <v>1346.8162841999999</v>
      </c>
      <c r="H281">
        <v>1342.9261475000001</v>
      </c>
      <c r="I281">
        <v>1313.6956786999999</v>
      </c>
      <c r="J281">
        <v>1305.7862548999999</v>
      </c>
      <c r="K281">
        <v>2400</v>
      </c>
      <c r="L281">
        <v>0</v>
      </c>
      <c r="M281">
        <v>0</v>
      </c>
      <c r="N281">
        <v>2400</v>
      </c>
    </row>
    <row r="282" spans="1:14" x14ac:dyDescent="0.25">
      <c r="A282">
        <v>31.749327999999998</v>
      </c>
      <c r="B282" s="1">
        <f>DATE(2010,6,1) + TIME(17,59,1)</f>
        <v>40330.74931712963</v>
      </c>
      <c r="C282">
        <v>80</v>
      </c>
      <c r="D282">
        <v>79.930297851999995</v>
      </c>
      <c r="E282">
        <v>50</v>
      </c>
      <c r="F282">
        <v>14.999445915000001</v>
      </c>
      <c r="G282">
        <v>1346.8078613</v>
      </c>
      <c r="H282">
        <v>1342.9195557</v>
      </c>
      <c r="I282">
        <v>1313.6962891000001</v>
      </c>
      <c r="J282">
        <v>1305.7867432</v>
      </c>
      <c r="K282">
        <v>2400</v>
      </c>
      <c r="L282">
        <v>0</v>
      </c>
      <c r="M282">
        <v>0</v>
      </c>
      <c r="N282">
        <v>2400</v>
      </c>
    </row>
    <row r="283" spans="1:14" x14ac:dyDescent="0.25">
      <c r="A283">
        <v>31.935967000000002</v>
      </c>
      <c r="B283" s="1">
        <f>DATE(2010,6,1) + TIME(22,27,47)</f>
        <v>40330.935960648145</v>
      </c>
      <c r="C283">
        <v>80</v>
      </c>
      <c r="D283">
        <v>79.930290221999996</v>
      </c>
      <c r="E283">
        <v>50</v>
      </c>
      <c r="F283">
        <v>14.999447823000001</v>
      </c>
      <c r="G283">
        <v>1346.7994385</v>
      </c>
      <c r="H283">
        <v>1342.9129639</v>
      </c>
      <c r="I283">
        <v>1313.6968993999999</v>
      </c>
      <c r="J283">
        <v>1305.7872314000001</v>
      </c>
      <c r="K283">
        <v>2400</v>
      </c>
      <c r="L283">
        <v>0</v>
      </c>
      <c r="M283">
        <v>0</v>
      </c>
      <c r="N283">
        <v>2400</v>
      </c>
    </row>
    <row r="284" spans="1:14" x14ac:dyDescent="0.25">
      <c r="A284">
        <v>32.122551999999999</v>
      </c>
      <c r="B284" s="1">
        <f>DATE(2010,6,2) + TIME(2,56,28)</f>
        <v>40331.122546296298</v>
      </c>
      <c r="C284">
        <v>80</v>
      </c>
      <c r="D284">
        <v>79.930282593000001</v>
      </c>
      <c r="E284">
        <v>50</v>
      </c>
      <c r="F284">
        <v>14.999448775999999</v>
      </c>
      <c r="G284">
        <v>1346.7911377</v>
      </c>
      <c r="H284">
        <v>1342.9063721</v>
      </c>
      <c r="I284">
        <v>1313.6975098</v>
      </c>
      <c r="J284">
        <v>1305.7877197</v>
      </c>
      <c r="K284">
        <v>2400</v>
      </c>
      <c r="L284">
        <v>0</v>
      </c>
      <c r="M284">
        <v>0</v>
      </c>
      <c r="N284">
        <v>2400</v>
      </c>
    </row>
    <row r="285" spans="1:14" x14ac:dyDescent="0.25">
      <c r="A285">
        <v>32.309136000000002</v>
      </c>
      <c r="B285" s="1">
        <f>DATE(2010,6,2) + TIME(7,25,9)</f>
        <v>40331.309131944443</v>
      </c>
      <c r="C285">
        <v>80</v>
      </c>
      <c r="D285">
        <v>79.930267334000007</v>
      </c>
      <c r="E285">
        <v>50</v>
      </c>
      <c r="F285">
        <v>14.999450683999999</v>
      </c>
      <c r="G285">
        <v>1346.7828368999999</v>
      </c>
      <c r="H285">
        <v>1342.8997803</v>
      </c>
      <c r="I285">
        <v>1313.6982422000001</v>
      </c>
      <c r="J285">
        <v>1305.7883300999999</v>
      </c>
      <c r="K285">
        <v>2400</v>
      </c>
      <c r="L285">
        <v>0</v>
      </c>
      <c r="M285">
        <v>0</v>
      </c>
      <c r="N285">
        <v>2400</v>
      </c>
    </row>
    <row r="286" spans="1:14" x14ac:dyDescent="0.25">
      <c r="A286">
        <v>32.495719999999999</v>
      </c>
      <c r="B286" s="1">
        <f>DATE(2010,6,2) + TIME(11,53,50)</f>
        <v>40331.495717592596</v>
      </c>
      <c r="C286">
        <v>80</v>
      </c>
      <c r="D286">
        <v>79.930259704999997</v>
      </c>
      <c r="E286">
        <v>50</v>
      </c>
      <c r="F286">
        <v>14.999451637</v>
      </c>
      <c r="G286">
        <v>1346.7745361</v>
      </c>
      <c r="H286">
        <v>1342.8933105000001</v>
      </c>
      <c r="I286">
        <v>1313.6988524999999</v>
      </c>
      <c r="J286">
        <v>1305.7888184000001</v>
      </c>
      <c r="K286">
        <v>2400</v>
      </c>
      <c r="L286">
        <v>0</v>
      </c>
      <c r="M286">
        <v>0</v>
      </c>
      <c r="N286">
        <v>2400</v>
      </c>
    </row>
    <row r="287" spans="1:14" x14ac:dyDescent="0.25">
      <c r="A287">
        <v>32.682304999999999</v>
      </c>
      <c r="B287" s="1">
        <f>DATE(2010,6,2) + TIME(16,22,31)</f>
        <v>40331.682303240741</v>
      </c>
      <c r="C287">
        <v>80</v>
      </c>
      <c r="D287">
        <v>79.930252074999999</v>
      </c>
      <c r="E287">
        <v>50</v>
      </c>
      <c r="F287">
        <v>14.999453545</v>
      </c>
      <c r="G287">
        <v>1346.7663574000001</v>
      </c>
      <c r="H287">
        <v>1342.8868408000001</v>
      </c>
      <c r="I287">
        <v>1313.6994629000001</v>
      </c>
      <c r="J287">
        <v>1305.7893065999999</v>
      </c>
      <c r="K287">
        <v>2400</v>
      </c>
      <c r="L287">
        <v>0</v>
      </c>
      <c r="M287">
        <v>0</v>
      </c>
      <c r="N287">
        <v>2400</v>
      </c>
    </row>
    <row r="288" spans="1:14" x14ac:dyDescent="0.25">
      <c r="A288">
        <v>32.868889000000003</v>
      </c>
      <c r="B288" s="1">
        <f>DATE(2010,6,2) + TIME(20,51,12)</f>
        <v>40331.868888888886</v>
      </c>
      <c r="C288">
        <v>80</v>
      </c>
      <c r="D288">
        <v>79.930244446000003</v>
      </c>
      <c r="E288">
        <v>50</v>
      </c>
      <c r="F288">
        <v>14.999454498</v>
      </c>
      <c r="G288">
        <v>1346.7581786999999</v>
      </c>
      <c r="H288">
        <v>1342.8803711</v>
      </c>
      <c r="I288">
        <v>1313.7000731999999</v>
      </c>
      <c r="J288">
        <v>1305.7899170000001</v>
      </c>
      <c r="K288">
        <v>2400</v>
      </c>
      <c r="L288">
        <v>0</v>
      </c>
      <c r="M288">
        <v>0</v>
      </c>
      <c r="N288">
        <v>2400</v>
      </c>
    </row>
    <row r="289" spans="1:14" x14ac:dyDescent="0.25">
      <c r="A289">
        <v>33.055473999999997</v>
      </c>
      <c r="B289" s="1">
        <f>DATE(2010,6,3) + TIME(1,19,52)</f>
        <v>40332.055462962962</v>
      </c>
      <c r="C289">
        <v>80</v>
      </c>
      <c r="D289">
        <v>79.930236816000004</v>
      </c>
      <c r="E289">
        <v>50</v>
      </c>
      <c r="F289">
        <v>14.999456406</v>
      </c>
      <c r="G289">
        <v>1346.75</v>
      </c>
      <c r="H289">
        <v>1342.8740233999999</v>
      </c>
      <c r="I289">
        <v>1313.7006836</v>
      </c>
      <c r="J289">
        <v>1305.7904053</v>
      </c>
      <c r="K289">
        <v>2400</v>
      </c>
      <c r="L289">
        <v>0</v>
      </c>
      <c r="M289">
        <v>0</v>
      </c>
      <c r="N289">
        <v>2400</v>
      </c>
    </row>
    <row r="290" spans="1:14" x14ac:dyDescent="0.25">
      <c r="A290">
        <v>33.242058</v>
      </c>
      <c r="B290" s="1">
        <f>DATE(2010,6,3) + TIME(5,48,33)</f>
        <v>40332.242048611108</v>
      </c>
      <c r="C290">
        <v>80</v>
      </c>
      <c r="D290">
        <v>79.930221558</v>
      </c>
      <c r="E290">
        <v>50</v>
      </c>
      <c r="F290">
        <v>14.999457359000001</v>
      </c>
      <c r="G290">
        <v>1346.7419434000001</v>
      </c>
      <c r="H290">
        <v>1342.8675536999999</v>
      </c>
      <c r="I290">
        <v>1313.7014160000001</v>
      </c>
      <c r="J290">
        <v>1305.7908935999999</v>
      </c>
      <c r="K290">
        <v>2400</v>
      </c>
      <c r="L290">
        <v>0</v>
      </c>
      <c r="M290">
        <v>0</v>
      </c>
      <c r="N290">
        <v>2400</v>
      </c>
    </row>
    <row r="291" spans="1:14" x14ac:dyDescent="0.25">
      <c r="A291">
        <v>33.428642000000004</v>
      </c>
      <c r="B291" s="1">
        <f>DATE(2010,6,3) + TIME(10,17,14)</f>
        <v>40332.42863425926</v>
      </c>
      <c r="C291">
        <v>80</v>
      </c>
      <c r="D291">
        <v>79.930213928000001</v>
      </c>
      <c r="E291">
        <v>50</v>
      </c>
      <c r="F291">
        <v>14.999459267000001</v>
      </c>
      <c r="G291">
        <v>1346.7338867000001</v>
      </c>
      <c r="H291">
        <v>1342.8613281</v>
      </c>
      <c r="I291">
        <v>1313.7020264</v>
      </c>
      <c r="J291">
        <v>1305.7913818</v>
      </c>
      <c r="K291">
        <v>2400</v>
      </c>
      <c r="L291">
        <v>0</v>
      </c>
      <c r="M291">
        <v>0</v>
      </c>
      <c r="N291">
        <v>2400</v>
      </c>
    </row>
    <row r="292" spans="1:14" x14ac:dyDescent="0.25">
      <c r="A292">
        <v>33.801811000000001</v>
      </c>
      <c r="B292" s="1">
        <f>DATE(2010,6,3) + TIME(19,14,36)</f>
        <v>40332.801805555559</v>
      </c>
      <c r="C292">
        <v>80</v>
      </c>
      <c r="D292">
        <v>79.930213928000001</v>
      </c>
      <c r="E292">
        <v>50</v>
      </c>
      <c r="F292">
        <v>14.999461174</v>
      </c>
      <c r="G292">
        <v>1346.7260742000001</v>
      </c>
      <c r="H292">
        <v>1342.8552245999999</v>
      </c>
      <c r="I292">
        <v>1313.7027588000001</v>
      </c>
      <c r="J292">
        <v>1305.7919922000001</v>
      </c>
      <c r="K292">
        <v>2400</v>
      </c>
      <c r="L292">
        <v>0</v>
      </c>
      <c r="M292">
        <v>0</v>
      </c>
      <c r="N292">
        <v>2400</v>
      </c>
    </row>
    <row r="293" spans="1:14" x14ac:dyDescent="0.25">
      <c r="A293">
        <v>34.175722999999998</v>
      </c>
      <c r="B293" s="1">
        <f>DATE(2010,6,4) + TIME(4,13,2)</f>
        <v>40333.175717592596</v>
      </c>
      <c r="C293">
        <v>80</v>
      </c>
      <c r="D293">
        <v>79.930206299000005</v>
      </c>
      <c r="E293">
        <v>50</v>
      </c>
      <c r="F293">
        <v>14.999464035000001</v>
      </c>
      <c r="G293">
        <v>1346.7100829999999</v>
      </c>
      <c r="H293">
        <v>1342.8427733999999</v>
      </c>
      <c r="I293">
        <v>1313.7039795000001</v>
      </c>
      <c r="J293">
        <v>1305.7930908000001</v>
      </c>
      <c r="K293">
        <v>2400</v>
      </c>
      <c r="L293">
        <v>0</v>
      </c>
      <c r="M293">
        <v>0</v>
      </c>
      <c r="N293">
        <v>2400</v>
      </c>
    </row>
    <row r="294" spans="1:14" x14ac:dyDescent="0.25">
      <c r="A294">
        <v>34.554206000000001</v>
      </c>
      <c r="B294" s="1">
        <f>DATE(2010,6,4) + TIME(13,18,3)</f>
        <v>40333.554201388892</v>
      </c>
      <c r="C294">
        <v>80</v>
      </c>
      <c r="D294">
        <v>79.930191039999997</v>
      </c>
      <c r="E294">
        <v>50</v>
      </c>
      <c r="F294">
        <v>14.999465942</v>
      </c>
      <c r="G294">
        <v>1346.6943358999999</v>
      </c>
      <c r="H294">
        <v>1342.8304443</v>
      </c>
      <c r="I294">
        <v>1313.7053223</v>
      </c>
      <c r="J294">
        <v>1305.7941894999999</v>
      </c>
      <c r="K294">
        <v>2400</v>
      </c>
      <c r="L294">
        <v>0</v>
      </c>
      <c r="M294">
        <v>0</v>
      </c>
      <c r="N294">
        <v>2400</v>
      </c>
    </row>
    <row r="295" spans="1:14" x14ac:dyDescent="0.25">
      <c r="A295">
        <v>34.937978000000001</v>
      </c>
      <c r="B295" s="1">
        <f>DATE(2010,6,4) + TIME(22,30,41)</f>
        <v>40333.937974537039</v>
      </c>
      <c r="C295">
        <v>80</v>
      </c>
      <c r="D295">
        <v>79.930183411000002</v>
      </c>
      <c r="E295">
        <v>50</v>
      </c>
      <c r="F295">
        <v>14.999468802999999</v>
      </c>
      <c r="G295">
        <v>1346.6784668</v>
      </c>
      <c r="H295">
        <v>1342.8181152</v>
      </c>
      <c r="I295">
        <v>1313.706543</v>
      </c>
      <c r="J295">
        <v>1305.7951660000001</v>
      </c>
      <c r="K295">
        <v>2400</v>
      </c>
      <c r="L295">
        <v>0</v>
      </c>
      <c r="M295">
        <v>0</v>
      </c>
      <c r="N295">
        <v>2400</v>
      </c>
    </row>
    <row r="296" spans="1:14" x14ac:dyDescent="0.25">
      <c r="A296">
        <v>35.327902999999999</v>
      </c>
      <c r="B296" s="1">
        <f>DATE(2010,6,5) + TIME(7,52,10)</f>
        <v>40334.327893518515</v>
      </c>
      <c r="C296">
        <v>80</v>
      </c>
      <c r="D296">
        <v>79.930168151999993</v>
      </c>
      <c r="E296">
        <v>50</v>
      </c>
      <c r="F296">
        <v>14.999471664</v>
      </c>
      <c r="G296">
        <v>1346.6625977000001</v>
      </c>
      <c r="H296">
        <v>1342.8056641000001</v>
      </c>
      <c r="I296">
        <v>1313.7078856999999</v>
      </c>
      <c r="J296">
        <v>1305.7962646000001</v>
      </c>
      <c r="K296">
        <v>2400</v>
      </c>
      <c r="L296">
        <v>0</v>
      </c>
      <c r="M296">
        <v>0</v>
      </c>
      <c r="N296">
        <v>2400</v>
      </c>
    </row>
    <row r="297" spans="1:14" x14ac:dyDescent="0.25">
      <c r="A297">
        <v>35.724975000000001</v>
      </c>
      <c r="B297" s="1">
        <f>DATE(2010,6,5) + TIME(17,23,57)</f>
        <v>40334.724965277775</v>
      </c>
      <c r="C297">
        <v>80</v>
      </c>
      <c r="D297">
        <v>79.930152892999999</v>
      </c>
      <c r="E297">
        <v>50</v>
      </c>
      <c r="F297">
        <v>14.999474525</v>
      </c>
      <c r="G297">
        <v>1346.6466064000001</v>
      </c>
      <c r="H297">
        <v>1342.7932129000001</v>
      </c>
      <c r="I297">
        <v>1313.7092285000001</v>
      </c>
      <c r="J297">
        <v>1305.7973632999999</v>
      </c>
      <c r="K297">
        <v>2400</v>
      </c>
      <c r="L297">
        <v>0</v>
      </c>
      <c r="M297">
        <v>0</v>
      </c>
      <c r="N297">
        <v>2400</v>
      </c>
    </row>
    <row r="298" spans="1:14" x14ac:dyDescent="0.25">
      <c r="A298">
        <v>36.130288</v>
      </c>
      <c r="B298" s="1">
        <f>DATE(2010,6,6) + TIME(3,7,36)</f>
        <v>40335.130277777775</v>
      </c>
      <c r="C298">
        <v>80</v>
      </c>
      <c r="D298">
        <v>79.930137634000005</v>
      </c>
      <c r="E298">
        <v>50</v>
      </c>
      <c r="F298">
        <v>14.999477386000001</v>
      </c>
      <c r="G298">
        <v>1346.6304932</v>
      </c>
      <c r="H298">
        <v>1342.7806396000001</v>
      </c>
      <c r="I298">
        <v>1313.7106934000001</v>
      </c>
      <c r="J298">
        <v>1305.7985839999999</v>
      </c>
      <c r="K298">
        <v>2400</v>
      </c>
      <c r="L298">
        <v>0</v>
      </c>
      <c r="M298">
        <v>0</v>
      </c>
      <c r="N298">
        <v>2400</v>
      </c>
    </row>
    <row r="299" spans="1:14" x14ac:dyDescent="0.25">
      <c r="A299">
        <v>36.336016000000001</v>
      </c>
      <c r="B299" s="1">
        <f>DATE(2010,6,6) + TIME(8,3,51)</f>
        <v>40335.336006944446</v>
      </c>
      <c r="C299">
        <v>80</v>
      </c>
      <c r="D299">
        <v>79.930122374999996</v>
      </c>
      <c r="E299">
        <v>50</v>
      </c>
      <c r="F299">
        <v>14.99947834</v>
      </c>
      <c r="G299">
        <v>1346.6138916</v>
      </c>
      <c r="H299">
        <v>1342.7677002</v>
      </c>
      <c r="I299">
        <v>1313.7120361</v>
      </c>
      <c r="J299">
        <v>1305.7996826000001</v>
      </c>
      <c r="K299">
        <v>2400</v>
      </c>
      <c r="L299">
        <v>0</v>
      </c>
      <c r="M299">
        <v>0</v>
      </c>
      <c r="N299">
        <v>2400</v>
      </c>
    </row>
    <row r="300" spans="1:14" x14ac:dyDescent="0.25">
      <c r="A300">
        <v>36.541744000000001</v>
      </c>
      <c r="B300" s="1">
        <f>DATE(2010,6,6) + TIME(13,0,6)</f>
        <v>40335.54173611111</v>
      </c>
      <c r="C300">
        <v>80</v>
      </c>
      <c r="D300">
        <v>79.930107117000006</v>
      </c>
      <c r="E300">
        <v>50</v>
      </c>
      <c r="F300">
        <v>14.999480246999999</v>
      </c>
      <c r="G300">
        <v>1346.6057129000001</v>
      </c>
      <c r="H300">
        <v>1342.7612305</v>
      </c>
      <c r="I300">
        <v>1313.7127685999999</v>
      </c>
      <c r="J300">
        <v>1305.800293</v>
      </c>
      <c r="K300">
        <v>2400</v>
      </c>
      <c r="L300">
        <v>0</v>
      </c>
      <c r="M300">
        <v>0</v>
      </c>
      <c r="N300">
        <v>2400</v>
      </c>
    </row>
    <row r="301" spans="1:14" x14ac:dyDescent="0.25">
      <c r="A301">
        <v>36.747470999999997</v>
      </c>
      <c r="B301" s="1">
        <f>DATE(2010,6,6) + TIME(17,56,21)</f>
        <v>40335.747465277775</v>
      </c>
      <c r="C301">
        <v>80</v>
      </c>
      <c r="D301">
        <v>79.930091857999997</v>
      </c>
      <c r="E301">
        <v>50</v>
      </c>
      <c r="F301">
        <v>14.999482155000001</v>
      </c>
      <c r="G301">
        <v>1346.5975341999999</v>
      </c>
      <c r="H301">
        <v>1342.7547606999999</v>
      </c>
      <c r="I301">
        <v>1313.713501</v>
      </c>
      <c r="J301">
        <v>1305.8009033000001</v>
      </c>
      <c r="K301">
        <v>2400</v>
      </c>
      <c r="L301">
        <v>0</v>
      </c>
      <c r="M301">
        <v>0</v>
      </c>
      <c r="N301">
        <v>2400</v>
      </c>
    </row>
    <row r="302" spans="1:14" x14ac:dyDescent="0.25">
      <c r="A302">
        <v>36.953198999999998</v>
      </c>
      <c r="B302" s="1">
        <f>DATE(2010,6,6) + TIME(22,52,36)</f>
        <v>40335.953194444446</v>
      </c>
      <c r="C302">
        <v>80</v>
      </c>
      <c r="D302">
        <v>79.930084229000002</v>
      </c>
      <c r="E302">
        <v>50</v>
      </c>
      <c r="F302">
        <v>14.999483109</v>
      </c>
      <c r="G302">
        <v>1346.5893555</v>
      </c>
      <c r="H302">
        <v>1342.7484131000001</v>
      </c>
      <c r="I302">
        <v>1313.7142334</v>
      </c>
      <c r="J302">
        <v>1305.8013916</v>
      </c>
      <c r="K302">
        <v>2400</v>
      </c>
      <c r="L302">
        <v>0</v>
      </c>
      <c r="M302">
        <v>0</v>
      </c>
      <c r="N302">
        <v>2400</v>
      </c>
    </row>
    <row r="303" spans="1:14" x14ac:dyDescent="0.25">
      <c r="A303">
        <v>37.158819000000001</v>
      </c>
      <c r="B303" s="1">
        <f>DATE(2010,6,7) + TIME(3,48,41)</f>
        <v>40336.158807870372</v>
      </c>
      <c r="C303">
        <v>80</v>
      </c>
      <c r="D303">
        <v>79.930076599000003</v>
      </c>
      <c r="E303">
        <v>50</v>
      </c>
      <c r="F303">
        <v>14.999485016</v>
      </c>
      <c r="G303">
        <v>1346.5812988</v>
      </c>
      <c r="H303">
        <v>1342.7420654</v>
      </c>
      <c r="I303">
        <v>1313.7149658000001</v>
      </c>
      <c r="J303">
        <v>1305.8020019999999</v>
      </c>
      <c r="K303">
        <v>2400</v>
      </c>
      <c r="L303">
        <v>0</v>
      </c>
      <c r="M303">
        <v>0</v>
      </c>
      <c r="N303">
        <v>2400</v>
      </c>
    </row>
    <row r="304" spans="1:14" x14ac:dyDescent="0.25">
      <c r="A304">
        <v>37.364249000000001</v>
      </c>
      <c r="B304" s="1">
        <f>DATE(2010,6,7) + TIME(8,44,31)</f>
        <v>40336.364247685182</v>
      </c>
      <c r="C304">
        <v>80</v>
      </c>
      <c r="D304">
        <v>79.930061339999995</v>
      </c>
      <c r="E304">
        <v>50</v>
      </c>
      <c r="F304">
        <v>14.99948597</v>
      </c>
      <c r="G304">
        <v>1346.5731201000001</v>
      </c>
      <c r="H304">
        <v>1342.7358397999999</v>
      </c>
      <c r="I304">
        <v>1313.7156981999999</v>
      </c>
      <c r="J304">
        <v>1305.8026123</v>
      </c>
      <c r="K304">
        <v>2400</v>
      </c>
      <c r="L304">
        <v>0</v>
      </c>
      <c r="M304">
        <v>0</v>
      </c>
      <c r="N304">
        <v>2400</v>
      </c>
    </row>
    <row r="305" spans="1:14" x14ac:dyDescent="0.25">
      <c r="A305">
        <v>37.569571000000003</v>
      </c>
      <c r="B305" s="1">
        <f>DATE(2010,6,7) + TIME(13,40,10)</f>
        <v>40336.569560185184</v>
      </c>
      <c r="C305">
        <v>80</v>
      </c>
      <c r="D305">
        <v>79.930053710999999</v>
      </c>
      <c r="E305">
        <v>50</v>
      </c>
      <c r="F305">
        <v>14.999487877</v>
      </c>
      <c r="G305">
        <v>1346.5651855000001</v>
      </c>
      <c r="H305">
        <v>1342.7296143000001</v>
      </c>
      <c r="I305">
        <v>1313.7164307</v>
      </c>
      <c r="J305">
        <v>1305.8032227000001</v>
      </c>
      <c r="K305">
        <v>2400</v>
      </c>
      <c r="L305">
        <v>0</v>
      </c>
      <c r="M305">
        <v>0</v>
      </c>
      <c r="N305">
        <v>2400</v>
      </c>
    </row>
    <row r="306" spans="1:14" x14ac:dyDescent="0.25">
      <c r="A306">
        <v>37.774892999999999</v>
      </c>
      <c r="B306" s="1">
        <f>DATE(2010,6,7) + TIME(18,35,50)</f>
        <v>40336.774884259263</v>
      </c>
      <c r="C306">
        <v>80</v>
      </c>
      <c r="D306">
        <v>79.930046082000004</v>
      </c>
      <c r="E306">
        <v>50</v>
      </c>
      <c r="F306">
        <v>14.999488831000001</v>
      </c>
      <c r="G306">
        <v>1346.557251</v>
      </c>
      <c r="H306">
        <v>1342.7233887</v>
      </c>
      <c r="I306">
        <v>1313.7171631000001</v>
      </c>
      <c r="J306">
        <v>1305.8038329999999</v>
      </c>
      <c r="K306">
        <v>2400</v>
      </c>
      <c r="L306">
        <v>0</v>
      </c>
      <c r="M306">
        <v>0</v>
      </c>
      <c r="N306">
        <v>2400</v>
      </c>
    </row>
    <row r="307" spans="1:14" x14ac:dyDescent="0.25">
      <c r="A307">
        <v>37.980213999999997</v>
      </c>
      <c r="B307" s="1">
        <f>DATE(2010,6,7) + TIME(23,31,30)</f>
        <v>40336.980208333334</v>
      </c>
      <c r="C307">
        <v>80</v>
      </c>
      <c r="D307">
        <v>79.930038452000005</v>
      </c>
      <c r="E307">
        <v>50</v>
      </c>
      <c r="F307">
        <v>14.999490738</v>
      </c>
      <c r="G307">
        <v>1346.5493164</v>
      </c>
      <c r="H307">
        <v>1342.7171631000001</v>
      </c>
      <c r="I307">
        <v>1313.7178954999999</v>
      </c>
      <c r="J307">
        <v>1305.8044434000001</v>
      </c>
      <c r="K307">
        <v>2400</v>
      </c>
      <c r="L307">
        <v>0</v>
      </c>
      <c r="M307">
        <v>0</v>
      </c>
      <c r="N307">
        <v>2400</v>
      </c>
    </row>
    <row r="308" spans="1:14" x14ac:dyDescent="0.25">
      <c r="A308">
        <v>38.185535999999999</v>
      </c>
      <c r="B308" s="1">
        <f>DATE(2010,6,8) + TIME(4,27,10)</f>
        <v>40337.185532407406</v>
      </c>
      <c r="C308">
        <v>80</v>
      </c>
      <c r="D308">
        <v>79.930038452000005</v>
      </c>
      <c r="E308">
        <v>50</v>
      </c>
      <c r="F308">
        <v>14.999491691999999</v>
      </c>
      <c r="G308">
        <v>1346.5413818</v>
      </c>
      <c r="H308">
        <v>1342.7110596</v>
      </c>
      <c r="I308">
        <v>1313.7186279</v>
      </c>
      <c r="J308">
        <v>1305.8050536999999</v>
      </c>
      <c r="K308">
        <v>2400</v>
      </c>
      <c r="L308">
        <v>0</v>
      </c>
      <c r="M308">
        <v>0</v>
      </c>
      <c r="N308">
        <v>2400</v>
      </c>
    </row>
    <row r="309" spans="1:14" x14ac:dyDescent="0.25">
      <c r="A309">
        <v>38.390858000000001</v>
      </c>
      <c r="B309" s="1">
        <f>DATE(2010,6,8) + TIME(9,22,50)</f>
        <v>40337.390856481485</v>
      </c>
      <c r="C309">
        <v>80</v>
      </c>
      <c r="D309">
        <v>79.930030822999996</v>
      </c>
      <c r="E309">
        <v>50</v>
      </c>
      <c r="F309">
        <v>14.999493598999999</v>
      </c>
      <c r="G309">
        <v>1346.5335693</v>
      </c>
      <c r="H309">
        <v>1342.7049560999999</v>
      </c>
      <c r="I309">
        <v>1313.7193603999999</v>
      </c>
      <c r="J309">
        <v>1305.8056641000001</v>
      </c>
      <c r="K309">
        <v>2400</v>
      </c>
      <c r="L309">
        <v>0</v>
      </c>
      <c r="M309">
        <v>0</v>
      </c>
      <c r="N309">
        <v>2400</v>
      </c>
    </row>
    <row r="310" spans="1:14" x14ac:dyDescent="0.25">
      <c r="A310">
        <v>38.596178999999999</v>
      </c>
      <c r="B310" s="1">
        <f>DATE(2010,6,8) + TIME(14,18,29)</f>
        <v>40337.596168981479</v>
      </c>
      <c r="C310">
        <v>80</v>
      </c>
      <c r="D310">
        <v>79.930023192999997</v>
      </c>
      <c r="E310">
        <v>50</v>
      </c>
      <c r="F310">
        <v>14.999494553</v>
      </c>
      <c r="G310">
        <v>1346.5256348</v>
      </c>
      <c r="H310">
        <v>1342.6988524999999</v>
      </c>
      <c r="I310">
        <v>1313.7200928</v>
      </c>
      <c r="J310">
        <v>1305.8062743999999</v>
      </c>
      <c r="K310">
        <v>2400</v>
      </c>
      <c r="L310">
        <v>0</v>
      </c>
      <c r="M310">
        <v>0</v>
      </c>
      <c r="N310">
        <v>2400</v>
      </c>
    </row>
    <row r="311" spans="1:14" x14ac:dyDescent="0.25">
      <c r="A311">
        <v>38.801501000000002</v>
      </c>
      <c r="B311" s="1">
        <f>DATE(2010,6,8) + TIME(19,14,9)</f>
        <v>40337.801493055558</v>
      </c>
      <c r="C311">
        <v>80</v>
      </c>
      <c r="D311">
        <v>79.930015564000001</v>
      </c>
      <c r="E311">
        <v>50</v>
      </c>
      <c r="F311">
        <v>14.99949646</v>
      </c>
      <c r="G311">
        <v>1346.5179443</v>
      </c>
      <c r="H311">
        <v>1342.692749</v>
      </c>
      <c r="I311">
        <v>1313.7208252</v>
      </c>
      <c r="J311">
        <v>1305.8068848</v>
      </c>
      <c r="K311">
        <v>2400</v>
      </c>
      <c r="L311">
        <v>0</v>
      </c>
      <c r="M311">
        <v>0</v>
      </c>
      <c r="N311">
        <v>2400</v>
      </c>
    </row>
    <row r="312" spans="1:14" x14ac:dyDescent="0.25">
      <c r="A312">
        <v>39.006822999999997</v>
      </c>
      <c r="B312" s="1">
        <f>DATE(2010,6,9) + TIME(0,9,49)</f>
        <v>40338.00681712963</v>
      </c>
      <c r="C312">
        <v>80</v>
      </c>
      <c r="D312">
        <v>79.930007935000006</v>
      </c>
      <c r="E312">
        <v>50</v>
      </c>
      <c r="F312">
        <v>14.999497414</v>
      </c>
      <c r="G312">
        <v>1346.5101318</v>
      </c>
      <c r="H312">
        <v>1342.6867675999999</v>
      </c>
      <c r="I312">
        <v>1313.7215576000001</v>
      </c>
      <c r="J312">
        <v>1305.8074951000001</v>
      </c>
      <c r="K312">
        <v>2400</v>
      </c>
      <c r="L312">
        <v>0</v>
      </c>
      <c r="M312">
        <v>0</v>
      </c>
      <c r="N312">
        <v>2400</v>
      </c>
    </row>
    <row r="313" spans="1:14" x14ac:dyDescent="0.25">
      <c r="A313">
        <v>39.417465999999997</v>
      </c>
      <c r="B313" s="1">
        <f>DATE(2010,6,9) + TIME(10,1,9)</f>
        <v>40338.41746527778</v>
      </c>
      <c r="C313">
        <v>80</v>
      </c>
      <c r="D313">
        <v>79.930007935000006</v>
      </c>
      <c r="E313">
        <v>50</v>
      </c>
      <c r="F313">
        <v>14.999499321</v>
      </c>
      <c r="G313">
        <v>1346.5026855000001</v>
      </c>
      <c r="H313">
        <v>1342.6809082</v>
      </c>
      <c r="I313">
        <v>1313.7224120999999</v>
      </c>
      <c r="J313">
        <v>1305.8081055</v>
      </c>
      <c r="K313">
        <v>2400</v>
      </c>
      <c r="L313">
        <v>0</v>
      </c>
      <c r="M313">
        <v>0</v>
      </c>
      <c r="N313">
        <v>2400</v>
      </c>
    </row>
    <row r="314" spans="1:14" x14ac:dyDescent="0.25">
      <c r="A314">
        <v>39.828561000000001</v>
      </c>
      <c r="B314" s="1">
        <f>DATE(2010,6,9) + TIME(19,53,7)</f>
        <v>40338.828553240739</v>
      </c>
      <c r="C314">
        <v>80</v>
      </c>
      <c r="D314">
        <v>79.930007935000006</v>
      </c>
      <c r="E314">
        <v>50</v>
      </c>
      <c r="F314">
        <v>14.999502182000001</v>
      </c>
      <c r="G314">
        <v>1346.4873047000001</v>
      </c>
      <c r="H314">
        <v>1342.6690673999999</v>
      </c>
      <c r="I314">
        <v>1313.7238769999999</v>
      </c>
      <c r="J314">
        <v>1305.8093262</v>
      </c>
      <c r="K314">
        <v>2400</v>
      </c>
      <c r="L314">
        <v>0</v>
      </c>
      <c r="M314">
        <v>0</v>
      </c>
      <c r="N314">
        <v>2400</v>
      </c>
    </row>
    <row r="315" spans="1:14" x14ac:dyDescent="0.25">
      <c r="A315">
        <v>40.244428999999997</v>
      </c>
      <c r="B315" s="1">
        <f>DATE(2010,6,10) + TIME(5,51,58)</f>
        <v>40339.244421296295</v>
      </c>
      <c r="C315">
        <v>80</v>
      </c>
      <c r="D315">
        <v>79.930000304999993</v>
      </c>
      <c r="E315">
        <v>50</v>
      </c>
      <c r="F315">
        <v>14.999505042999999</v>
      </c>
      <c r="G315">
        <v>1346.472168</v>
      </c>
      <c r="H315">
        <v>1342.6572266000001</v>
      </c>
      <c r="I315">
        <v>1313.7253418</v>
      </c>
      <c r="J315">
        <v>1305.8105469</v>
      </c>
      <c r="K315">
        <v>2400</v>
      </c>
      <c r="L315">
        <v>0</v>
      </c>
      <c r="M315">
        <v>0</v>
      </c>
      <c r="N315">
        <v>2400</v>
      </c>
    </row>
    <row r="316" spans="1:14" x14ac:dyDescent="0.25">
      <c r="A316">
        <v>40.665903</v>
      </c>
      <c r="B316" s="1">
        <f>DATE(2010,6,10) + TIME(15,58,53)</f>
        <v>40339.665891203702</v>
      </c>
      <c r="C316">
        <v>80</v>
      </c>
      <c r="D316">
        <v>79.929992675999998</v>
      </c>
      <c r="E316">
        <v>50</v>
      </c>
      <c r="F316">
        <v>14.999506950000001</v>
      </c>
      <c r="G316">
        <v>1346.4569091999999</v>
      </c>
      <c r="H316">
        <v>1342.6455077999999</v>
      </c>
      <c r="I316">
        <v>1313.7269286999999</v>
      </c>
      <c r="J316">
        <v>1305.8117675999999</v>
      </c>
      <c r="K316">
        <v>2400</v>
      </c>
      <c r="L316">
        <v>0</v>
      </c>
      <c r="M316">
        <v>0</v>
      </c>
      <c r="N316">
        <v>2400</v>
      </c>
    </row>
    <row r="317" spans="1:14" x14ac:dyDescent="0.25">
      <c r="A317">
        <v>41.093884000000003</v>
      </c>
      <c r="B317" s="1">
        <f>DATE(2010,6,11) + TIME(2,15,11)</f>
        <v>40340.093877314815</v>
      </c>
      <c r="C317">
        <v>80</v>
      </c>
      <c r="D317">
        <v>79.929985045999999</v>
      </c>
      <c r="E317">
        <v>50</v>
      </c>
      <c r="F317">
        <v>14.999509810999999</v>
      </c>
      <c r="G317">
        <v>1346.4416504000001</v>
      </c>
      <c r="H317">
        <v>1342.6335449000001</v>
      </c>
      <c r="I317">
        <v>1313.7283935999999</v>
      </c>
      <c r="J317">
        <v>1305.8131103999999</v>
      </c>
      <c r="K317">
        <v>2400</v>
      </c>
      <c r="L317">
        <v>0</v>
      </c>
      <c r="M317">
        <v>0</v>
      </c>
      <c r="N317">
        <v>2400</v>
      </c>
    </row>
    <row r="318" spans="1:14" x14ac:dyDescent="0.25">
      <c r="A318">
        <v>41.529328999999997</v>
      </c>
      <c r="B318" s="1">
        <f>DATE(2010,6,11) + TIME(12,42,14)</f>
        <v>40340.529328703706</v>
      </c>
      <c r="C318">
        <v>80</v>
      </c>
      <c r="D318">
        <v>79.929969787999994</v>
      </c>
      <c r="E318">
        <v>50</v>
      </c>
      <c r="F318">
        <v>14.999512672</v>
      </c>
      <c r="G318">
        <v>1346.4262695</v>
      </c>
      <c r="H318">
        <v>1342.6217041</v>
      </c>
      <c r="I318">
        <v>1313.7299805</v>
      </c>
      <c r="J318">
        <v>1305.8143310999999</v>
      </c>
      <c r="K318">
        <v>2400</v>
      </c>
      <c r="L318">
        <v>0</v>
      </c>
      <c r="M318">
        <v>0</v>
      </c>
      <c r="N318">
        <v>2400</v>
      </c>
    </row>
    <row r="319" spans="1:14" x14ac:dyDescent="0.25">
      <c r="A319">
        <v>41.973435000000002</v>
      </c>
      <c r="B319" s="1">
        <f>DATE(2010,6,11) + TIME(23,21,44)</f>
        <v>40340.973425925928</v>
      </c>
      <c r="C319">
        <v>80</v>
      </c>
      <c r="D319">
        <v>79.929962157999995</v>
      </c>
      <c r="E319">
        <v>50</v>
      </c>
      <c r="F319">
        <v>14.99951458</v>
      </c>
      <c r="G319">
        <v>1346.4107666</v>
      </c>
      <c r="H319">
        <v>1342.6096190999999</v>
      </c>
      <c r="I319">
        <v>1313.7316894999999</v>
      </c>
      <c r="J319">
        <v>1305.8156738</v>
      </c>
      <c r="K319">
        <v>2400</v>
      </c>
      <c r="L319">
        <v>0</v>
      </c>
      <c r="M319">
        <v>0</v>
      </c>
      <c r="N319">
        <v>2400</v>
      </c>
    </row>
    <row r="320" spans="1:14" x14ac:dyDescent="0.25">
      <c r="A320">
        <v>42.198272000000003</v>
      </c>
      <c r="B320" s="1">
        <f>DATE(2010,6,12) + TIME(4,45,30)</f>
        <v>40341.198263888888</v>
      </c>
      <c r="C320">
        <v>80</v>
      </c>
      <c r="D320">
        <v>79.929946899000001</v>
      </c>
      <c r="E320">
        <v>50</v>
      </c>
      <c r="F320">
        <v>14.999516486999999</v>
      </c>
      <c r="G320">
        <v>1346.3948975000001</v>
      </c>
      <c r="H320">
        <v>1342.5972899999999</v>
      </c>
      <c r="I320">
        <v>1313.7332764</v>
      </c>
      <c r="J320">
        <v>1305.8168945</v>
      </c>
      <c r="K320">
        <v>2400</v>
      </c>
      <c r="L320">
        <v>0</v>
      </c>
      <c r="M320">
        <v>0</v>
      </c>
      <c r="N320">
        <v>2400</v>
      </c>
    </row>
    <row r="321" spans="1:14" x14ac:dyDescent="0.25">
      <c r="A321">
        <v>42.422904000000003</v>
      </c>
      <c r="B321" s="1">
        <f>DATE(2010,6,12) + TIME(10,8,58)</f>
        <v>40341.422893518517</v>
      </c>
      <c r="C321">
        <v>80</v>
      </c>
      <c r="D321">
        <v>79.929939270000006</v>
      </c>
      <c r="E321">
        <v>50</v>
      </c>
      <c r="F321">
        <v>14.999518394000001</v>
      </c>
      <c r="G321">
        <v>1346.3869629000001</v>
      </c>
      <c r="H321">
        <v>1342.5910644999999</v>
      </c>
      <c r="I321">
        <v>1313.7341309000001</v>
      </c>
      <c r="J321">
        <v>1305.8176269999999</v>
      </c>
      <c r="K321">
        <v>2400</v>
      </c>
      <c r="L321">
        <v>0</v>
      </c>
      <c r="M321">
        <v>0</v>
      </c>
      <c r="N321">
        <v>2400</v>
      </c>
    </row>
    <row r="322" spans="1:14" x14ac:dyDescent="0.25">
      <c r="A322">
        <v>42.646987000000003</v>
      </c>
      <c r="B322" s="1">
        <f>DATE(2010,6,12) + TIME(15,31,39)</f>
        <v>40341.646979166668</v>
      </c>
      <c r="C322">
        <v>80</v>
      </c>
      <c r="D322">
        <v>79.929924010999997</v>
      </c>
      <c r="E322">
        <v>50</v>
      </c>
      <c r="F322">
        <v>14.999519348</v>
      </c>
      <c r="G322">
        <v>1346.3790283000001</v>
      </c>
      <c r="H322">
        <v>1342.5849608999999</v>
      </c>
      <c r="I322">
        <v>1313.7349853999999</v>
      </c>
      <c r="J322">
        <v>1305.8183594</v>
      </c>
      <c r="K322">
        <v>2400</v>
      </c>
      <c r="L322">
        <v>0</v>
      </c>
      <c r="M322">
        <v>0</v>
      </c>
      <c r="N322">
        <v>2400</v>
      </c>
    </row>
    <row r="323" spans="1:14" x14ac:dyDescent="0.25">
      <c r="A323">
        <v>42.870655999999997</v>
      </c>
      <c r="B323" s="1">
        <f>DATE(2010,6,12) + TIME(20,53,44)</f>
        <v>40341.870648148149</v>
      </c>
      <c r="C323">
        <v>80</v>
      </c>
      <c r="D323">
        <v>79.929916382000002</v>
      </c>
      <c r="E323">
        <v>50</v>
      </c>
      <c r="F323">
        <v>14.999521254999999</v>
      </c>
      <c r="G323">
        <v>1346.3712158000001</v>
      </c>
      <c r="H323">
        <v>1342.5789795000001</v>
      </c>
      <c r="I323">
        <v>1313.7357178</v>
      </c>
      <c r="J323">
        <v>1305.8189697</v>
      </c>
      <c r="K323">
        <v>2400</v>
      </c>
      <c r="L323">
        <v>0</v>
      </c>
      <c r="M323">
        <v>0</v>
      </c>
      <c r="N323">
        <v>2400</v>
      </c>
    </row>
    <row r="324" spans="1:14" x14ac:dyDescent="0.25">
      <c r="A324">
        <v>43.094047000000003</v>
      </c>
      <c r="B324" s="1">
        <f>DATE(2010,6,13) + TIME(2,15,25)</f>
        <v>40342.094039351854</v>
      </c>
      <c r="C324">
        <v>80</v>
      </c>
      <c r="D324">
        <v>79.929908752000003</v>
      </c>
      <c r="E324">
        <v>50</v>
      </c>
      <c r="F324">
        <v>14.999522209</v>
      </c>
      <c r="G324">
        <v>1346.3635254000001</v>
      </c>
      <c r="H324">
        <v>1342.5729980000001</v>
      </c>
      <c r="I324">
        <v>1313.7365723</v>
      </c>
      <c r="J324">
        <v>1305.8197021000001</v>
      </c>
      <c r="K324">
        <v>2400</v>
      </c>
      <c r="L324">
        <v>0</v>
      </c>
      <c r="M324">
        <v>0</v>
      </c>
      <c r="N324">
        <v>2400</v>
      </c>
    </row>
    <row r="325" spans="1:14" x14ac:dyDescent="0.25">
      <c r="A325">
        <v>43.317281000000001</v>
      </c>
      <c r="B325" s="1">
        <f>DATE(2010,6,13) + TIME(7,36,53)</f>
        <v>40342.317280092589</v>
      </c>
      <c r="C325">
        <v>80</v>
      </c>
      <c r="D325">
        <v>79.929908752000003</v>
      </c>
      <c r="E325">
        <v>50</v>
      </c>
      <c r="F325">
        <v>14.999524117</v>
      </c>
      <c r="G325">
        <v>1346.3558350000001</v>
      </c>
      <c r="H325">
        <v>1342.5670166</v>
      </c>
      <c r="I325">
        <v>1313.7374268000001</v>
      </c>
      <c r="J325">
        <v>1305.8203125</v>
      </c>
      <c r="K325">
        <v>2400</v>
      </c>
      <c r="L325">
        <v>0</v>
      </c>
      <c r="M325">
        <v>0</v>
      </c>
      <c r="N325">
        <v>2400</v>
      </c>
    </row>
    <row r="326" spans="1:14" x14ac:dyDescent="0.25">
      <c r="A326">
        <v>43.540458999999998</v>
      </c>
      <c r="B326" s="1">
        <f>DATE(2010,6,13) + TIME(12,58,15)</f>
        <v>40342.540451388886</v>
      </c>
      <c r="C326">
        <v>80</v>
      </c>
      <c r="D326">
        <v>79.929901122999993</v>
      </c>
      <c r="E326">
        <v>50</v>
      </c>
      <c r="F326">
        <v>14.999525070000001</v>
      </c>
      <c r="G326">
        <v>1346.3481445</v>
      </c>
      <c r="H326">
        <v>1342.5610352000001</v>
      </c>
      <c r="I326">
        <v>1313.7382812000001</v>
      </c>
      <c r="J326">
        <v>1305.8210449000001</v>
      </c>
      <c r="K326">
        <v>2400</v>
      </c>
      <c r="L326">
        <v>0</v>
      </c>
      <c r="M326">
        <v>0</v>
      </c>
      <c r="N326">
        <v>2400</v>
      </c>
    </row>
    <row r="327" spans="1:14" x14ac:dyDescent="0.25">
      <c r="A327">
        <v>43.763635999999998</v>
      </c>
      <c r="B327" s="1">
        <f>DATE(2010,6,13) + TIME(18,19,38)</f>
        <v>40342.76363425926</v>
      </c>
      <c r="C327">
        <v>80</v>
      </c>
      <c r="D327">
        <v>79.929893493999998</v>
      </c>
      <c r="E327">
        <v>50</v>
      </c>
      <c r="F327">
        <v>14.999526978</v>
      </c>
      <c r="G327">
        <v>1346.3405762</v>
      </c>
      <c r="H327">
        <v>1342.5551757999999</v>
      </c>
      <c r="I327">
        <v>1313.7391356999999</v>
      </c>
      <c r="J327">
        <v>1305.8217772999999</v>
      </c>
      <c r="K327">
        <v>2400</v>
      </c>
      <c r="L327">
        <v>0</v>
      </c>
      <c r="M327">
        <v>0</v>
      </c>
      <c r="N327">
        <v>2400</v>
      </c>
    </row>
    <row r="328" spans="1:14" x14ac:dyDescent="0.25">
      <c r="A328">
        <v>43.986814000000003</v>
      </c>
      <c r="B328" s="1">
        <f>DATE(2010,6,13) + TIME(23,41,0)</f>
        <v>40342.986805555556</v>
      </c>
      <c r="C328">
        <v>80</v>
      </c>
      <c r="D328">
        <v>79.929893493999998</v>
      </c>
      <c r="E328">
        <v>50</v>
      </c>
      <c r="F328">
        <v>14.999527930999999</v>
      </c>
      <c r="G328">
        <v>1346.3330077999999</v>
      </c>
      <c r="H328">
        <v>1342.5491943</v>
      </c>
      <c r="I328">
        <v>1313.7399902</v>
      </c>
      <c r="J328">
        <v>1305.8223877</v>
      </c>
      <c r="K328">
        <v>2400</v>
      </c>
      <c r="L328">
        <v>0</v>
      </c>
      <c r="M328">
        <v>0</v>
      </c>
      <c r="N328">
        <v>2400</v>
      </c>
    </row>
    <row r="329" spans="1:14" x14ac:dyDescent="0.25">
      <c r="A329">
        <v>44.209991000000002</v>
      </c>
      <c r="B329" s="1">
        <f>DATE(2010,6,14) + TIME(5,2,23)</f>
        <v>40343.209988425922</v>
      </c>
      <c r="C329">
        <v>80</v>
      </c>
      <c r="D329">
        <v>79.929885863999999</v>
      </c>
      <c r="E329">
        <v>50</v>
      </c>
      <c r="F329">
        <v>14.999529838999999</v>
      </c>
      <c r="G329">
        <v>1346.3254394999999</v>
      </c>
      <c r="H329">
        <v>1342.5433350000001</v>
      </c>
      <c r="I329">
        <v>1313.7408447</v>
      </c>
      <c r="J329">
        <v>1305.8231201000001</v>
      </c>
      <c r="K329">
        <v>2400</v>
      </c>
      <c r="L329">
        <v>0</v>
      </c>
      <c r="M329">
        <v>0</v>
      </c>
      <c r="N329">
        <v>2400</v>
      </c>
    </row>
    <row r="330" spans="1:14" x14ac:dyDescent="0.25">
      <c r="A330">
        <v>44.433168999999999</v>
      </c>
      <c r="B330" s="1">
        <f>DATE(2010,6,14) + TIME(10,23,45)</f>
        <v>40343.433159722219</v>
      </c>
      <c r="C330">
        <v>80</v>
      </c>
      <c r="D330">
        <v>79.929885863999999</v>
      </c>
      <c r="E330">
        <v>50</v>
      </c>
      <c r="F330">
        <v>14.999530792</v>
      </c>
      <c r="G330">
        <v>1346.3178711</v>
      </c>
      <c r="H330">
        <v>1342.5375977000001</v>
      </c>
      <c r="I330">
        <v>1313.7416992000001</v>
      </c>
      <c r="J330">
        <v>1305.8238524999999</v>
      </c>
      <c r="K330">
        <v>2400</v>
      </c>
      <c r="L330">
        <v>0</v>
      </c>
      <c r="M330">
        <v>0</v>
      </c>
      <c r="N330">
        <v>2400</v>
      </c>
    </row>
    <row r="331" spans="1:14" x14ac:dyDescent="0.25">
      <c r="A331">
        <v>44.656345999999999</v>
      </c>
      <c r="B331" s="1">
        <f>DATE(2010,6,14) + TIME(15,45,8)</f>
        <v>40343.656342592592</v>
      </c>
      <c r="C331">
        <v>80</v>
      </c>
      <c r="D331">
        <v>79.929878235000004</v>
      </c>
      <c r="E331">
        <v>50</v>
      </c>
      <c r="F331">
        <v>14.999531746000001</v>
      </c>
      <c r="G331">
        <v>1346.3104248</v>
      </c>
      <c r="H331">
        <v>1342.5317382999999</v>
      </c>
      <c r="I331">
        <v>1313.7425536999999</v>
      </c>
      <c r="J331">
        <v>1305.8244629000001</v>
      </c>
      <c r="K331">
        <v>2400</v>
      </c>
      <c r="L331">
        <v>0</v>
      </c>
      <c r="M331">
        <v>0</v>
      </c>
      <c r="N331">
        <v>2400</v>
      </c>
    </row>
    <row r="332" spans="1:14" x14ac:dyDescent="0.25">
      <c r="A332">
        <v>44.879524000000004</v>
      </c>
      <c r="B332" s="1">
        <f>DATE(2010,6,14) + TIME(21,6,30)</f>
        <v>40343.879513888889</v>
      </c>
      <c r="C332">
        <v>80</v>
      </c>
      <c r="D332">
        <v>79.929878235000004</v>
      </c>
      <c r="E332">
        <v>50</v>
      </c>
      <c r="F332">
        <v>14.999533653</v>
      </c>
      <c r="G332">
        <v>1346.3029785000001</v>
      </c>
      <c r="H332">
        <v>1342.526001</v>
      </c>
      <c r="I332">
        <v>1313.7434082</v>
      </c>
      <c r="J332">
        <v>1305.8251952999999</v>
      </c>
      <c r="K332">
        <v>2400</v>
      </c>
      <c r="L332">
        <v>0</v>
      </c>
      <c r="M332">
        <v>0</v>
      </c>
      <c r="N332">
        <v>2400</v>
      </c>
    </row>
    <row r="333" spans="1:14" x14ac:dyDescent="0.25">
      <c r="A333">
        <v>45.325879</v>
      </c>
      <c r="B333" s="1">
        <f>DATE(2010,6,15) + TIME(7,49,15)</f>
        <v>40344.325868055559</v>
      </c>
      <c r="C333">
        <v>80</v>
      </c>
      <c r="D333">
        <v>79.929885863999999</v>
      </c>
      <c r="E333">
        <v>50</v>
      </c>
      <c r="F333">
        <v>14.999535561</v>
      </c>
      <c r="G333">
        <v>1346.2957764</v>
      </c>
      <c r="H333">
        <v>1342.5203856999999</v>
      </c>
      <c r="I333">
        <v>1313.7443848</v>
      </c>
      <c r="J333">
        <v>1305.8259277</v>
      </c>
      <c r="K333">
        <v>2400</v>
      </c>
      <c r="L333">
        <v>0</v>
      </c>
      <c r="M333">
        <v>0</v>
      </c>
      <c r="N333">
        <v>2400</v>
      </c>
    </row>
    <row r="334" spans="1:14" x14ac:dyDescent="0.25">
      <c r="A334">
        <v>45.773767999999997</v>
      </c>
      <c r="B334" s="1">
        <f>DATE(2010,6,15) + TIME(18,34,13)</f>
        <v>40344.773761574077</v>
      </c>
      <c r="C334">
        <v>80</v>
      </c>
      <c r="D334">
        <v>79.929885863999999</v>
      </c>
      <c r="E334">
        <v>50</v>
      </c>
      <c r="F334">
        <v>14.999537468</v>
      </c>
      <c r="G334">
        <v>1346.2810059000001</v>
      </c>
      <c r="H334">
        <v>1342.5090332</v>
      </c>
      <c r="I334">
        <v>1313.7460937999999</v>
      </c>
      <c r="J334">
        <v>1305.8272704999999</v>
      </c>
      <c r="K334">
        <v>2400</v>
      </c>
      <c r="L334">
        <v>0</v>
      </c>
      <c r="M334">
        <v>0</v>
      </c>
      <c r="N334">
        <v>2400</v>
      </c>
    </row>
    <row r="335" spans="1:14" x14ac:dyDescent="0.25">
      <c r="A335">
        <v>46.226604999999999</v>
      </c>
      <c r="B335" s="1">
        <f>DATE(2010,6,16) + TIME(5,26,18)</f>
        <v>40345.226597222223</v>
      </c>
      <c r="C335">
        <v>80</v>
      </c>
      <c r="D335">
        <v>79.929878235000004</v>
      </c>
      <c r="E335">
        <v>50</v>
      </c>
      <c r="F335">
        <v>14.999540329</v>
      </c>
      <c r="G335">
        <v>1346.2663574000001</v>
      </c>
      <c r="H335">
        <v>1342.4976807</v>
      </c>
      <c r="I335">
        <v>1313.7478027</v>
      </c>
      <c r="J335">
        <v>1305.8287353999999</v>
      </c>
      <c r="K335">
        <v>2400</v>
      </c>
      <c r="L335">
        <v>0</v>
      </c>
      <c r="M335">
        <v>0</v>
      </c>
      <c r="N335">
        <v>2400</v>
      </c>
    </row>
    <row r="336" spans="1:14" x14ac:dyDescent="0.25">
      <c r="A336">
        <v>46.685333</v>
      </c>
      <c r="B336" s="1">
        <f>DATE(2010,6,16) + TIME(16,26,52)</f>
        <v>40345.685324074075</v>
      </c>
      <c r="C336">
        <v>80</v>
      </c>
      <c r="D336">
        <v>79.929878235000004</v>
      </c>
      <c r="E336">
        <v>50</v>
      </c>
      <c r="F336">
        <v>14.999543190000001</v>
      </c>
      <c r="G336">
        <v>1346.2515868999999</v>
      </c>
      <c r="H336">
        <v>1342.4863281</v>
      </c>
      <c r="I336">
        <v>1313.7496338000001</v>
      </c>
      <c r="J336">
        <v>1305.8302002</v>
      </c>
      <c r="K336">
        <v>2400</v>
      </c>
      <c r="L336">
        <v>0</v>
      </c>
      <c r="M336">
        <v>0</v>
      </c>
      <c r="N336">
        <v>2400</v>
      </c>
    </row>
    <row r="337" spans="1:14" x14ac:dyDescent="0.25">
      <c r="A337">
        <v>47.150967000000001</v>
      </c>
      <c r="B337" s="1">
        <f>DATE(2010,6,17) + TIME(3,37,23)</f>
        <v>40346.150960648149</v>
      </c>
      <c r="C337">
        <v>80</v>
      </c>
      <c r="D337">
        <v>79.929870605000005</v>
      </c>
      <c r="E337">
        <v>50</v>
      </c>
      <c r="F337">
        <v>14.999545097</v>
      </c>
      <c r="G337">
        <v>1346.2368164</v>
      </c>
      <c r="H337">
        <v>1342.4748535000001</v>
      </c>
      <c r="I337">
        <v>1313.7513428</v>
      </c>
      <c r="J337">
        <v>1305.8316649999999</v>
      </c>
      <c r="K337">
        <v>2400</v>
      </c>
      <c r="L337">
        <v>0</v>
      </c>
      <c r="M337">
        <v>0</v>
      </c>
      <c r="N337">
        <v>2400</v>
      </c>
    </row>
    <row r="338" spans="1:14" x14ac:dyDescent="0.25">
      <c r="A338">
        <v>47.624575999999998</v>
      </c>
      <c r="B338" s="1">
        <f>DATE(2010,6,17) + TIME(14,59,23)</f>
        <v>40346.624571759261</v>
      </c>
      <c r="C338">
        <v>80</v>
      </c>
      <c r="D338">
        <v>79.929870605000005</v>
      </c>
      <c r="E338">
        <v>50</v>
      </c>
      <c r="F338">
        <v>14.999547958000001</v>
      </c>
      <c r="G338">
        <v>1346.2219238</v>
      </c>
      <c r="H338">
        <v>1342.4633789</v>
      </c>
      <c r="I338">
        <v>1313.7532959</v>
      </c>
      <c r="J338">
        <v>1305.8331298999999</v>
      </c>
      <c r="K338">
        <v>2400</v>
      </c>
      <c r="L338">
        <v>0</v>
      </c>
      <c r="M338">
        <v>0</v>
      </c>
      <c r="N338">
        <v>2400</v>
      </c>
    </row>
    <row r="339" spans="1:14" x14ac:dyDescent="0.25">
      <c r="A339">
        <v>48.107314000000002</v>
      </c>
      <c r="B339" s="1">
        <f>DATE(2010,6,18) + TIME(2,34,31)</f>
        <v>40347.107303240744</v>
      </c>
      <c r="C339">
        <v>80</v>
      </c>
      <c r="D339">
        <v>79.929862975999995</v>
      </c>
      <c r="E339">
        <v>50</v>
      </c>
      <c r="F339">
        <v>14.999550819</v>
      </c>
      <c r="G339">
        <v>1346.2070312000001</v>
      </c>
      <c r="H339">
        <v>1342.4517822</v>
      </c>
      <c r="I339">
        <v>1313.7551269999999</v>
      </c>
      <c r="J339">
        <v>1305.8345947</v>
      </c>
      <c r="K339">
        <v>2400</v>
      </c>
      <c r="L339">
        <v>0</v>
      </c>
      <c r="M339">
        <v>0</v>
      </c>
      <c r="N339">
        <v>2400</v>
      </c>
    </row>
    <row r="340" spans="1:14" x14ac:dyDescent="0.25">
      <c r="A340">
        <v>48.350479999999997</v>
      </c>
      <c r="B340" s="1">
        <f>DATE(2010,6,18) + TIME(8,24,41)</f>
        <v>40347.350474537037</v>
      </c>
      <c r="C340">
        <v>80</v>
      </c>
      <c r="D340">
        <v>79.929855347</v>
      </c>
      <c r="E340">
        <v>50</v>
      </c>
      <c r="F340">
        <v>14.999551773</v>
      </c>
      <c r="G340">
        <v>1346.1916504000001</v>
      </c>
      <c r="H340">
        <v>1342.4399414</v>
      </c>
      <c r="I340">
        <v>1313.7569579999999</v>
      </c>
      <c r="J340">
        <v>1305.8360596</v>
      </c>
      <c r="K340">
        <v>2400</v>
      </c>
      <c r="L340">
        <v>0</v>
      </c>
      <c r="M340">
        <v>0</v>
      </c>
      <c r="N340">
        <v>2400</v>
      </c>
    </row>
    <row r="341" spans="1:14" x14ac:dyDescent="0.25">
      <c r="A341">
        <v>48.593645000000002</v>
      </c>
      <c r="B341" s="1">
        <f>DATE(2010,6,18) + TIME(14,14,50)</f>
        <v>40347.593634259261</v>
      </c>
      <c r="C341">
        <v>80</v>
      </c>
      <c r="D341">
        <v>79.929840088000006</v>
      </c>
      <c r="E341">
        <v>50</v>
      </c>
      <c r="F341">
        <v>14.99955368</v>
      </c>
      <c r="G341">
        <v>1346.1839600000001</v>
      </c>
      <c r="H341">
        <v>1342.4339600000001</v>
      </c>
      <c r="I341">
        <v>1313.7579346</v>
      </c>
      <c r="J341">
        <v>1305.8369141000001</v>
      </c>
      <c r="K341">
        <v>2400</v>
      </c>
      <c r="L341">
        <v>0</v>
      </c>
      <c r="M341">
        <v>0</v>
      </c>
      <c r="N341">
        <v>2400</v>
      </c>
    </row>
    <row r="342" spans="1:14" x14ac:dyDescent="0.25">
      <c r="A342">
        <v>48.836514000000001</v>
      </c>
      <c r="B342" s="1">
        <f>DATE(2010,6,18) + TIME(20,4,34)</f>
        <v>40347.836504629631</v>
      </c>
      <c r="C342">
        <v>80</v>
      </c>
      <c r="D342">
        <v>79.929840088000006</v>
      </c>
      <c r="E342">
        <v>50</v>
      </c>
      <c r="F342">
        <v>14.999554634000001</v>
      </c>
      <c r="G342">
        <v>1346.1765137</v>
      </c>
      <c r="H342">
        <v>1342.4281006000001</v>
      </c>
      <c r="I342">
        <v>1313.7589111</v>
      </c>
      <c r="J342">
        <v>1305.8376464999999</v>
      </c>
      <c r="K342">
        <v>2400</v>
      </c>
      <c r="L342">
        <v>0</v>
      </c>
      <c r="M342">
        <v>0</v>
      </c>
      <c r="N342">
        <v>2400</v>
      </c>
    </row>
    <row r="343" spans="1:14" x14ac:dyDescent="0.25">
      <c r="A343">
        <v>49.078951000000004</v>
      </c>
      <c r="B343" s="1">
        <f>DATE(2010,6,19) + TIME(1,53,41)</f>
        <v>40348.078946759262</v>
      </c>
      <c r="C343">
        <v>80</v>
      </c>
      <c r="D343">
        <v>79.929832458000007</v>
      </c>
      <c r="E343">
        <v>50</v>
      </c>
      <c r="F343">
        <v>14.999556541</v>
      </c>
      <c r="G343">
        <v>1346.1689452999999</v>
      </c>
      <c r="H343">
        <v>1342.4223632999999</v>
      </c>
      <c r="I343">
        <v>1313.7598877</v>
      </c>
      <c r="J343">
        <v>1305.8383789</v>
      </c>
      <c r="K343">
        <v>2400</v>
      </c>
      <c r="L343">
        <v>0</v>
      </c>
      <c r="M343">
        <v>0</v>
      </c>
      <c r="N343">
        <v>2400</v>
      </c>
    </row>
    <row r="344" spans="1:14" x14ac:dyDescent="0.25">
      <c r="A344">
        <v>49.321103999999998</v>
      </c>
      <c r="B344" s="1">
        <f>DATE(2010,6,19) + TIME(7,42,23)</f>
        <v>40348.321099537039</v>
      </c>
      <c r="C344">
        <v>80</v>
      </c>
      <c r="D344">
        <v>79.929824828999998</v>
      </c>
      <c r="E344">
        <v>50</v>
      </c>
      <c r="F344">
        <v>14.999557494999999</v>
      </c>
      <c r="G344">
        <v>1346.161499</v>
      </c>
      <c r="H344">
        <v>1342.4165039</v>
      </c>
      <c r="I344">
        <v>1313.7608643000001</v>
      </c>
      <c r="J344">
        <v>1305.8392334</v>
      </c>
      <c r="K344">
        <v>2400</v>
      </c>
      <c r="L344">
        <v>0</v>
      </c>
      <c r="M344">
        <v>0</v>
      </c>
      <c r="N344">
        <v>2400</v>
      </c>
    </row>
    <row r="345" spans="1:14" x14ac:dyDescent="0.25">
      <c r="A345">
        <v>49.563108</v>
      </c>
      <c r="B345" s="1">
        <f>DATE(2010,6,19) + TIME(13,30,52)</f>
        <v>40348.563101851854</v>
      </c>
      <c r="C345">
        <v>80</v>
      </c>
      <c r="D345">
        <v>79.929824828999998</v>
      </c>
      <c r="E345">
        <v>50</v>
      </c>
      <c r="F345">
        <v>14.999559401999999</v>
      </c>
      <c r="G345">
        <v>1346.1540527</v>
      </c>
      <c r="H345">
        <v>1342.4107666</v>
      </c>
      <c r="I345">
        <v>1313.7618408000001</v>
      </c>
      <c r="J345">
        <v>1305.8399658000001</v>
      </c>
      <c r="K345">
        <v>2400</v>
      </c>
      <c r="L345">
        <v>0</v>
      </c>
      <c r="M345">
        <v>0</v>
      </c>
      <c r="N345">
        <v>2400</v>
      </c>
    </row>
    <row r="346" spans="1:14" x14ac:dyDescent="0.25">
      <c r="A346">
        <v>49.805092000000002</v>
      </c>
      <c r="B346" s="1">
        <f>DATE(2010,6,19) + TIME(19,19,19)</f>
        <v>40348.805081018516</v>
      </c>
      <c r="C346">
        <v>80</v>
      </c>
      <c r="D346">
        <v>79.929824828999998</v>
      </c>
      <c r="E346">
        <v>50</v>
      </c>
      <c r="F346">
        <v>14.999560356</v>
      </c>
      <c r="G346">
        <v>1346.1466064000001</v>
      </c>
      <c r="H346">
        <v>1342.4050293</v>
      </c>
      <c r="I346">
        <v>1313.7628173999999</v>
      </c>
      <c r="J346">
        <v>1305.8408202999999</v>
      </c>
      <c r="K346">
        <v>2400</v>
      </c>
      <c r="L346">
        <v>0</v>
      </c>
      <c r="M346">
        <v>0</v>
      </c>
      <c r="N346">
        <v>2400</v>
      </c>
    </row>
    <row r="347" spans="1:14" x14ac:dyDescent="0.25">
      <c r="A347">
        <v>50.047075</v>
      </c>
      <c r="B347" s="1">
        <f>DATE(2010,6,20) + TIME(1,7,47)</f>
        <v>40349.047071759262</v>
      </c>
      <c r="C347">
        <v>80</v>
      </c>
      <c r="D347">
        <v>79.929817200000002</v>
      </c>
      <c r="E347">
        <v>50</v>
      </c>
      <c r="F347">
        <v>14.999562263</v>
      </c>
      <c r="G347">
        <v>1346.1392822</v>
      </c>
      <c r="H347">
        <v>1342.3992920000001</v>
      </c>
      <c r="I347">
        <v>1313.7637939000001</v>
      </c>
      <c r="J347">
        <v>1305.8415527</v>
      </c>
      <c r="K347">
        <v>2400</v>
      </c>
      <c r="L347">
        <v>0</v>
      </c>
      <c r="M347">
        <v>0</v>
      </c>
      <c r="N347">
        <v>2400</v>
      </c>
    </row>
    <row r="348" spans="1:14" x14ac:dyDescent="0.25">
      <c r="A348">
        <v>50.289059000000002</v>
      </c>
      <c r="B348" s="1">
        <f>DATE(2010,6,20) + TIME(6,56,14)</f>
        <v>40349.289050925923</v>
      </c>
      <c r="C348">
        <v>80</v>
      </c>
      <c r="D348">
        <v>79.929817200000002</v>
      </c>
      <c r="E348">
        <v>50</v>
      </c>
      <c r="F348">
        <v>14.999563217</v>
      </c>
      <c r="G348">
        <v>1346.1319579999999</v>
      </c>
      <c r="H348">
        <v>1342.3936768000001</v>
      </c>
      <c r="I348">
        <v>1313.7648925999999</v>
      </c>
      <c r="J348">
        <v>1305.8424072</v>
      </c>
      <c r="K348">
        <v>2400</v>
      </c>
      <c r="L348">
        <v>0</v>
      </c>
      <c r="M348">
        <v>0</v>
      </c>
      <c r="N348">
        <v>2400</v>
      </c>
    </row>
    <row r="349" spans="1:14" x14ac:dyDescent="0.25">
      <c r="A349">
        <v>50.531042999999997</v>
      </c>
      <c r="B349" s="1">
        <f>DATE(2010,6,20) + TIME(12,44,42)</f>
        <v>40349.531041666669</v>
      </c>
      <c r="C349">
        <v>80</v>
      </c>
      <c r="D349">
        <v>79.929817200000002</v>
      </c>
      <c r="E349">
        <v>50</v>
      </c>
      <c r="F349">
        <v>14.999565125</v>
      </c>
      <c r="G349">
        <v>1346.1246338000001</v>
      </c>
      <c r="H349">
        <v>1342.3879394999999</v>
      </c>
      <c r="I349">
        <v>1313.7658690999999</v>
      </c>
      <c r="J349">
        <v>1305.8431396000001</v>
      </c>
      <c r="K349">
        <v>2400</v>
      </c>
      <c r="L349">
        <v>0</v>
      </c>
      <c r="M349">
        <v>0</v>
      </c>
      <c r="N349">
        <v>2400</v>
      </c>
    </row>
    <row r="350" spans="1:14" x14ac:dyDescent="0.25">
      <c r="A350">
        <v>50.773026999999999</v>
      </c>
      <c r="B350" s="1">
        <f>DATE(2010,6,20) + TIME(18,33,9)</f>
        <v>40349.773020833331</v>
      </c>
      <c r="C350">
        <v>80</v>
      </c>
      <c r="D350">
        <v>79.929817200000002</v>
      </c>
      <c r="E350">
        <v>50</v>
      </c>
      <c r="F350">
        <v>14.999566078000001</v>
      </c>
      <c r="G350">
        <v>1346.1174315999999</v>
      </c>
      <c r="H350">
        <v>1342.3823242000001</v>
      </c>
      <c r="I350">
        <v>1313.7668457</v>
      </c>
      <c r="J350">
        <v>1305.8439940999999</v>
      </c>
      <c r="K350">
        <v>2400</v>
      </c>
      <c r="L350">
        <v>0</v>
      </c>
      <c r="M350">
        <v>0</v>
      </c>
      <c r="N350">
        <v>2400</v>
      </c>
    </row>
    <row r="351" spans="1:14" x14ac:dyDescent="0.25">
      <c r="A351">
        <v>51.015011000000001</v>
      </c>
      <c r="B351" s="1">
        <f>DATE(2010,6,21) + TIME(0,21,36)</f>
        <v>40350.014999999999</v>
      </c>
      <c r="C351">
        <v>80</v>
      </c>
      <c r="D351">
        <v>79.929817200000002</v>
      </c>
      <c r="E351">
        <v>50</v>
      </c>
      <c r="F351">
        <v>14.999567032</v>
      </c>
      <c r="G351">
        <v>1346.1102295000001</v>
      </c>
      <c r="H351">
        <v>1342.3767089999999</v>
      </c>
      <c r="I351">
        <v>1313.7678223</v>
      </c>
      <c r="J351">
        <v>1305.8447266000001</v>
      </c>
      <c r="K351">
        <v>2400</v>
      </c>
      <c r="L351">
        <v>0</v>
      </c>
      <c r="M351">
        <v>0</v>
      </c>
      <c r="N351">
        <v>2400</v>
      </c>
    </row>
    <row r="352" spans="1:14" x14ac:dyDescent="0.25">
      <c r="A352">
        <v>51.256995000000003</v>
      </c>
      <c r="B352" s="1">
        <f>DATE(2010,6,21) + TIME(6,10,4)</f>
        <v>40350.256990740738</v>
      </c>
      <c r="C352">
        <v>80</v>
      </c>
      <c r="D352">
        <v>79.929817200000002</v>
      </c>
      <c r="E352">
        <v>50</v>
      </c>
      <c r="F352">
        <v>14.999568939</v>
      </c>
      <c r="G352">
        <v>1346.1030272999999</v>
      </c>
      <c r="H352">
        <v>1342.3710937999999</v>
      </c>
      <c r="I352">
        <v>1313.7687988</v>
      </c>
      <c r="J352">
        <v>1305.8455810999999</v>
      </c>
      <c r="K352">
        <v>2400</v>
      </c>
      <c r="L352">
        <v>0</v>
      </c>
      <c r="M352">
        <v>0</v>
      </c>
      <c r="N352">
        <v>2400</v>
      </c>
    </row>
    <row r="353" spans="1:14" x14ac:dyDescent="0.25">
      <c r="A353">
        <v>51.740962000000003</v>
      </c>
      <c r="B353" s="1">
        <f>DATE(2010,6,21) + TIME(17,46,59)</f>
        <v>40350.740960648145</v>
      </c>
      <c r="C353">
        <v>80</v>
      </c>
      <c r="D353">
        <v>79.929824828999998</v>
      </c>
      <c r="E353">
        <v>50</v>
      </c>
      <c r="F353">
        <v>14.999570846999999</v>
      </c>
      <c r="G353">
        <v>1346.0959473</v>
      </c>
      <c r="H353">
        <v>1342.3657227000001</v>
      </c>
      <c r="I353">
        <v>1313.7698975000001</v>
      </c>
      <c r="J353">
        <v>1305.8464355000001</v>
      </c>
      <c r="K353">
        <v>2400</v>
      </c>
      <c r="L353">
        <v>0</v>
      </c>
      <c r="M353">
        <v>0</v>
      </c>
      <c r="N353">
        <v>2400</v>
      </c>
    </row>
    <row r="354" spans="1:14" x14ac:dyDescent="0.25">
      <c r="A354">
        <v>52.226277000000003</v>
      </c>
      <c r="B354" s="1">
        <f>DATE(2010,6,22) + TIME(5,25,50)</f>
        <v>40351.226273148146</v>
      </c>
      <c r="C354">
        <v>80</v>
      </c>
      <c r="D354">
        <v>79.929832458000007</v>
      </c>
      <c r="E354">
        <v>50</v>
      </c>
      <c r="F354">
        <v>14.999572754000001</v>
      </c>
      <c r="G354">
        <v>1346.0816649999999</v>
      </c>
      <c r="H354">
        <v>1342.3547363</v>
      </c>
      <c r="I354">
        <v>1313.7718506000001</v>
      </c>
      <c r="J354">
        <v>1305.8480225000001</v>
      </c>
      <c r="K354">
        <v>2400</v>
      </c>
      <c r="L354">
        <v>0</v>
      </c>
      <c r="M354">
        <v>0</v>
      </c>
      <c r="N354">
        <v>2400</v>
      </c>
    </row>
    <row r="355" spans="1:14" x14ac:dyDescent="0.25">
      <c r="A355">
        <v>52.717402</v>
      </c>
      <c r="B355" s="1">
        <f>DATE(2010,6,22) + TIME(17,13,3)</f>
        <v>40351.717395833337</v>
      </c>
      <c r="C355">
        <v>80</v>
      </c>
      <c r="D355">
        <v>79.929840088000006</v>
      </c>
      <c r="E355">
        <v>50</v>
      </c>
      <c r="F355">
        <v>14.999575614999999</v>
      </c>
      <c r="G355">
        <v>1346.0675048999999</v>
      </c>
      <c r="H355">
        <v>1342.34375</v>
      </c>
      <c r="I355">
        <v>1313.7739257999999</v>
      </c>
      <c r="J355">
        <v>1305.8496094</v>
      </c>
      <c r="K355">
        <v>2400</v>
      </c>
      <c r="L355">
        <v>0</v>
      </c>
      <c r="M355">
        <v>0</v>
      </c>
      <c r="N355">
        <v>2400</v>
      </c>
    </row>
    <row r="356" spans="1:14" x14ac:dyDescent="0.25">
      <c r="A356">
        <v>53.215406000000002</v>
      </c>
      <c r="B356" s="1">
        <f>DATE(2010,6,23) + TIME(5,10,11)</f>
        <v>40352.215405092589</v>
      </c>
      <c r="C356">
        <v>80</v>
      </c>
      <c r="D356">
        <v>79.929840088000006</v>
      </c>
      <c r="E356">
        <v>50</v>
      </c>
      <c r="F356">
        <v>14.999577521999999</v>
      </c>
      <c r="G356">
        <v>1346.0532227000001</v>
      </c>
      <c r="H356">
        <v>1342.3327637</v>
      </c>
      <c r="I356">
        <v>1313.776001</v>
      </c>
      <c r="J356">
        <v>1305.8513184000001</v>
      </c>
      <c r="K356">
        <v>2400</v>
      </c>
      <c r="L356">
        <v>0</v>
      </c>
      <c r="M356">
        <v>0</v>
      </c>
      <c r="N356">
        <v>2400</v>
      </c>
    </row>
    <row r="357" spans="1:14" x14ac:dyDescent="0.25">
      <c r="A357">
        <v>53.721451999999999</v>
      </c>
      <c r="B357" s="1">
        <f>DATE(2010,6,23) + TIME(17,18,53)</f>
        <v>40352.721446759257</v>
      </c>
      <c r="C357">
        <v>80</v>
      </c>
      <c r="D357">
        <v>79.929840088000006</v>
      </c>
      <c r="E357">
        <v>50</v>
      </c>
      <c r="F357">
        <v>14.999580383</v>
      </c>
      <c r="G357">
        <v>1346.0389404</v>
      </c>
      <c r="H357">
        <v>1342.3216553</v>
      </c>
      <c r="I357">
        <v>1313.7780762</v>
      </c>
      <c r="J357">
        <v>1305.8529053</v>
      </c>
      <c r="K357">
        <v>2400</v>
      </c>
      <c r="L357">
        <v>0</v>
      </c>
      <c r="M357">
        <v>0</v>
      </c>
      <c r="N357">
        <v>2400</v>
      </c>
    </row>
    <row r="358" spans="1:14" x14ac:dyDescent="0.25">
      <c r="A358">
        <v>54.236778999999999</v>
      </c>
      <c r="B358" s="1">
        <f>DATE(2010,6,24) + TIME(5,40,57)</f>
        <v>40353.236770833333</v>
      </c>
      <c r="C358">
        <v>80</v>
      </c>
      <c r="D358">
        <v>79.929840088000006</v>
      </c>
      <c r="E358">
        <v>50</v>
      </c>
      <c r="F358">
        <v>14.999582290999999</v>
      </c>
      <c r="G358">
        <v>1346.0244141000001</v>
      </c>
      <c r="H358">
        <v>1342.3105469</v>
      </c>
      <c r="I358">
        <v>1313.7802733999999</v>
      </c>
      <c r="J358">
        <v>1305.8546143000001</v>
      </c>
      <c r="K358">
        <v>2400</v>
      </c>
      <c r="L358">
        <v>0</v>
      </c>
      <c r="M358">
        <v>0</v>
      </c>
      <c r="N358">
        <v>2400</v>
      </c>
    </row>
    <row r="359" spans="1:14" x14ac:dyDescent="0.25">
      <c r="A359">
        <v>54.498482000000003</v>
      </c>
      <c r="B359" s="1">
        <f>DATE(2010,6,24) + TIME(11,57,48)</f>
        <v>40353.498472222222</v>
      </c>
      <c r="C359">
        <v>80</v>
      </c>
      <c r="D359">
        <v>79.929832458000007</v>
      </c>
      <c r="E359">
        <v>50</v>
      </c>
      <c r="F359">
        <v>14.999584198000001</v>
      </c>
      <c r="G359">
        <v>1346.0096435999999</v>
      </c>
      <c r="H359">
        <v>1342.2990723</v>
      </c>
      <c r="I359">
        <v>1313.7823486</v>
      </c>
      <c r="J359">
        <v>1305.8563231999999</v>
      </c>
      <c r="K359">
        <v>2400</v>
      </c>
      <c r="L359">
        <v>0</v>
      </c>
      <c r="M359">
        <v>0</v>
      </c>
      <c r="N359">
        <v>2400</v>
      </c>
    </row>
    <row r="360" spans="1:14" x14ac:dyDescent="0.25">
      <c r="A360">
        <v>54.760184000000002</v>
      </c>
      <c r="B360" s="1">
        <f>DATE(2010,6,24) + TIME(18,14,39)</f>
        <v>40353.76017361111</v>
      </c>
      <c r="C360">
        <v>80</v>
      </c>
      <c r="D360">
        <v>79.929824828999998</v>
      </c>
      <c r="E360">
        <v>50</v>
      </c>
      <c r="F360">
        <v>14.999586105000001</v>
      </c>
      <c r="G360">
        <v>1346.0023193</v>
      </c>
      <c r="H360">
        <v>1342.2933350000001</v>
      </c>
      <c r="I360">
        <v>1313.7835693</v>
      </c>
      <c r="J360">
        <v>1305.8572998</v>
      </c>
      <c r="K360">
        <v>2400</v>
      </c>
      <c r="L360">
        <v>0</v>
      </c>
      <c r="M360">
        <v>0</v>
      </c>
      <c r="N360">
        <v>2400</v>
      </c>
    </row>
    <row r="361" spans="1:14" x14ac:dyDescent="0.25">
      <c r="A361">
        <v>55.021887</v>
      </c>
      <c r="B361" s="1">
        <f>DATE(2010,6,25) + TIME(0,31,31)</f>
        <v>40354.021886574075</v>
      </c>
      <c r="C361">
        <v>80</v>
      </c>
      <c r="D361">
        <v>79.929824828999998</v>
      </c>
      <c r="E361">
        <v>50</v>
      </c>
      <c r="F361">
        <v>14.999587059</v>
      </c>
      <c r="G361">
        <v>1345.9949951000001</v>
      </c>
      <c r="H361">
        <v>1342.2875977000001</v>
      </c>
      <c r="I361">
        <v>1313.784668</v>
      </c>
      <c r="J361">
        <v>1305.8581543</v>
      </c>
      <c r="K361">
        <v>2400</v>
      </c>
      <c r="L361">
        <v>0</v>
      </c>
      <c r="M361">
        <v>0</v>
      </c>
      <c r="N361">
        <v>2400</v>
      </c>
    </row>
    <row r="362" spans="1:14" x14ac:dyDescent="0.25">
      <c r="A362">
        <v>55.283589999999997</v>
      </c>
      <c r="B362" s="1">
        <f>DATE(2010,6,25) + TIME(6,48,22)</f>
        <v>40354.283587962964</v>
      </c>
      <c r="C362">
        <v>80</v>
      </c>
      <c r="D362">
        <v>79.929817200000002</v>
      </c>
      <c r="E362">
        <v>50</v>
      </c>
      <c r="F362">
        <v>14.999588965999999</v>
      </c>
      <c r="G362">
        <v>1345.9876709</v>
      </c>
      <c r="H362">
        <v>1342.2819824000001</v>
      </c>
      <c r="I362">
        <v>1313.7857666</v>
      </c>
      <c r="J362">
        <v>1305.8590088000001</v>
      </c>
      <c r="K362">
        <v>2400</v>
      </c>
      <c r="L362">
        <v>0</v>
      </c>
      <c r="M362">
        <v>0</v>
      </c>
      <c r="N362">
        <v>2400</v>
      </c>
    </row>
    <row r="363" spans="1:14" x14ac:dyDescent="0.25">
      <c r="A363">
        <v>55.545000000000002</v>
      </c>
      <c r="B363" s="1">
        <f>DATE(2010,6,25) + TIME(13,4,48)</f>
        <v>40354.544999999998</v>
      </c>
      <c r="C363">
        <v>80</v>
      </c>
      <c r="D363">
        <v>79.929817200000002</v>
      </c>
      <c r="E363">
        <v>50</v>
      </c>
      <c r="F363">
        <v>14.99958992</v>
      </c>
      <c r="G363">
        <v>1345.9803466999999</v>
      </c>
      <c r="H363">
        <v>1342.2762451000001</v>
      </c>
      <c r="I363">
        <v>1313.7869873</v>
      </c>
      <c r="J363">
        <v>1305.8599853999999</v>
      </c>
      <c r="K363">
        <v>2400</v>
      </c>
      <c r="L363">
        <v>0</v>
      </c>
      <c r="M363">
        <v>0</v>
      </c>
      <c r="N363">
        <v>2400</v>
      </c>
    </row>
    <row r="364" spans="1:14" x14ac:dyDescent="0.25">
      <c r="A364">
        <v>55.806102000000003</v>
      </c>
      <c r="B364" s="1">
        <f>DATE(2010,6,25) + TIME(19,20,47)</f>
        <v>40354.80609953704</v>
      </c>
      <c r="C364">
        <v>80</v>
      </c>
      <c r="D364">
        <v>79.929817200000002</v>
      </c>
      <c r="E364">
        <v>50</v>
      </c>
      <c r="F364">
        <v>14.999591827</v>
      </c>
      <c r="G364">
        <v>1345.9731445</v>
      </c>
      <c r="H364">
        <v>1342.2706298999999</v>
      </c>
      <c r="I364">
        <v>1313.7880858999999</v>
      </c>
      <c r="J364">
        <v>1305.8608397999999</v>
      </c>
      <c r="K364">
        <v>2400</v>
      </c>
      <c r="L364">
        <v>0</v>
      </c>
      <c r="M364">
        <v>0</v>
      </c>
      <c r="N364">
        <v>2400</v>
      </c>
    </row>
    <row r="365" spans="1:14" x14ac:dyDescent="0.25">
      <c r="A365">
        <v>56.067050999999999</v>
      </c>
      <c r="B365" s="1">
        <f>DATE(2010,6,26) + TIME(1,36,33)</f>
        <v>40355.067048611112</v>
      </c>
      <c r="C365">
        <v>80</v>
      </c>
      <c r="D365">
        <v>79.929817200000002</v>
      </c>
      <c r="E365">
        <v>50</v>
      </c>
      <c r="F365">
        <v>14.999592781</v>
      </c>
      <c r="G365">
        <v>1345.9659423999999</v>
      </c>
      <c r="H365">
        <v>1342.2651367000001</v>
      </c>
      <c r="I365">
        <v>1313.7891846</v>
      </c>
      <c r="J365">
        <v>1305.8618164</v>
      </c>
      <c r="K365">
        <v>2400</v>
      </c>
      <c r="L365">
        <v>0</v>
      </c>
      <c r="M365">
        <v>0</v>
      </c>
      <c r="N365">
        <v>2400</v>
      </c>
    </row>
    <row r="366" spans="1:14" x14ac:dyDescent="0.25">
      <c r="A366">
        <v>56.327961999999999</v>
      </c>
      <c r="B366" s="1">
        <f>DATE(2010,6,26) + TIME(7,52,15)</f>
        <v>40355.327951388892</v>
      </c>
      <c r="C366">
        <v>80</v>
      </c>
      <c r="D366">
        <v>79.929817200000002</v>
      </c>
      <c r="E366">
        <v>50</v>
      </c>
      <c r="F366">
        <v>14.999593734999999</v>
      </c>
      <c r="G366">
        <v>1345.9587402</v>
      </c>
      <c r="H366">
        <v>1342.2595214999999</v>
      </c>
      <c r="I366">
        <v>1313.7904053</v>
      </c>
      <c r="J366">
        <v>1305.8626709</v>
      </c>
      <c r="K366">
        <v>2400</v>
      </c>
      <c r="L366">
        <v>0</v>
      </c>
      <c r="M366">
        <v>0</v>
      </c>
      <c r="N366">
        <v>2400</v>
      </c>
    </row>
    <row r="367" spans="1:14" x14ac:dyDescent="0.25">
      <c r="A367">
        <v>56.588873999999997</v>
      </c>
      <c r="B367" s="1">
        <f>DATE(2010,6,26) + TIME(14,7,58)</f>
        <v>40355.588865740741</v>
      </c>
      <c r="C367">
        <v>80</v>
      </c>
      <c r="D367">
        <v>79.929824828999998</v>
      </c>
      <c r="E367">
        <v>50</v>
      </c>
      <c r="F367">
        <v>14.999595641999999</v>
      </c>
      <c r="G367">
        <v>1345.9515381000001</v>
      </c>
      <c r="H367">
        <v>1342.2540283000001</v>
      </c>
      <c r="I367">
        <v>1313.7915039</v>
      </c>
      <c r="J367">
        <v>1305.8635254000001</v>
      </c>
      <c r="K367">
        <v>2400</v>
      </c>
      <c r="L367">
        <v>0</v>
      </c>
      <c r="M367">
        <v>0</v>
      </c>
      <c r="N367">
        <v>2400</v>
      </c>
    </row>
    <row r="368" spans="1:14" x14ac:dyDescent="0.25">
      <c r="A368">
        <v>56.849784999999997</v>
      </c>
      <c r="B368" s="1">
        <f>DATE(2010,6,26) + TIME(20,23,41)</f>
        <v>40355.849780092591</v>
      </c>
      <c r="C368">
        <v>80</v>
      </c>
      <c r="D368">
        <v>79.929824828999998</v>
      </c>
      <c r="E368">
        <v>50</v>
      </c>
      <c r="F368">
        <v>14.999596596</v>
      </c>
      <c r="G368">
        <v>1345.9444579999999</v>
      </c>
      <c r="H368">
        <v>1342.2484131000001</v>
      </c>
      <c r="I368">
        <v>1313.7926024999999</v>
      </c>
      <c r="J368">
        <v>1305.8645019999999</v>
      </c>
      <c r="K368">
        <v>2400</v>
      </c>
      <c r="L368">
        <v>0</v>
      </c>
      <c r="M368">
        <v>0</v>
      </c>
      <c r="N368">
        <v>2400</v>
      </c>
    </row>
    <row r="369" spans="1:14" x14ac:dyDescent="0.25">
      <c r="A369">
        <v>57.110695999999997</v>
      </c>
      <c r="B369" s="1">
        <f>DATE(2010,6,27) + TIME(2,39,24)</f>
        <v>40356.110694444447</v>
      </c>
      <c r="C369">
        <v>80</v>
      </c>
      <c r="D369">
        <v>79.929824828999998</v>
      </c>
      <c r="E369">
        <v>50</v>
      </c>
      <c r="F369">
        <v>14.999598503</v>
      </c>
      <c r="G369">
        <v>1345.9373779</v>
      </c>
      <c r="H369">
        <v>1342.2429199000001</v>
      </c>
      <c r="I369">
        <v>1313.7938231999999</v>
      </c>
      <c r="J369">
        <v>1305.8653564000001</v>
      </c>
      <c r="K369">
        <v>2400</v>
      </c>
      <c r="L369">
        <v>0</v>
      </c>
      <c r="M369">
        <v>0</v>
      </c>
      <c r="N369">
        <v>2400</v>
      </c>
    </row>
    <row r="370" spans="1:14" x14ac:dyDescent="0.25">
      <c r="A370">
        <v>57.371606999999997</v>
      </c>
      <c r="B370" s="1">
        <f>DATE(2010,6,27) + TIME(8,55,6)</f>
        <v>40356.37159722222</v>
      </c>
      <c r="C370">
        <v>80</v>
      </c>
      <c r="D370">
        <v>79.929824828999998</v>
      </c>
      <c r="E370">
        <v>50</v>
      </c>
      <c r="F370">
        <v>14.999599457</v>
      </c>
      <c r="G370">
        <v>1345.9302978999999</v>
      </c>
      <c r="H370">
        <v>1342.2374268000001</v>
      </c>
      <c r="I370">
        <v>1313.7949219</v>
      </c>
      <c r="J370">
        <v>1305.8663329999999</v>
      </c>
      <c r="K370">
        <v>2400</v>
      </c>
      <c r="L370">
        <v>0</v>
      </c>
      <c r="M370">
        <v>0</v>
      </c>
      <c r="N370">
        <v>2400</v>
      </c>
    </row>
    <row r="371" spans="1:14" x14ac:dyDescent="0.25">
      <c r="A371">
        <v>57.632517999999997</v>
      </c>
      <c r="B371" s="1">
        <f>DATE(2010,6,27) + TIME(15,10,49)</f>
        <v>40356.632511574076</v>
      </c>
      <c r="C371">
        <v>80</v>
      </c>
      <c r="D371">
        <v>79.929824828999998</v>
      </c>
      <c r="E371">
        <v>50</v>
      </c>
      <c r="F371">
        <v>14.999600409999999</v>
      </c>
      <c r="G371">
        <v>1345.9232178</v>
      </c>
      <c r="H371">
        <v>1342.2320557</v>
      </c>
      <c r="I371">
        <v>1313.7961425999999</v>
      </c>
      <c r="J371">
        <v>1305.8671875</v>
      </c>
      <c r="K371">
        <v>2400</v>
      </c>
      <c r="L371">
        <v>0</v>
      </c>
      <c r="M371">
        <v>0</v>
      </c>
      <c r="N371">
        <v>2400</v>
      </c>
    </row>
    <row r="372" spans="1:14" x14ac:dyDescent="0.25">
      <c r="A372">
        <v>57.893430000000002</v>
      </c>
      <c r="B372" s="1">
        <f>DATE(2010,6,27) + TIME(21,26,32)</f>
        <v>40356.893425925926</v>
      </c>
      <c r="C372">
        <v>80</v>
      </c>
      <c r="D372">
        <v>79.929832458000007</v>
      </c>
      <c r="E372">
        <v>50</v>
      </c>
      <c r="F372">
        <v>14.999602318000001</v>
      </c>
      <c r="G372">
        <v>1345.9162598</v>
      </c>
      <c r="H372">
        <v>1342.2265625</v>
      </c>
      <c r="I372">
        <v>1313.7973632999999</v>
      </c>
      <c r="J372">
        <v>1305.8681641000001</v>
      </c>
      <c r="K372">
        <v>2400</v>
      </c>
      <c r="L372">
        <v>0</v>
      </c>
      <c r="M372">
        <v>0</v>
      </c>
      <c r="N372">
        <v>2400</v>
      </c>
    </row>
    <row r="373" spans="1:14" x14ac:dyDescent="0.25">
      <c r="A373">
        <v>58.415252000000002</v>
      </c>
      <c r="B373" s="1">
        <f>DATE(2010,6,28) + TIME(9,57,57)</f>
        <v>40357.415243055555</v>
      </c>
      <c r="C373">
        <v>80</v>
      </c>
      <c r="D373">
        <v>79.929847717000001</v>
      </c>
      <c r="E373">
        <v>50</v>
      </c>
      <c r="F373">
        <v>14.999604225000001</v>
      </c>
      <c r="G373">
        <v>1345.9094238</v>
      </c>
      <c r="H373">
        <v>1342.2213135</v>
      </c>
      <c r="I373">
        <v>1313.7985839999999</v>
      </c>
      <c r="J373">
        <v>1305.8691406</v>
      </c>
      <c r="K373">
        <v>2400</v>
      </c>
      <c r="L373">
        <v>0</v>
      </c>
      <c r="M373">
        <v>0</v>
      </c>
      <c r="N373">
        <v>2400</v>
      </c>
    </row>
    <row r="374" spans="1:14" x14ac:dyDescent="0.25">
      <c r="A374">
        <v>58.937584999999999</v>
      </c>
      <c r="B374" s="1">
        <f>DATE(2010,6,28) + TIME(22,30,7)</f>
        <v>40357.937581018516</v>
      </c>
      <c r="C374">
        <v>80</v>
      </c>
      <c r="D374">
        <v>79.929862975999995</v>
      </c>
      <c r="E374">
        <v>50</v>
      </c>
      <c r="F374">
        <v>14.999606133</v>
      </c>
      <c r="G374">
        <v>1345.8956298999999</v>
      </c>
      <c r="H374">
        <v>1342.2105713000001</v>
      </c>
      <c r="I374">
        <v>1313.8009033000001</v>
      </c>
      <c r="J374">
        <v>1305.8709716999999</v>
      </c>
      <c r="K374">
        <v>2400</v>
      </c>
      <c r="L374">
        <v>0</v>
      </c>
      <c r="M374">
        <v>0</v>
      </c>
      <c r="N374">
        <v>2400</v>
      </c>
    </row>
    <row r="375" spans="1:14" x14ac:dyDescent="0.25">
      <c r="A375">
        <v>59.466382000000003</v>
      </c>
      <c r="B375" s="1">
        <f>DATE(2010,6,29) + TIME(11,11,35)</f>
        <v>40358.466377314813</v>
      </c>
      <c r="C375">
        <v>80</v>
      </c>
      <c r="D375">
        <v>79.929870605000005</v>
      </c>
      <c r="E375">
        <v>50</v>
      </c>
      <c r="F375">
        <v>14.99960804</v>
      </c>
      <c r="G375">
        <v>1345.8818358999999</v>
      </c>
      <c r="H375">
        <v>1342.1999512</v>
      </c>
      <c r="I375">
        <v>1313.8032227000001</v>
      </c>
      <c r="J375">
        <v>1305.8728027</v>
      </c>
      <c r="K375">
        <v>2400</v>
      </c>
      <c r="L375">
        <v>0</v>
      </c>
      <c r="M375">
        <v>0</v>
      </c>
      <c r="N375">
        <v>2400</v>
      </c>
    </row>
    <row r="376" spans="1:14" x14ac:dyDescent="0.25">
      <c r="A376">
        <v>60.002827000000003</v>
      </c>
      <c r="B376" s="1">
        <f>DATE(2010,6,30) + TIME(0,4,4)</f>
        <v>40359.002824074072</v>
      </c>
      <c r="C376">
        <v>80</v>
      </c>
      <c r="D376">
        <v>79.929878235000004</v>
      </c>
      <c r="E376">
        <v>50</v>
      </c>
      <c r="F376">
        <v>14.999610901</v>
      </c>
      <c r="G376">
        <v>1345.8679199000001</v>
      </c>
      <c r="H376">
        <v>1342.1890868999999</v>
      </c>
      <c r="I376">
        <v>1313.8056641000001</v>
      </c>
      <c r="J376">
        <v>1305.8747559000001</v>
      </c>
      <c r="K376">
        <v>2400</v>
      </c>
      <c r="L376">
        <v>0</v>
      </c>
      <c r="M376">
        <v>0</v>
      </c>
      <c r="N376">
        <v>2400</v>
      </c>
    </row>
    <row r="377" spans="1:14" x14ac:dyDescent="0.25">
      <c r="A377">
        <v>60.548215999999996</v>
      </c>
      <c r="B377" s="1">
        <f>DATE(2010,6,30) + TIME(13,9,25)</f>
        <v>40359.548206018517</v>
      </c>
      <c r="C377">
        <v>80</v>
      </c>
      <c r="D377">
        <v>79.929885863999999</v>
      </c>
      <c r="E377">
        <v>50</v>
      </c>
      <c r="F377">
        <v>14.999613761999999</v>
      </c>
      <c r="G377">
        <v>1345.8540039</v>
      </c>
      <c r="H377">
        <v>1342.1783447</v>
      </c>
      <c r="I377">
        <v>1313.8081055</v>
      </c>
      <c r="J377">
        <v>1305.8767089999999</v>
      </c>
      <c r="K377">
        <v>2400</v>
      </c>
      <c r="L377">
        <v>0</v>
      </c>
      <c r="M377">
        <v>0</v>
      </c>
      <c r="N377">
        <v>2400</v>
      </c>
    </row>
    <row r="378" spans="1:14" x14ac:dyDescent="0.25">
      <c r="A378">
        <v>61</v>
      </c>
      <c r="B378" s="1">
        <f>DATE(2010,7,1) + TIME(0,0,0)</f>
        <v>40360</v>
      </c>
      <c r="C378">
        <v>80</v>
      </c>
      <c r="D378">
        <v>79.929885863999999</v>
      </c>
      <c r="E378">
        <v>50</v>
      </c>
      <c r="F378">
        <v>14.999615669000001</v>
      </c>
      <c r="G378">
        <v>1345.8398437999999</v>
      </c>
      <c r="H378">
        <v>1342.1673584</v>
      </c>
      <c r="I378">
        <v>1313.8106689000001</v>
      </c>
      <c r="J378">
        <v>1305.8786620999999</v>
      </c>
      <c r="K378">
        <v>2400</v>
      </c>
      <c r="L378">
        <v>0</v>
      </c>
      <c r="M378">
        <v>0</v>
      </c>
      <c r="N378">
        <v>2400</v>
      </c>
    </row>
    <row r="379" spans="1:14" x14ac:dyDescent="0.25">
      <c r="A379">
        <v>61.555714999999999</v>
      </c>
      <c r="B379" s="1">
        <f>DATE(2010,7,1) + TIME(13,20,13)</f>
        <v>40360.555706018517</v>
      </c>
      <c r="C379">
        <v>80</v>
      </c>
      <c r="D379">
        <v>79.929893493999998</v>
      </c>
      <c r="E379">
        <v>50</v>
      </c>
      <c r="F379">
        <v>14.999618529999999</v>
      </c>
      <c r="G379">
        <v>1345.8283690999999</v>
      </c>
      <c r="H379">
        <v>1342.1584473</v>
      </c>
      <c r="I379">
        <v>1313.8127440999999</v>
      </c>
      <c r="J379">
        <v>1305.8803711</v>
      </c>
      <c r="K379">
        <v>2400</v>
      </c>
      <c r="L379">
        <v>0</v>
      </c>
      <c r="M379">
        <v>0</v>
      </c>
      <c r="N379">
        <v>2400</v>
      </c>
    </row>
    <row r="380" spans="1:14" x14ac:dyDescent="0.25">
      <c r="A380">
        <v>61.835852000000003</v>
      </c>
      <c r="B380" s="1">
        <f>DATE(2010,7,1) + TIME(20,3,37)</f>
        <v>40360.835844907408</v>
      </c>
      <c r="C380">
        <v>80</v>
      </c>
      <c r="D380">
        <v>79.929893493999998</v>
      </c>
      <c r="E380">
        <v>50</v>
      </c>
      <c r="F380">
        <v>14.999619484</v>
      </c>
      <c r="G380">
        <v>1345.8140868999999</v>
      </c>
      <c r="H380">
        <v>1342.1473389</v>
      </c>
      <c r="I380">
        <v>1313.8153076000001</v>
      </c>
      <c r="J380">
        <v>1305.8823242000001</v>
      </c>
      <c r="K380">
        <v>2400</v>
      </c>
      <c r="L380">
        <v>0</v>
      </c>
      <c r="M380">
        <v>0</v>
      </c>
      <c r="N380">
        <v>2400</v>
      </c>
    </row>
    <row r="381" spans="1:14" x14ac:dyDescent="0.25">
      <c r="A381">
        <v>62.115631999999998</v>
      </c>
      <c r="B381" s="1">
        <f>DATE(2010,7,2) + TIME(2,46,30)</f>
        <v>40361.115624999999</v>
      </c>
      <c r="C381">
        <v>80</v>
      </c>
      <c r="D381">
        <v>79.929885863999999</v>
      </c>
      <c r="E381">
        <v>50</v>
      </c>
      <c r="F381">
        <v>14.999621391</v>
      </c>
      <c r="G381">
        <v>1345.8070068</v>
      </c>
      <c r="H381">
        <v>1342.1417236</v>
      </c>
      <c r="I381">
        <v>1313.8166504000001</v>
      </c>
      <c r="J381">
        <v>1305.8833007999999</v>
      </c>
      <c r="K381">
        <v>2400</v>
      </c>
      <c r="L381">
        <v>0</v>
      </c>
      <c r="M381">
        <v>0</v>
      </c>
      <c r="N381">
        <v>2400</v>
      </c>
    </row>
    <row r="382" spans="1:14" x14ac:dyDescent="0.25">
      <c r="A382">
        <v>62.394969000000003</v>
      </c>
      <c r="B382" s="1">
        <f>DATE(2010,7,2) + TIME(9,28,45)</f>
        <v>40361.394965277781</v>
      </c>
      <c r="C382">
        <v>80</v>
      </c>
      <c r="D382">
        <v>79.929885863999999</v>
      </c>
      <c r="E382">
        <v>50</v>
      </c>
      <c r="F382">
        <v>14.999622345000001</v>
      </c>
      <c r="G382">
        <v>1345.7999268000001</v>
      </c>
      <c r="H382">
        <v>1342.1362305</v>
      </c>
      <c r="I382">
        <v>1313.8179932</v>
      </c>
      <c r="J382">
        <v>1305.8843993999999</v>
      </c>
      <c r="K382">
        <v>2400</v>
      </c>
      <c r="L382">
        <v>0</v>
      </c>
      <c r="M382">
        <v>0</v>
      </c>
      <c r="N382">
        <v>2400</v>
      </c>
    </row>
    <row r="383" spans="1:14" x14ac:dyDescent="0.25">
      <c r="A383">
        <v>62.674041000000003</v>
      </c>
      <c r="B383" s="1">
        <f>DATE(2010,7,2) + TIME(16,10,37)</f>
        <v>40361.674039351848</v>
      </c>
      <c r="C383">
        <v>80</v>
      </c>
      <c r="D383">
        <v>79.929885863999999</v>
      </c>
      <c r="E383">
        <v>50</v>
      </c>
      <c r="F383">
        <v>14.999624252</v>
      </c>
      <c r="G383">
        <v>1345.7928466999999</v>
      </c>
      <c r="H383">
        <v>1342.1308594</v>
      </c>
      <c r="I383">
        <v>1313.8192139</v>
      </c>
      <c r="J383">
        <v>1305.885376</v>
      </c>
      <c r="K383">
        <v>2400</v>
      </c>
      <c r="L383">
        <v>0</v>
      </c>
      <c r="M383">
        <v>0</v>
      </c>
      <c r="N383">
        <v>2400</v>
      </c>
    </row>
    <row r="384" spans="1:14" x14ac:dyDescent="0.25">
      <c r="A384">
        <v>62.953017000000003</v>
      </c>
      <c r="B384" s="1">
        <f>DATE(2010,7,2) + TIME(22,52,20)</f>
        <v>40361.953009259261</v>
      </c>
      <c r="C384">
        <v>80</v>
      </c>
      <c r="D384">
        <v>79.929893493999998</v>
      </c>
      <c r="E384">
        <v>50</v>
      </c>
      <c r="F384">
        <v>14.999625205999999</v>
      </c>
      <c r="G384">
        <v>1345.7858887</v>
      </c>
      <c r="H384">
        <v>1342.1253661999999</v>
      </c>
      <c r="I384">
        <v>1313.8205565999999</v>
      </c>
      <c r="J384">
        <v>1305.8864745999999</v>
      </c>
      <c r="K384">
        <v>2400</v>
      </c>
      <c r="L384">
        <v>0</v>
      </c>
      <c r="M384">
        <v>0</v>
      </c>
      <c r="N384">
        <v>2400</v>
      </c>
    </row>
    <row r="385" spans="1:14" x14ac:dyDescent="0.25">
      <c r="A385">
        <v>63.231993000000003</v>
      </c>
      <c r="B385" s="1">
        <f>DATE(2010,7,3) + TIME(5,34,4)</f>
        <v>40362.231990740744</v>
      </c>
      <c r="C385">
        <v>80</v>
      </c>
      <c r="D385">
        <v>79.929893493999998</v>
      </c>
      <c r="E385">
        <v>50</v>
      </c>
      <c r="F385">
        <v>14.999627113000001</v>
      </c>
      <c r="G385">
        <v>1345.7789307</v>
      </c>
      <c r="H385">
        <v>1342.1199951000001</v>
      </c>
      <c r="I385">
        <v>1313.8218993999999</v>
      </c>
      <c r="J385">
        <v>1305.8874512</v>
      </c>
      <c r="K385">
        <v>2400</v>
      </c>
      <c r="L385">
        <v>0</v>
      </c>
      <c r="M385">
        <v>0</v>
      </c>
      <c r="N385">
        <v>2400</v>
      </c>
    </row>
    <row r="386" spans="1:14" x14ac:dyDescent="0.25">
      <c r="A386">
        <v>63.510969000000003</v>
      </c>
      <c r="B386" s="1">
        <f>DATE(2010,7,3) + TIME(12,15,47)</f>
        <v>40362.510960648149</v>
      </c>
      <c r="C386">
        <v>80</v>
      </c>
      <c r="D386">
        <v>79.929901122999993</v>
      </c>
      <c r="E386">
        <v>50</v>
      </c>
      <c r="F386">
        <v>14.999628067</v>
      </c>
      <c r="G386">
        <v>1345.7719727000001</v>
      </c>
      <c r="H386">
        <v>1342.114624</v>
      </c>
      <c r="I386">
        <v>1313.8232422000001</v>
      </c>
      <c r="J386">
        <v>1305.8885498</v>
      </c>
      <c r="K386">
        <v>2400</v>
      </c>
      <c r="L386">
        <v>0</v>
      </c>
      <c r="M386">
        <v>0</v>
      </c>
      <c r="N386">
        <v>2400</v>
      </c>
    </row>
    <row r="387" spans="1:14" x14ac:dyDescent="0.25">
      <c r="A387">
        <v>63.789943999999998</v>
      </c>
      <c r="B387" s="1">
        <f>DATE(2010,7,3) + TIME(18,57,31)</f>
        <v>40362.789942129632</v>
      </c>
      <c r="C387">
        <v>80</v>
      </c>
      <c r="D387">
        <v>79.929901122999993</v>
      </c>
      <c r="E387">
        <v>50</v>
      </c>
      <c r="F387">
        <v>14.999629973999999</v>
      </c>
      <c r="G387">
        <v>1345.7651367000001</v>
      </c>
      <c r="H387">
        <v>1342.1092529</v>
      </c>
      <c r="I387">
        <v>1313.8245850000001</v>
      </c>
      <c r="J387">
        <v>1305.8895264</v>
      </c>
      <c r="K387">
        <v>2400</v>
      </c>
      <c r="L387">
        <v>0</v>
      </c>
      <c r="M387">
        <v>0</v>
      </c>
      <c r="N387">
        <v>2400</v>
      </c>
    </row>
    <row r="388" spans="1:14" x14ac:dyDescent="0.25">
      <c r="A388">
        <v>64.068920000000006</v>
      </c>
      <c r="B388" s="1">
        <f>DATE(2010,7,4) + TIME(1,39,14)</f>
        <v>40363.068912037037</v>
      </c>
      <c r="C388">
        <v>80</v>
      </c>
      <c r="D388">
        <v>79.929908752000003</v>
      </c>
      <c r="E388">
        <v>50</v>
      </c>
      <c r="F388">
        <v>14.999630928</v>
      </c>
      <c r="G388">
        <v>1345.7583007999999</v>
      </c>
      <c r="H388">
        <v>1342.1038818</v>
      </c>
      <c r="I388">
        <v>1313.8259277</v>
      </c>
      <c r="J388">
        <v>1305.890625</v>
      </c>
      <c r="K388">
        <v>2400</v>
      </c>
      <c r="L388">
        <v>0</v>
      </c>
      <c r="M388">
        <v>0</v>
      </c>
      <c r="N388">
        <v>2400</v>
      </c>
    </row>
    <row r="389" spans="1:14" x14ac:dyDescent="0.25">
      <c r="A389">
        <v>64.347896000000006</v>
      </c>
      <c r="B389" s="1">
        <f>DATE(2010,7,4) + TIME(8,20,58)</f>
        <v>40363.347893518519</v>
      </c>
      <c r="C389">
        <v>80</v>
      </c>
      <c r="D389">
        <v>79.929908752000003</v>
      </c>
      <c r="E389">
        <v>50</v>
      </c>
      <c r="F389">
        <v>14.999632835</v>
      </c>
      <c r="G389">
        <v>1345.7514647999999</v>
      </c>
      <c r="H389">
        <v>1342.0985106999999</v>
      </c>
      <c r="I389">
        <v>1313.8273925999999</v>
      </c>
      <c r="J389">
        <v>1305.8917236</v>
      </c>
      <c r="K389">
        <v>2400</v>
      </c>
      <c r="L389">
        <v>0</v>
      </c>
      <c r="M389">
        <v>0</v>
      </c>
      <c r="N389">
        <v>2400</v>
      </c>
    </row>
    <row r="390" spans="1:14" x14ac:dyDescent="0.25">
      <c r="A390">
        <v>64.905848000000006</v>
      </c>
      <c r="B390" s="1">
        <f>DATE(2010,7,4) + TIME(21,44,25)</f>
        <v>40363.905844907407</v>
      </c>
      <c r="C390">
        <v>80</v>
      </c>
      <c r="D390">
        <v>79.929939270000006</v>
      </c>
      <c r="E390">
        <v>50</v>
      </c>
      <c r="F390">
        <v>14.999634743</v>
      </c>
      <c r="G390">
        <v>1345.744751</v>
      </c>
      <c r="H390">
        <v>1342.0933838000001</v>
      </c>
      <c r="I390">
        <v>1313.8287353999999</v>
      </c>
      <c r="J390">
        <v>1305.8928223</v>
      </c>
      <c r="K390">
        <v>2400</v>
      </c>
      <c r="L390">
        <v>0</v>
      </c>
      <c r="M390">
        <v>0</v>
      </c>
      <c r="N390">
        <v>2400</v>
      </c>
    </row>
    <row r="391" spans="1:14" x14ac:dyDescent="0.25">
      <c r="A391">
        <v>65.463925000000003</v>
      </c>
      <c r="B391" s="1">
        <f>DATE(2010,7,5) + TIME(11,8,3)</f>
        <v>40364.463923611111</v>
      </c>
      <c r="C391">
        <v>80</v>
      </c>
      <c r="D391">
        <v>79.929954529</v>
      </c>
      <c r="E391">
        <v>50</v>
      </c>
      <c r="F391">
        <v>14.999636649999999</v>
      </c>
      <c r="G391">
        <v>1345.7312012</v>
      </c>
      <c r="H391">
        <v>1342.0828856999999</v>
      </c>
      <c r="I391">
        <v>1313.831543</v>
      </c>
      <c r="J391">
        <v>1305.8948975000001</v>
      </c>
      <c r="K391">
        <v>2400</v>
      </c>
      <c r="L391">
        <v>0</v>
      </c>
      <c r="M391">
        <v>0</v>
      </c>
      <c r="N391">
        <v>2400</v>
      </c>
    </row>
    <row r="392" spans="1:14" x14ac:dyDescent="0.25">
      <c r="A392">
        <v>66.027862999999996</v>
      </c>
      <c r="B392" s="1">
        <f>DATE(2010,7,6) + TIME(0,40,7)</f>
        <v>40365.027858796297</v>
      </c>
      <c r="C392">
        <v>80</v>
      </c>
      <c r="D392">
        <v>79.929969787999994</v>
      </c>
      <c r="E392">
        <v>50</v>
      </c>
      <c r="F392">
        <v>14.999639511</v>
      </c>
      <c r="G392">
        <v>1345.7177733999999</v>
      </c>
      <c r="H392">
        <v>1342.0723877</v>
      </c>
      <c r="I392">
        <v>1313.8342285000001</v>
      </c>
      <c r="J392">
        <v>1305.8970947</v>
      </c>
      <c r="K392">
        <v>2400</v>
      </c>
      <c r="L392">
        <v>0</v>
      </c>
      <c r="M392">
        <v>0</v>
      </c>
      <c r="N392">
        <v>2400</v>
      </c>
    </row>
    <row r="393" spans="1:14" x14ac:dyDescent="0.25">
      <c r="A393">
        <v>66.598946999999995</v>
      </c>
      <c r="B393" s="1">
        <f>DATE(2010,7,6) + TIME(14,22,29)</f>
        <v>40365.598946759259</v>
      </c>
      <c r="C393">
        <v>80</v>
      </c>
      <c r="D393">
        <v>79.929977417000003</v>
      </c>
      <c r="E393">
        <v>50</v>
      </c>
      <c r="F393">
        <v>14.999641418</v>
      </c>
      <c r="G393">
        <v>1345.7042236</v>
      </c>
      <c r="H393">
        <v>1342.0618896000001</v>
      </c>
      <c r="I393">
        <v>1313.8370361</v>
      </c>
      <c r="J393">
        <v>1305.8992920000001</v>
      </c>
      <c r="K393">
        <v>2400</v>
      </c>
      <c r="L393">
        <v>0</v>
      </c>
      <c r="M393">
        <v>0</v>
      </c>
      <c r="N393">
        <v>2400</v>
      </c>
    </row>
    <row r="394" spans="1:14" x14ac:dyDescent="0.25">
      <c r="A394">
        <v>67.178540999999996</v>
      </c>
      <c r="B394" s="1">
        <f>DATE(2010,7,7) + TIME(4,17,5)</f>
        <v>40366.178530092591</v>
      </c>
      <c r="C394">
        <v>80</v>
      </c>
      <c r="D394">
        <v>79.929992675999998</v>
      </c>
      <c r="E394">
        <v>50</v>
      </c>
      <c r="F394">
        <v>14.999644279</v>
      </c>
      <c r="G394">
        <v>1345.6905518000001</v>
      </c>
      <c r="H394">
        <v>1342.0512695</v>
      </c>
      <c r="I394">
        <v>1313.8398437999999</v>
      </c>
      <c r="J394">
        <v>1305.9014893000001</v>
      </c>
      <c r="K394">
        <v>2400</v>
      </c>
      <c r="L394">
        <v>0</v>
      </c>
      <c r="M394">
        <v>0</v>
      </c>
      <c r="N394">
        <v>2400</v>
      </c>
    </row>
    <row r="395" spans="1:14" x14ac:dyDescent="0.25">
      <c r="A395">
        <v>67.768101999999999</v>
      </c>
      <c r="B395" s="1">
        <f>DATE(2010,7,7) + TIME(18,26,4)</f>
        <v>40366.768101851849</v>
      </c>
      <c r="C395">
        <v>80</v>
      </c>
      <c r="D395">
        <v>79.930007935000006</v>
      </c>
      <c r="E395">
        <v>50</v>
      </c>
      <c r="F395">
        <v>14.999647141000001</v>
      </c>
      <c r="G395">
        <v>1345.6768798999999</v>
      </c>
      <c r="H395">
        <v>1342.0406493999999</v>
      </c>
      <c r="I395">
        <v>1313.8427733999999</v>
      </c>
      <c r="J395">
        <v>1305.9036865</v>
      </c>
      <c r="K395">
        <v>2400</v>
      </c>
      <c r="L395">
        <v>0</v>
      </c>
      <c r="M395">
        <v>0</v>
      </c>
      <c r="N395">
        <v>2400</v>
      </c>
    </row>
    <row r="396" spans="1:14" x14ac:dyDescent="0.25">
      <c r="A396">
        <v>68.363224000000002</v>
      </c>
      <c r="B396" s="1">
        <f>DATE(2010,7,8) + TIME(8,43,2)</f>
        <v>40367.363217592596</v>
      </c>
      <c r="C396">
        <v>80</v>
      </c>
      <c r="D396">
        <v>79.930015564000001</v>
      </c>
      <c r="E396">
        <v>50</v>
      </c>
      <c r="F396">
        <v>14.999650001999999</v>
      </c>
      <c r="G396">
        <v>1345.6630858999999</v>
      </c>
      <c r="H396">
        <v>1342.0297852000001</v>
      </c>
      <c r="I396">
        <v>1313.8458252</v>
      </c>
      <c r="J396">
        <v>1305.9060059000001</v>
      </c>
      <c r="K396">
        <v>2400</v>
      </c>
      <c r="L396">
        <v>0</v>
      </c>
      <c r="M396">
        <v>0</v>
      </c>
      <c r="N396">
        <v>2400</v>
      </c>
    </row>
    <row r="397" spans="1:14" x14ac:dyDescent="0.25">
      <c r="A397">
        <v>68.662306999999998</v>
      </c>
      <c r="B397" s="1">
        <f>DATE(2010,7,8) + TIME(15,53,43)</f>
        <v>40367.662303240744</v>
      </c>
      <c r="C397">
        <v>80</v>
      </c>
      <c r="D397">
        <v>79.930015564000001</v>
      </c>
      <c r="E397">
        <v>50</v>
      </c>
      <c r="F397">
        <v>14.999651909000001</v>
      </c>
      <c r="G397">
        <v>1345.6491699000001</v>
      </c>
      <c r="H397">
        <v>1342.0189209</v>
      </c>
      <c r="I397">
        <v>1313.8487548999999</v>
      </c>
      <c r="J397">
        <v>1305.9083252</v>
      </c>
      <c r="K397">
        <v>2400</v>
      </c>
      <c r="L397">
        <v>0</v>
      </c>
      <c r="M397">
        <v>0</v>
      </c>
      <c r="N397">
        <v>2400</v>
      </c>
    </row>
    <row r="398" spans="1:14" x14ac:dyDescent="0.25">
      <c r="A398">
        <v>68.959909999999994</v>
      </c>
      <c r="B398" s="1">
        <f>DATE(2010,7,8) + TIME(23,2,16)</f>
        <v>40367.959907407407</v>
      </c>
      <c r="C398">
        <v>80</v>
      </c>
      <c r="D398">
        <v>79.930015564000001</v>
      </c>
      <c r="E398">
        <v>50</v>
      </c>
      <c r="F398">
        <v>14.999653816</v>
      </c>
      <c r="G398">
        <v>1345.6420897999999</v>
      </c>
      <c r="H398">
        <v>1342.0134277</v>
      </c>
      <c r="I398">
        <v>1313.8503418</v>
      </c>
      <c r="J398">
        <v>1305.9095459</v>
      </c>
      <c r="K398">
        <v>2400</v>
      </c>
      <c r="L398">
        <v>0</v>
      </c>
      <c r="M398">
        <v>0</v>
      </c>
      <c r="N398">
        <v>2400</v>
      </c>
    </row>
    <row r="399" spans="1:14" x14ac:dyDescent="0.25">
      <c r="A399">
        <v>69.257062000000005</v>
      </c>
      <c r="B399" s="1">
        <f>DATE(2010,7,9) + TIME(6,10,10)</f>
        <v>40368.257060185184</v>
      </c>
      <c r="C399">
        <v>80</v>
      </c>
      <c r="D399">
        <v>79.930015564000001</v>
      </c>
      <c r="E399">
        <v>50</v>
      </c>
      <c r="F399">
        <v>14.999655724</v>
      </c>
      <c r="G399">
        <v>1345.6352539</v>
      </c>
      <c r="H399">
        <v>1342.0080565999999</v>
      </c>
      <c r="I399">
        <v>1313.8519286999999</v>
      </c>
      <c r="J399">
        <v>1305.9107666</v>
      </c>
      <c r="K399">
        <v>2400</v>
      </c>
      <c r="L399">
        <v>0</v>
      </c>
      <c r="M399">
        <v>0</v>
      </c>
      <c r="N399">
        <v>2400</v>
      </c>
    </row>
    <row r="400" spans="1:14" x14ac:dyDescent="0.25">
      <c r="A400">
        <v>69.553956999999997</v>
      </c>
      <c r="B400" s="1">
        <f>DATE(2010,7,9) + TIME(13,17,41)</f>
        <v>40368.553946759261</v>
      </c>
      <c r="C400">
        <v>80</v>
      </c>
      <c r="D400">
        <v>79.930023192999997</v>
      </c>
      <c r="E400">
        <v>50</v>
      </c>
      <c r="F400">
        <v>14.999657631</v>
      </c>
      <c r="G400">
        <v>1345.628418</v>
      </c>
      <c r="H400">
        <v>1342.0026855000001</v>
      </c>
      <c r="I400">
        <v>1313.8535156</v>
      </c>
      <c r="J400">
        <v>1305.9118652</v>
      </c>
      <c r="K400">
        <v>2400</v>
      </c>
      <c r="L400">
        <v>0</v>
      </c>
      <c r="M400">
        <v>0</v>
      </c>
      <c r="N400">
        <v>2400</v>
      </c>
    </row>
    <row r="401" spans="1:14" x14ac:dyDescent="0.25">
      <c r="A401">
        <v>69.850784000000004</v>
      </c>
      <c r="B401" s="1">
        <f>DATE(2010,7,9) + TIME(20,25,7)</f>
        <v>40368.850775462961</v>
      </c>
      <c r="C401">
        <v>80</v>
      </c>
      <c r="D401">
        <v>79.930023192999997</v>
      </c>
      <c r="E401">
        <v>50</v>
      </c>
      <c r="F401">
        <v>14.999659538</v>
      </c>
      <c r="G401">
        <v>1345.6217041</v>
      </c>
      <c r="H401">
        <v>1341.9974365</v>
      </c>
      <c r="I401">
        <v>1313.8549805</v>
      </c>
      <c r="J401">
        <v>1305.9130858999999</v>
      </c>
      <c r="K401">
        <v>2400</v>
      </c>
      <c r="L401">
        <v>0</v>
      </c>
      <c r="M401">
        <v>0</v>
      </c>
      <c r="N401">
        <v>2400</v>
      </c>
    </row>
    <row r="402" spans="1:14" x14ac:dyDescent="0.25">
      <c r="A402">
        <v>70.14761</v>
      </c>
      <c r="B402" s="1">
        <f>DATE(2010,7,10) + TIME(3,32,33)</f>
        <v>40369.147604166668</v>
      </c>
      <c r="C402">
        <v>80</v>
      </c>
      <c r="D402">
        <v>79.930030822999996</v>
      </c>
      <c r="E402">
        <v>50</v>
      </c>
      <c r="F402">
        <v>14.999661445999999</v>
      </c>
      <c r="G402">
        <v>1345.6148682</v>
      </c>
      <c r="H402">
        <v>1341.9920654</v>
      </c>
      <c r="I402">
        <v>1313.8565673999999</v>
      </c>
      <c r="J402">
        <v>1305.9143065999999</v>
      </c>
      <c r="K402">
        <v>2400</v>
      </c>
      <c r="L402">
        <v>0</v>
      </c>
      <c r="M402">
        <v>0</v>
      </c>
      <c r="N402">
        <v>2400</v>
      </c>
    </row>
    <row r="403" spans="1:14" x14ac:dyDescent="0.25">
      <c r="A403">
        <v>70.444436999999994</v>
      </c>
      <c r="B403" s="1">
        <f>DATE(2010,7,10) + TIME(10,39,59)</f>
        <v>40369.444432870368</v>
      </c>
      <c r="C403">
        <v>80</v>
      </c>
      <c r="D403">
        <v>79.930038452000005</v>
      </c>
      <c r="E403">
        <v>50</v>
      </c>
      <c r="F403">
        <v>14.999662399</v>
      </c>
      <c r="G403">
        <v>1345.6081543</v>
      </c>
      <c r="H403">
        <v>1341.9868164</v>
      </c>
      <c r="I403">
        <v>1313.8581543</v>
      </c>
      <c r="J403">
        <v>1305.9155272999999</v>
      </c>
      <c r="K403">
        <v>2400</v>
      </c>
      <c r="L403">
        <v>0</v>
      </c>
      <c r="M403">
        <v>0</v>
      </c>
      <c r="N403">
        <v>2400</v>
      </c>
    </row>
    <row r="404" spans="1:14" x14ac:dyDescent="0.25">
      <c r="A404">
        <v>70.741263000000004</v>
      </c>
      <c r="B404" s="1">
        <f>DATE(2010,7,10) + TIME(17,47,25)</f>
        <v>40369.741261574076</v>
      </c>
      <c r="C404">
        <v>80</v>
      </c>
      <c r="D404">
        <v>79.930046082000004</v>
      </c>
      <c r="E404">
        <v>50</v>
      </c>
      <c r="F404">
        <v>14.999664307</v>
      </c>
      <c r="G404">
        <v>1345.6014404</v>
      </c>
      <c r="H404">
        <v>1341.9815673999999</v>
      </c>
      <c r="I404">
        <v>1313.8597411999999</v>
      </c>
      <c r="J404">
        <v>1305.9167480000001</v>
      </c>
      <c r="K404">
        <v>2400</v>
      </c>
      <c r="L404">
        <v>0</v>
      </c>
      <c r="M404">
        <v>0</v>
      </c>
      <c r="N404">
        <v>2400</v>
      </c>
    </row>
    <row r="405" spans="1:14" x14ac:dyDescent="0.25">
      <c r="A405">
        <v>71.038089999999997</v>
      </c>
      <c r="B405" s="1">
        <f>DATE(2010,7,11) + TIME(0,54,50)</f>
        <v>40370.038078703707</v>
      </c>
      <c r="C405">
        <v>80</v>
      </c>
      <c r="D405">
        <v>79.930053710999999</v>
      </c>
      <c r="E405">
        <v>50</v>
      </c>
      <c r="F405">
        <v>14.999666213999999</v>
      </c>
      <c r="G405">
        <v>1345.5947266000001</v>
      </c>
      <c r="H405">
        <v>1341.9763184000001</v>
      </c>
      <c r="I405">
        <v>1313.8613281</v>
      </c>
      <c r="J405">
        <v>1305.9179687999999</v>
      </c>
      <c r="K405">
        <v>2400</v>
      </c>
      <c r="L405">
        <v>0</v>
      </c>
      <c r="M405">
        <v>0</v>
      </c>
      <c r="N405">
        <v>2400</v>
      </c>
    </row>
    <row r="406" spans="1:14" x14ac:dyDescent="0.25">
      <c r="A406">
        <v>71.334916000000007</v>
      </c>
      <c r="B406" s="1">
        <f>DATE(2010,7,11) + TIME(8,2,16)</f>
        <v>40370.334907407407</v>
      </c>
      <c r="C406">
        <v>80</v>
      </c>
      <c r="D406">
        <v>79.930061339999995</v>
      </c>
      <c r="E406">
        <v>50</v>
      </c>
      <c r="F406">
        <v>14.999668120999999</v>
      </c>
      <c r="G406">
        <v>1345.5880127</v>
      </c>
      <c r="H406">
        <v>1341.9710693</v>
      </c>
      <c r="I406">
        <v>1313.8629149999999</v>
      </c>
      <c r="J406">
        <v>1305.9191894999999</v>
      </c>
      <c r="K406">
        <v>2400</v>
      </c>
      <c r="L406">
        <v>0</v>
      </c>
      <c r="M406">
        <v>0</v>
      </c>
      <c r="N406">
        <v>2400</v>
      </c>
    </row>
    <row r="407" spans="1:14" x14ac:dyDescent="0.25">
      <c r="A407">
        <v>71.631743</v>
      </c>
      <c r="B407" s="1">
        <f>DATE(2010,7,11) + TIME(15,9,42)</f>
        <v>40370.631736111114</v>
      </c>
      <c r="C407">
        <v>80</v>
      </c>
      <c r="D407">
        <v>79.930068969999994</v>
      </c>
      <c r="E407">
        <v>50</v>
      </c>
      <c r="F407">
        <v>14.999670029000001</v>
      </c>
      <c r="G407">
        <v>1345.5814209</v>
      </c>
      <c r="H407">
        <v>1341.9658202999999</v>
      </c>
      <c r="I407">
        <v>1313.8645019999999</v>
      </c>
      <c r="J407">
        <v>1305.9204102000001</v>
      </c>
      <c r="K407">
        <v>2400</v>
      </c>
      <c r="L407">
        <v>0</v>
      </c>
      <c r="M407">
        <v>0</v>
      </c>
      <c r="N407">
        <v>2400</v>
      </c>
    </row>
    <row r="408" spans="1:14" x14ac:dyDescent="0.25">
      <c r="A408">
        <v>72.225396000000003</v>
      </c>
      <c r="B408" s="1">
        <f>DATE(2010,7,12) + TIME(5,24,34)</f>
        <v>40371.225393518522</v>
      </c>
      <c r="C408">
        <v>80</v>
      </c>
      <c r="D408">
        <v>79.930099487000007</v>
      </c>
      <c r="E408">
        <v>50</v>
      </c>
      <c r="F408">
        <v>14.999672889999999</v>
      </c>
      <c r="G408">
        <v>1345.5749512</v>
      </c>
      <c r="H408">
        <v>1341.9608154</v>
      </c>
      <c r="I408">
        <v>1313.8660889</v>
      </c>
      <c r="J408">
        <v>1305.9216309000001</v>
      </c>
      <c r="K408">
        <v>2400</v>
      </c>
      <c r="L408">
        <v>0</v>
      </c>
      <c r="M408">
        <v>0</v>
      </c>
      <c r="N408">
        <v>2400</v>
      </c>
    </row>
    <row r="409" spans="1:14" x14ac:dyDescent="0.25">
      <c r="A409">
        <v>72.819828999999999</v>
      </c>
      <c r="B409" s="1">
        <f>DATE(2010,7,12) + TIME(19,40,33)</f>
        <v>40371.819826388892</v>
      </c>
      <c r="C409">
        <v>80</v>
      </c>
      <c r="D409">
        <v>79.930122374999996</v>
      </c>
      <c r="E409">
        <v>50</v>
      </c>
      <c r="F409">
        <v>14.999676704000001</v>
      </c>
      <c r="G409">
        <v>1345.5617675999999</v>
      </c>
      <c r="H409">
        <v>1341.9505615</v>
      </c>
      <c r="I409">
        <v>1313.8693848</v>
      </c>
      <c r="J409">
        <v>1305.9240723</v>
      </c>
      <c r="K409">
        <v>2400</v>
      </c>
      <c r="L409">
        <v>0</v>
      </c>
      <c r="M409">
        <v>0</v>
      </c>
      <c r="N409">
        <v>2400</v>
      </c>
    </row>
    <row r="410" spans="1:14" x14ac:dyDescent="0.25">
      <c r="A410">
        <v>73.420738</v>
      </c>
      <c r="B410" s="1">
        <f>DATE(2010,7,13) + TIME(10,5,51)</f>
        <v>40372.420729166668</v>
      </c>
      <c r="C410">
        <v>80</v>
      </c>
      <c r="D410">
        <v>79.930137634000005</v>
      </c>
      <c r="E410">
        <v>50</v>
      </c>
      <c r="F410">
        <v>14.999680519</v>
      </c>
      <c r="G410">
        <v>1345.5487060999999</v>
      </c>
      <c r="H410">
        <v>1341.9403076000001</v>
      </c>
      <c r="I410">
        <v>1313.8725586</v>
      </c>
      <c r="J410">
        <v>1305.9266356999999</v>
      </c>
      <c r="K410">
        <v>2400</v>
      </c>
      <c r="L410">
        <v>0</v>
      </c>
      <c r="M410">
        <v>0</v>
      </c>
      <c r="N410">
        <v>2400</v>
      </c>
    </row>
    <row r="411" spans="1:14" x14ac:dyDescent="0.25">
      <c r="A411">
        <v>74.029494</v>
      </c>
      <c r="B411" s="1">
        <f>DATE(2010,7,14) + TIME(0,42,28)</f>
        <v>40373.029490740744</v>
      </c>
      <c r="C411">
        <v>80</v>
      </c>
      <c r="D411">
        <v>79.930160521999994</v>
      </c>
      <c r="E411">
        <v>50</v>
      </c>
      <c r="F411">
        <v>14.999684333999999</v>
      </c>
      <c r="G411">
        <v>1345.5355225000001</v>
      </c>
      <c r="H411">
        <v>1341.9299315999999</v>
      </c>
      <c r="I411">
        <v>1313.8759766000001</v>
      </c>
      <c r="J411">
        <v>1305.9290771000001</v>
      </c>
      <c r="K411">
        <v>2400</v>
      </c>
      <c r="L411">
        <v>0</v>
      </c>
      <c r="M411">
        <v>0</v>
      </c>
      <c r="N411">
        <v>2400</v>
      </c>
    </row>
    <row r="412" spans="1:14" x14ac:dyDescent="0.25">
      <c r="A412">
        <v>74.647552000000005</v>
      </c>
      <c r="B412" s="1">
        <f>DATE(2010,7,14) + TIME(15,32,28)</f>
        <v>40373.647546296299</v>
      </c>
      <c r="C412">
        <v>80</v>
      </c>
      <c r="D412">
        <v>79.930175781000003</v>
      </c>
      <c r="E412">
        <v>50</v>
      </c>
      <c r="F412">
        <v>14.999689102</v>
      </c>
      <c r="G412">
        <v>1345.5222168</v>
      </c>
      <c r="H412">
        <v>1341.9195557</v>
      </c>
      <c r="I412">
        <v>1313.8792725000001</v>
      </c>
      <c r="J412">
        <v>1305.9316406</v>
      </c>
      <c r="K412">
        <v>2400</v>
      </c>
      <c r="L412">
        <v>0</v>
      </c>
      <c r="M412">
        <v>0</v>
      </c>
      <c r="N412">
        <v>2400</v>
      </c>
    </row>
    <row r="413" spans="1:14" x14ac:dyDescent="0.25">
      <c r="A413">
        <v>75.276467999999994</v>
      </c>
      <c r="B413" s="1">
        <f>DATE(2010,7,15) + TIME(6,38,6)</f>
        <v>40374.276458333334</v>
      </c>
      <c r="C413">
        <v>80</v>
      </c>
      <c r="D413">
        <v>79.930198669000006</v>
      </c>
      <c r="E413">
        <v>50</v>
      </c>
      <c r="F413">
        <v>14.999694824000001</v>
      </c>
      <c r="G413">
        <v>1345.5089111</v>
      </c>
      <c r="H413">
        <v>1341.9091797000001</v>
      </c>
      <c r="I413">
        <v>1313.8828125</v>
      </c>
      <c r="J413">
        <v>1305.9343262</v>
      </c>
      <c r="K413">
        <v>2400</v>
      </c>
      <c r="L413">
        <v>0</v>
      </c>
      <c r="M413">
        <v>0</v>
      </c>
      <c r="N413">
        <v>2400</v>
      </c>
    </row>
    <row r="414" spans="1:14" x14ac:dyDescent="0.25">
      <c r="A414">
        <v>75.593473000000003</v>
      </c>
      <c r="B414" s="1">
        <f>DATE(2010,7,15) + TIME(14,14,36)</f>
        <v>40374.593472222223</v>
      </c>
      <c r="C414">
        <v>80</v>
      </c>
      <c r="D414">
        <v>79.930198669000006</v>
      </c>
      <c r="E414">
        <v>50</v>
      </c>
      <c r="F414">
        <v>14.999698639</v>
      </c>
      <c r="G414">
        <v>1345.4953613</v>
      </c>
      <c r="H414">
        <v>1341.8984375</v>
      </c>
      <c r="I414">
        <v>1313.8863524999999</v>
      </c>
      <c r="J414">
        <v>1305.9370117000001</v>
      </c>
      <c r="K414">
        <v>2400</v>
      </c>
      <c r="L414">
        <v>0</v>
      </c>
      <c r="M414">
        <v>0</v>
      </c>
      <c r="N414">
        <v>2400</v>
      </c>
    </row>
    <row r="415" spans="1:14" x14ac:dyDescent="0.25">
      <c r="A415">
        <v>75.910477999999998</v>
      </c>
      <c r="B415" s="1">
        <f>DATE(2010,7,15) + TIME(21,51,5)</f>
        <v>40374.910474537035</v>
      </c>
      <c r="C415">
        <v>80</v>
      </c>
      <c r="D415">
        <v>79.930198669000006</v>
      </c>
      <c r="E415">
        <v>50</v>
      </c>
      <c r="F415">
        <v>14.999702453999999</v>
      </c>
      <c r="G415">
        <v>1345.4885254000001</v>
      </c>
      <c r="H415">
        <v>1341.8930664</v>
      </c>
      <c r="I415">
        <v>1313.8880615</v>
      </c>
      <c r="J415">
        <v>1305.9383545000001</v>
      </c>
      <c r="K415">
        <v>2400</v>
      </c>
      <c r="L415">
        <v>0</v>
      </c>
      <c r="M415">
        <v>0</v>
      </c>
      <c r="N415">
        <v>2400</v>
      </c>
    </row>
    <row r="416" spans="1:14" x14ac:dyDescent="0.25">
      <c r="A416">
        <v>76.227483000000007</v>
      </c>
      <c r="B416" s="1">
        <f>DATE(2010,7,16) + TIME(5,27,34)</f>
        <v>40375.227476851855</v>
      </c>
      <c r="C416">
        <v>80</v>
      </c>
      <c r="D416">
        <v>79.930206299000005</v>
      </c>
      <c r="E416">
        <v>50</v>
      </c>
      <c r="F416">
        <v>14.999706268000001</v>
      </c>
      <c r="G416">
        <v>1345.4818115</v>
      </c>
      <c r="H416">
        <v>1341.8878173999999</v>
      </c>
      <c r="I416">
        <v>1313.8898925999999</v>
      </c>
      <c r="J416">
        <v>1305.9396973</v>
      </c>
      <c r="K416">
        <v>2400</v>
      </c>
      <c r="L416">
        <v>0</v>
      </c>
      <c r="M416">
        <v>0</v>
      </c>
      <c r="N416">
        <v>2400</v>
      </c>
    </row>
    <row r="417" spans="1:14" x14ac:dyDescent="0.25">
      <c r="A417">
        <v>76.544488999999999</v>
      </c>
      <c r="B417" s="1">
        <f>DATE(2010,7,16) + TIME(13,4,3)</f>
        <v>40375.544479166667</v>
      </c>
      <c r="C417">
        <v>80</v>
      </c>
      <c r="D417">
        <v>79.930213928000001</v>
      </c>
      <c r="E417">
        <v>50</v>
      </c>
      <c r="F417">
        <v>14.999711037000001</v>
      </c>
      <c r="G417">
        <v>1345.4750977000001</v>
      </c>
      <c r="H417">
        <v>1341.8824463000001</v>
      </c>
      <c r="I417">
        <v>1313.8917236</v>
      </c>
      <c r="J417">
        <v>1305.9411620999999</v>
      </c>
      <c r="K417">
        <v>2400</v>
      </c>
      <c r="L417">
        <v>0</v>
      </c>
      <c r="M417">
        <v>0</v>
      </c>
      <c r="N417">
        <v>2400</v>
      </c>
    </row>
    <row r="418" spans="1:14" x14ac:dyDescent="0.25">
      <c r="A418">
        <v>76.861493999999993</v>
      </c>
      <c r="B418" s="1">
        <f>DATE(2010,7,16) + TIME(20,40,33)</f>
        <v>40375.861493055556</v>
      </c>
      <c r="C418">
        <v>80</v>
      </c>
      <c r="D418">
        <v>79.930221558</v>
      </c>
      <c r="E418">
        <v>50</v>
      </c>
      <c r="F418">
        <v>14.999714851</v>
      </c>
      <c r="G418">
        <v>1345.4683838000001</v>
      </c>
      <c r="H418">
        <v>1341.8771973</v>
      </c>
      <c r="I418">
        <v>1313.8936768000001</v>
      </c>
      <c r="J418">
        <v>1305.9425048999999</v>
      </c>
      <c r="K418">
        <v>2400</v>
      </c>
      <c r="L418">
        <v>0</v>
      </c>
      <c r="M418">
        <v>0</v>
      </c>
      <c r="N418">
        <v>2400</v>
      </c>
    </row>
    <row r="419" spans="1:14" x14ac:dyDescent="0.25">
      <c r="A419">
        <v>77.178499000000002</v>
      </c>
      <c r="B419" s="1">
        <f>DATE(2010,7,17) + TIME(4,17,2)</f>
        <v>40376.178495370368</v>
      </c>
      <c r="C419">
        <v>80</v>
      </c>
      <c r="D419">
        <v>79.930229186999995</v>
      </c>
      <c r="E419">
        <v>50</v>
      </c>
      <c r="F419">
        <v>14.999718666</v>
      </c>
      <c r="G419">
        <v>1345.4616699000001</v>
      </c>
      <c r="H419">
        <v>1341.8719481999999</v>
      </c>
      <c r="I419">
        <v>1313.8955077999999</v>
      </c>
      <c r="J419">
        <v>1305.9438477000001</v>
      </c>
      <c r="K419">
        <v>2400</v>
      </c>
      <c r="L419">
        <v>0</v>
      </c>
      <c r="M419">
        <v>0</v>
      </c>
      <c r="N419">
        <v>2400</v>
      </c>
    </row>
    <row r="420" spans="1:14" x14ac:dyDescent="0.25">
      <c r="A420">
        <v>77.495504999999994</v>
      </c>
      <c r="B420" s="1">
        <f>DATE(2010,7,17) + TIME(11,53,31)</f>
        <v>40376.495497685188</v>
      </c>
      <c r="C420">
        <v>80</v>
      </c>
      <c r="D420">
        <v>79.930236816000004</v>
      </c>
      <c r="E420">
        <v>50</v>
      </c>
      <c r="F420">
        <v>14.999723434</v>
      </c>
      <c r="G420">
        <v>1345.4550781</v>
      </c>
      <c r="H420">
        <v>1341.8666992000001</v>
      </c>
      <c r="I420">
        <v>1313.8973389</v>
      </c>
      <c r="J420">
        <v>1305.9453125</v>
      </c>
      <c r="K420">
        <v>2400</v>
      </c>
      <c r="L420">
        <v>0</v>
      </c>
      <c r="M420">
        <v>0</v>
      </c>
      <c r="N420">
        <v>2400</v>
      </c>
    </row>
    <row r="421" spans="1:14" x14ac:dyDescent="0.25">
      <c r="A421">
        <v>77.812510000000003</v>
      </c>
      <c r="B421" s="1">
        <f>DATE(2010,7,17) + TIME(19,30,0)</f>
        <v>40376.8125</v>
      </c>
      <c r="C421">
        <v>80</v>
      </c>
      <c r="D421">
        <v>79.930252074999999</v>
      </c>
      <c r="E421">
        <v>50</v>
      </c>
      <c r="F421">
        <v>14.999728203</v>
      </c>
      <c r="G421">
        <v>1345.4484863</v>
      </c>
      <c r="H421">
        <v>1341.8615723</v>
      </c>
      <c r="I421">
        <v>1313.8991699000001</v>
      </c>
      <c r="J421">
        <v>1305.9467772999999</v>
      </c>
      <c r="K421">
        <v>2400</v>
      </c>
      <c r="L421">
        <v>0</v>
      </c>
      <c r="M421">
        <v>0</v>
      </c>
      <c r="N421">
        <v>2400</v>
      </c>
    </row>
    <row r="422" spans="1:14" x14ac:dyDescent="0.25">
      <c r="A422">
        <v>78.129514999999998</v>
      </c>
      <c r="B422" s="1">
        <f>DATE(2010,7,18) + TIME(3,6,30)</f>
        <v>40377.129513888889</v>
      </c>
      <c r="C422">
        <v>80</v>
      </c>
      <c r="D422">
        <v>79.930259704999997</v>
      </c>
      <c r="E422">
        <v>50</v>
      </c>
      <c r="F422">
        <v>14.999733924999999</v>
      </c>
      <c r="G422">
        <v>1345.4418945</v>
      </c>
      <c r="H422">
        <v>1341.8563231999999</v>
      </c>
      <c r="I422">
        <v>1313.9011230000001</v>
      </c>
      <c r="J422">
        <v>1305.9481201000001</v>
      </c>
      <c r="K422">
        <v>2400</v>
      </c>
      <c r="L422">
        <v>0</v>
      </c>
      <c r="M422">
        <v>0</v>
      </c>
      <c r="N422">
        <v>2400</v>
      </c>
    </row>
    <row r="423" spans="1:14" x14ac:dyDescent="0.25">
      <c r="A423">
        <v>78.446521000000004</v>
      </c>
      <c r="B423" s="1">
        <f>DATE(2010,7,18) + TIME(10,42,59)</f>
        <v>40377.446516203701</v>
      </c>
      <c r="C423">
        <v>80</v>
      </c>
      <c r="D423">
        <v>79.930267334000007</v>
      </c>
      <c r="E423">
        <v>50</v>
      </c>
      <c r="F423">
        <v>14.999738692999999</v>
      </c>
      <c r="G423">
        <v>1345.4353027</v>
      </c>
      <c r="H423">
        <v>1341.8511963000001</v>
      </c>
      <c r="I423">
        <v>1313.9029541</v>
      </c>
      <c r="J423">
        <v>1305.9495850000001</v>
      </c>
      <c r="K423">
        <v>2400</v>
      </c>
      <c r="L423">
        <v>0</v>
      </c>
      <c r="M423">
        <v>0</v>
      </c>
      <c r="N423">
        <v>2400</v>
      </c>
    </row>
    <row r="424" spans="1:14" x14ac:dyDescent="0.25">
      <c r="A424">
        <v>78.763525999999999</v>
      </c>
      <c r="B424" s="1">
        <f>DATE(2010,7,18) + TIME(18,19,28)</f>
        <v>40377.763518518521</v>
      </c>
      <c r="C424">
        <v>80</v>
      </c>
      <c r="D424">
        <v>79.930282593000001</v>
      </c>
      <c r="E424">
        <v>50</v>
      </c>
      <c r="F424">
        <v>14.999744415</v>
      </c>
      <c r="G424">
        <v>1345.4287108999999</v>
      </c>
      <c r="H424">
        <v>1341.8459473</v>
      </c>
      <c r="I424">
        <v>1313.9049072</v>
      </c>
      <c r="J424">
        <v>1305.9509277</v>
      </c>
      <c r="K424">
        <v>2400</v>
      </c>
      <c r="L424">
        <v>0</v>
      </c>
      <c r="M424">
        <v>0</v>
      </c>
      <c r="N424">
        <v>2400</v>
      </c>
    </row>
    <row r="425" spans="1:14" x14ac:dyDescent="0.25">
      <c r="A425">
        <v>79.080530999999993</v>
      </c>
      <c r="B425" s="1">
        <f>DATE(2010,7,19) + TIME(1,55,57)</f>
        <v>40378.080520833333</v>
      </c>
      <c r="C425">
        <v>80</v>
      </c>
      <c r="D425">
        <v>79.930290221999996</v>
      </c>
      <c r="E425">
        <v>50</v>
      </c>
      <c r="F425">
        <v>14.999751091</v>
      </c>
      <c r="G425">
        <v>1345.4222411999999</v>
      </c>
      <c r="H425">
        <v>1341.8408202999999</v>
      </c>
      <c r="I425">
        <v>1313.9067382999999</v>
      </c>
      <c r="J425">
        <v>1305.9523925999999</v>
      </c>
      <c r="K425">
        <v>2400</v>
      </c>
      <c r="L425">
        <v>0</v>
      </c>
      <c r="M425">
        <v>0</v>
      </c>
      <c r="N425">
        <v>2400</v>
      </c>
    </row>
    <row r="426" spans="1:14" x14ac:dyDescent="0.25">
      <c r="A426">
        <v>79.397537</v>
      </c>
      <c r="B426" s="1">
        <f>DATE(2010,7,19) + TIME(9,32,27)</f>
        <v>40378.397534722222</v>
      </c>
      <c r="C426">
        <v>80</v>
      </c>
      <c r="D426">
        <v>79.930297851999995</v>
      </c>
      <c r="E426">
        <v>50</v>
      </c>
      <c r="F426">
        <v>14.999757767</v>
      </c>
      <c r="G426">
        <v>1345.4157714999999</v>
      </c>
      <c r="H426">
        <v>1341.8356934000001</v>
      </c>
      <c r="I426">
        <v>1313.9086914</v>
      </c>
      <c r="J426">
        <v>1305.9538574000001</v>
      </c>
      <c r="K426">
        <v>2400</v>
      </c>
      <c r="L426">
        <v>0</v>
      </c>
      <c r="M426">
        <v>0</v>
      </c>
      <c r="N426">
        <v>2400</v>
      </c>
    </row>
    <row r="427" spans="1:14" x14ac:dyDescent="0.25">
      <c r="A427">
        <v>80.031547000000003</v>
      </c>
      <c r="B427" s="1">
        <f>DATE(2010,7,20) + TIME(0,45,25)</f>
        <v>40379.031539351854</v>
      </c>
      <c r="C427">
        <v>80</v>
      </c>
      <c r="D427">
        <v>79.930335998999993</v>
      </c>
      <c r="E427">
        <v>50</v>
      </c>
      <c r="F427">
        <v>14.999768256999999</v>
      </c>
      <c r="G427">
        <v>1345.4093018000001</v>
      </c>
      <c r="H427">
        <v>1341.8306885</v>
      </c>
      <c r="I427">
        <v>1313.9106445</v>
      </c>
      <c r="J427">
        <v>1305.9553223</v>
      </c>
      <c r="K427">
        <v>2400</v>
      </c>
      <c r="L427">
        <v>0</v>
      </c>
      <c r="M427">
        <v>0</v>
      </c>
      <c r="N427">
        <v>2400</v>
      </c>
    </row>
    <row r="428" spans="1:14" x14ac:dyDescent="0.25">
      <c r="A428">
        <v>80.666587000000007</v>
      </c>
      <c r="B428" s="1">
        <f>DATE(2010,7,20) + TIME(15,59,53)</f>
        <v>40379.666585648149</v>
      </c>
      <c r="C428">
        <v>80</v>
      </c>
      <c r="D428">
        <v>79.930366516000007</v>
      </c>
      <c r="E428">
        <v>50</v>
      </c>
      <c r="F428">
        <v>14.999782562</v>
      </c>
      <c r="G428">
        <v>1345.3964844</v>
      </c>
      <c r="H428">
        <v>1341.8205565999999</v>
      </c>
      <c r="I428">
        <v>1313.9145507999999</v>
      </c>
      <c r="J428">
        <v>1305.9582519999999</v>
      </c>
      <c r="K428">
        <v>2400</v>
      </c>
      <c r="L428">
        <v>0</v>
      </c>
      <c r="M428">
        <v>0</v>
      </c>
      <c r="N428">
        <v>2400</v>
      </c>
    </row>
    <row r="429" spans="1:14" x14ac:dyDescent="0.25">
      <c r="A429">
        <v>81.310136</v>
      </c>
      <c r="B429" s="1">
        <f>DATE(2010,7,21) + TIME(7,26,35)</f>
        <v>40380.310127314813</v>
      </c>
      <c r="C429">
        <v>80</v>
      </c>
      <c r="D429">
        <v>79.930389403999996</v>
      </c>
      <c r="E429">
        <v>50</v>
      </c>
      <c r="F429">
        <v>14.999799727999999</v>
      </c>
      <c r="G429">
        <v>1345.3836670000001</v>
      </c>
      <c r="H429">
        <v>1341.8104248</v>
      </c>
      <c r="I429">
        <v>1313.918457</v>
      </c>
      <c r="J429">
        <v>1305.9611815999999</v>
      </c>
      <c r="K429">
        <v>2400</v>
      </c>
      <c r="L429">
        <v>0</v>
      </c>
      <c r="M429">
        <v>0</v>
      </c>
      <c r="N429">
        <v>2400</v>
      </c>
    </row>
    <row r="430" spans="1:14" x14ac:dyDescent="0.25">
      <c r="A430">
        <v>81.963695000000001</v>
      </c>
      <c r="B430" s="1">
        <f>DATE(2010,7,21) + TIME(23,7,43)</f>
        <v>40380.963692129626</v>
      </c>
      <c r="C430">
        <v>80</v>
      </c>
      <c r="D430">
        <v>79.930412292</v>
      </c>
      <c r="E430">
        <v>50</v>
      </c>
      <c r="F430">
        <v>14.999819756000001</v>
      </c>
      <c r="G430">
        <v>1345.3707274999999</v>
      </c>
      <c r="H430">
        <v>1341.800293</v>
      </c>
      <c r="I430">
        <v>1313.9224853999999</v>
      </c>
      <c r="J430">
        <v>1305.9642334</v>
      </c>
      <c r="K430">
        <v>2400</v>
      </c>
      <c r="L430">
        <v>0</v>
      </c>
      <c r="M430">
        <v>0</v>
      </c>
      <c r="N430">
        <v>2400</v>
      </c>
    </row>
    <row r="431" spans="1:14" x14ac:dyDescent="0.25">
      <c r="A431">
        <v>82.628131999999994</v>
      </c>
      <c r="B431" s="1">
        <f>DATE(2010,7,22) + TIME(15,4,30)</f>
        <v>40381.628125000003</v>
      </c>
      <c r="C431">
        <v>80</v>
      </c>
      <c r="D431">
        <v>79.930442810000002</v>
      </c>
      <c r="E431">
        <v>50</v>
      </c>
      <c r="F431">
        <v>14.999843597</v>
      </c>
      <c r="G431">
        <v>1345.3576660000001</v>
      </c>
      <c r="H431">
        <v>1341.7900391000001</v>
      </c>
      <c r="I431">
        <v>1313.9266356999999</v>
      </c>
      <c r="J431">
        <v>1305.9672852000001</v>
      </c>
      <c r="K431">
        <v>2400</v>
      </c>
      <c r="L431">
        <v>0</v>
      </c>
      <c r="M431">
        <v>0</v>
      </c>
      <c r="N431">
        <v>2400</v>
      </c>
    </row>
    <row r="432" spans="1:14" x14ac:dyDescent="0.25">
      <c r="A432">
        <v>83.297529999999995</v>
      </c>
      <c r="B432" s="1">
        <f>DATE(2010,7,23) + TIME(7,8,26)</f>
        <v>40382.297523148147</v>
      </c>
      <c r="C432">
        <v>80</v>
      </c>
      <c r="D432">
        <v>79.930465698000006</v>
      </c>
      <c r="E432">
        <v>50</v>
      </c>
      <c r="F432">
        <v>14.999871254</v>
      </c>
      <c r="G432">
        <v>1345.3444824000001</v>
      </c>
      <c r="H432">
        <v>1341.7795410000001</v>
      </c>
      <c r="I432">
        <v>1313.9309082</v>
      </c>
      <c r="J432">
        <v>1305.9704589999999</v>
      </c>
      <c r="K432">
        <v>2400</v>
      </c>
      <c r="L432">
        <v>0</v>
      </c>
      <c r="M432">
        <v>0</v>
      </c>
      <c r="N432">
        <v>2400</v>
      </c>
    </row>
    <row r="433" spans="1:14" x14ac:dyDescent="0.25">
      <c r="A433">
        <v>83.972342999999995</v>
      </c>
      <c r="B433" s="1">
        <f>DATE(2010,7,23) + TIME(23,20,10)</f>
        <v>40382.972337962965</v>
      </c>
      <c r="C433">
        <v>80</v>
      </c>
      <c r="D433">
        <v>79.930488585999996</v>
      </c>
      <c r="E433">
        <v>50</v>
      </c>
      <c r="F433">
        <v>14.999904633</v>
      </c>
      <c r="G433">
        <v>1345.3312988</v>
      </c>
      <c r="H433">
        <v>1341.7691649999999</v>
      </c>
      <c r="I433">
        <v>1313.9353027</v>
      </c>
      <c r="J433">
        <v>1305.9736327999999</v>
      </c>
      <c r="K433">
        <v>2400</v>
      </c>
      <c r="L433">
        <v>0</v>
      </c>
      <c r="M433">
        <v>0</v>
      </c>
      <c r="N433">
        <v>2400</v>
      </c>
    </row>
    <row r="434" spans="1:14" x14ac:dyDescent="0.25">
      <c r="A434">
        <v>84.309875000000005</v>
      </c>
      <c r="B434" s="1">
        <f>DATE(2010,7,24) + TIME(7,26,13)</f>
        <v>40383.309872685182</v>
      </c>
      <c r="C434">
        <v>80</v>
      </c>
      <c r="D434">
        <v>79.930496215999995</v>
      </c>
      <c r="E434">
        <v>50</v>
      </c>
      <c r="F434">
        <v>14.999928474000001</v>
      </c>
      <c r="G434">
        <v>1345.3181152</v>
      </c>
      <c r="H434">
        <v>1341.7586670000001</v>
      </c>
      <c r="I434">
        <v>1313.9395752</v>
      </c>
      <c r="J434">
        <v>1305.9768065999999</v>
      </c>
      <c r="K434">
        <v>2400</v>
      </c>
      <c r="L434">
        <v>0</v>
      </c>
      <c r="M434">
        <v>0</v>
      </c>
      <c r="N434">
        <v>2400</v>
      </c>
    </row>
    <row r="435" spans="1:14" x14ac:dyDescent="0.25">
      <c r="A435">
        <v>84.646349000000001</v>
      </c>
      <c r="B435" s="1">
        <f>DATE(2010,7,24) + TIME(15,30,44)</f>
        <v>40383.64634259259</v>
      </c>
      <c r="C435">
        <v>80</v>
      </c>
      <c r="D435">
        <v>79.930496215999995</v>
      </c>
      <c r="E435">
        <v>50</v>
      </c>
      <c r="F435">
        <v>14.999954224</v>
      </c>
      <c r="G435">
        <v>1345.3115233999999</v>
      </c>
      <c r="H435">
        <v>1341.753418</v>
      </c>
      <c r="I435">
        <v>1313.9418945</v>
      </c>
      <c r="J435">
        <v>1305.9783935999999</v>
      </c>
      <c r="K435">
        <v>2400</v>
      </c>
      <c r="L435">
        <v>0</v>
      </c>
      <c r="M435">
        <v>0</v>
      </c>
      <c r="N435">
        <v>2400</v>
      </c>
    </row>
    <row r="436" spans="1:14" x14ac:dyDescent="0.25">
      <c r="A436">
        <v>84.982748999999998</v>
      </c>
      <c r="B436" s="1">
        <f>DATE(2010,7,24) + TIME(23,35,9)</f>
        <v>40383.982743055552</v>
      </c>
      <c r="C436">
        <v>80</v>
      </c>
      <c r="D436">
        <v>79.930511475000003</v>
      </c>
      <c r="E436">
        <v>50</v>
      </c>
      <c r="F436">
        <v>14.999979973</v>
      </c>
      <c r="G436">
        <v>1345.3049315999999</v>
      </c>
      <c r="H436">
        <v>1341.7481689000001</v>
      </c>
      <c r="I436">
        <v>1313.9440918</v>
      </c>
      <c r="J436">
        <v>1305.9801024999999</v>
      </c>
      <c r="K436">
        <v>2400</v>
      </c>
      <c r="L436">
        <v>0</v>
      </c>
      <c r="M436">
        <v>0</v>
      </c>
      <c r="N436">
        <v>2400</v>
      </c>
    </row>
    <row r="437" spans="1:14" x14ac:dyDescent="0.25">
      <c r="A437">
        <v>85.319148999999996</v>
      </c>
      <c r="B437" s="1">
        <f>DATE(2010,7,25) + TIME(7,39,34)</f>
        <v>40384.319143518522</v>
      </c>
      <c r="C437">
        <v>80</v>
      </c>
      <c r="D437">
        <v>79.930519103999998</v>
      </c>
      <c r="E437">
        <v>50</v>
      </c>
      <c r="F437">
        <v>15.000006676</v>
      </c>
      <c r="G437">
        <v>1345.2984618999999</v>
      </c>
      <c r="H437">
        <v>1341.7430420000001</v>
      </c>
      <c r="I437">
        <v>1313.9464111</v>
      </c>
      <c r="J437">
        <v>1305.9818115</v>
      </c>
      <c r="K437">
        <v>2400</v>
      </c>
      <c r="L437">
        <v>0</v>
      </c>
      <c r="M437">
        <v>0</v>
      </c>
      <c r="N437">
        <v>2400</v>
      </c>
    </row>
    <row r="438" spans="1:14" x14ac:dyDescent="0.25">
      <c r="A438">
        <v>85.655550000000005</v>
      </c>
      <c r="B438" s="1">
        <f>DATE(2010,7,25) + TIME(15,43,59)</f>
        <v>40384.655543981484</v>
      </c>
      <c r="C438">
        <v>80</v>
      </c>
      <c r="D438">
        <v>79.930526732999994</v>
      </c>
      <c r="E438">
        <v>50</v>
      </c>
      <c r="F438">
        <v>15.00003624</v>
      </c>
      <c r="G438">
        <v>1345.2919922000001</v>
      </c>
      <c r="H438">
        <v>1341.7379149999999</v>
      </c>
      <c r="I438">
        <v>1313.9486084</v>
      </c>
      <c r="J438">
        <v>1305.9833983999999</v>
      </c>
      <c r="K438">
        <v>2400</v>
      </c>
      <c r="L438">
        <v>0</v>
      </c>
      <c r="M438">
        <v>0</v>
      </c>
      <c r="N438">
        <v>2400</v>
      </c>
    </row>
    <row r="439" spans="1:14" x14ac:dyDescent="0.25">
      <c r="A439">
        <v>85.991950000000003</v>
      </c>
      <c r="B439" s="1">
        <f>DATE(2010,7,25) + TIME(23,48,24)</f>
        <v>40384.991944444446</v>
      </c>
      <c r="C439">
        <v>80</v>
      </c>
      <c r="D439">
        <v>79.930541992000002</v>
      </c>
      <c r="E439">
        <v>50</v>
      </c>
      <c r="F439">
        <v>15.000066757000001</v>
      </c>
      <c r="G439">
        <v>1345.2855225000001</v>
      </c>
      <c r="H439">
        <v>1341.7327881000001</v>
      </c>
      <c r="I439">
        <v>1313.9509277</v>
      </c>
      <c r="J439">
        <v>1305.9851074000001</v>
      </c>
      <c r="K439">
        <v>2400</v>
      </c>
      <c r="L439">
        <v>0</v>
      </c>
      <c r="M439">
        <v>0</v>
      </c>
      <c r="N439">
        <v>2400</v>
      </c>
    </row>
    <row r="440" spans="1:14" x14ac:dyDescent="0.25">
      <c r="A440">
        <v>86.328350999999998</v>
      </c>
      <c r="B440" s="1">
        <f>DATE(2010,7,26) + TIME(7,52,49)</f>
        <v>40385.328344907408</v>
      </c>
      <c r="C440">
        <v>80</v>
      </c>
      <c r="D440">
        <v>79.930557250999996</v>
      </c>
      <c r="E440">
        <v>50</v>
      </c>
      <c r="F440">
        <v>15.000100136</v>
      </c>
      <c r="G440">
        <v>1345.2791748</v>
      </c>
      <c r="H440">
        <v>1341.7276611</v>
      </c>
      <c r="I440">
        <v>1313.9532471</v>
      </c>
      <c r="J440">
        <v>1305.9868164</v>
      </c>
      <c r="K440">
        <v>2400</v>
      </c>
      <c r="L440">
        <v>0</v>
      </c>
      <c r="M440">
        <v>0</v>
      </c>
      <c r="N440">
        <v>2400</v>
      </c>
    </row>
    <row r="441" spans="1:14" x14ac:dyDescent="0.25">
      <c r="A441">
        <v>86.664750999999995</v>
      </c>
      <c r="B441" s="1">
        <f>DATE(2010,7,26) + TIME(15,57,14)</f>
        <v>40385.66474537037</v>
      </c>
      <c r="C441">
        <v>80</v>
      </c>
      <c r="D441">
        <v>79.930564880000006</v>
      </c>
      <c r="E441">
        <v>50</v>
      </c>
      <c r="F441">
        <v>15.000136375</v>
      </c>
      <c r="G441">
        <v>1345.2727050999999</v>
      </c>
      <c r="H441">
        <v>1341.7225341999999</v>
      </c>
      <c r="I441">
        <v>1313.9555664</v>
      </c>
      <c r="J441">
        <v>1305.9885254000001</v>
      </c>
      <c r="K441">
        <v>2400</v>
      </c>
      <c r="L441">
        <v>0</v>
      </c>
      <c r="M441">
        <v>0</v>
      </c>
      <c r="N441">
        <v>2400</v>
      </c>
    </row>
    <row r="442" spans="1:14" x14ac:dyDescent="0.25">
      <c r="A442">
        <v>87.337552000000002</v>
      </c>
      <c r="B442" s="1">
        <f>DATE(2010,7,27) + TIME(8,6,4)</f>
        <v>40386.337546296294</v>
      </c>
      <c r="C442">
        <v>80</v>
      </c>
      <c r="D442">
        <v>79.930610657000003</v>
      </c>
      <c r="E442">
        <v>50</v>
      </c>
      <c r="F442">
        <v>15.000196456999999</v>
      </c>
      <c r="G442">
        <v>1345.2664795000001</v>
      </c>
      <c r="H442">
        <v>1341.7176514</v>
      </c>
      <c r="I442">
        <v>1313.9578856999999</v>
      </c>
      <c r="J442">
        <v>1305.9902344</v>
      </c>
      <c r="K442">
        <v>2400</v>
      </c>
      <c r="L442">
        <v>0</v>
      </c>
      <c r="M442">
        <v>0</v>
      </c>
      <c r="N442">
        <v>2400</v>
      </c>
    </row>
    <row r="443" spans="1:14" x14ac:dyDescent="0.25">
      <c r="A443">
        <v>88.011837</v>
      </c>
      <c r="B443" s="1">
        <f>DATE(2010,7,28) + TIME(0,17,2)</f>
        <v>40387.011828703704</v>
      </c>
      <c r="C443">
        <v>80</v>
      </c>
      <c r="D443">
        <v>79.930641174000002</v>
      </c>
      <c r="E443">
        <v>50</v>
      </c>
      <c r="F443">
        <v>15.000272751000001</v>
      </c>
      <c r="G443">
        <v>1345.2537841999999</v>
      </c>
      <c r="H443">
        <v>1341.7075195</v>
      </c>
      <c r="I443">
        <v>1313.9626464999999</v>
      </c>
      <c r="J443">
        <v>1305.9936522999999</v>
      </c>
      <c r="K443">
        <v>2400</v>
      </c>
      <c r="L443">
        <v>0</v>
      </c>
      <c r="M443">
        <v>0</v>
      </c>
      <c r="N443">
        <v>2400</v>
      </c>
    </row>
    <row r="444" spans="1:14" x14ac:dyDescent="0.25">
      <c r="A444">
        <v>88.693410999999998</v>
      </c>
      <c r="B444" s="1">
        <f>DATE(2010,7,28) + TIME(16,38,30)</f>
        <v>40387.693402777775</v>
      </c>
      <c r="C444">
        <v>80</v>
      </c>
      <c r="D444">
        <v>79.930671692000004</v>
      </c>
      <c r="E444">
        <v>50</v>
      </c>
      <c r="F444">
        <v>15.000366210999999</v>
      </c>
      <c r="G444">
        <v>1345.2410889</v>
      </c>
      <c r="H444">
        <v>1341.6975098</v>
      </c>
      <c r="I444">
        <v>1313.9674072</v>
      </c>
      <c r="J444">
        <v>1305.9970702999999</v>
      </c>
      <c r="K444">
        <v>2400</v>
      </c>
      <c r="L444">
        <v>0</v>
      </c>
      <c r="M444">
        <v>0</v>
      </c>
      <c r="N444">
        <v>2400</v>
      </c>
    </row>
    <row r="445" spans="1:14" x14ac:dyDescent="0.25">
      <c r="A445">
        <v>89.383965000000003</v>
      </c>
      <c r="B445" s="1">
        <f>DATE(2010,7,29) + TIME(9,12,54)</f>
        <v>40388.383958333332</v>
      </c>
      <c r="C445">
        <v>80</v>
      </c>
      <c r="D445">
        <v>79.930702209000003</v>
      </c>
      <c r="E445">
        <v>50</v>
      </c>
      <c r="F445">
        <v>15.000478745000001</v>
      </c>
      <c r="G445">
        <v>1345.2283935999999</v>
      </c>
      <c r="H445">
        <v>1341.6873779</v>
      </c>
      <c r="I445">
        <v>1313.9722899999999</v>
      </c>
      <c r="J445">
        <v>1306.0006103999999</v>
      </c>
      <c r="K445">
        <v>2400</v>
      </c>
      <c r="L445">
        <v>0</v>
      </c>
      <c r="M445">
        <v>0</v>
      </c>
      <c r="N445">
        <v>2400</v>
      </c>
    </row>
    <row r="446" spans="1:14" x14ac:dyDescent="0.25">
      <c r="A446">
        <v>90.081513999999999</v>
      </c>
      <c r="B446" s="1">
        <f>DATE(2010,7,30) + TIME(1,57,22)</f>
        <v>40389.081504629627</v>
      </c>
      <c r="C446">
        <v>80</v>
      </c>
      <c r="D446">
        <v>79.930732727000006</v>
      </c>
      <c r="E446">
        <v>50</v>
      </c>
      <c r="F446">
        <v>15.000612259</v>
      </c>
      <c r="G446">
        <v>1345.2155762</v>
      </c>
      <c r="H446">
        <v>1341.6772461</v>
      </c>
      <c r="I446">
        <v>1313.9772949000001</v>
      </c>
      <c r="J446">
        <v>1306.0042725000001</v>
      </c>
      <c r="K446">
        <v>2400</v>
      </c>
      <c r="L446">
        <v>0</v>
      </c>
      <c r="M446">
        <v>0</v>
      </c>
      <c r="N446">
        <v>2400</v>
      </c>
    </row>
    <row r="447" spans="1:14" x14ac:dyDescent="0.25">
      <c r="A447">
        <v>90.784707999999995</v>
      </c>
      <c r="B447" s="1">
        <f>DATE(2010,7,30) + TIME(18,49,58)</f>
        <v>40389.784699074073</v>
      </c>
      <c r="C447">
        <v>80</v>
      </c>
      <c r="D447">
        <v>79.930763244999994</v>
      </c>
      <c r="E447">
        <v>50</v>
      </c>
      <c r="F447">
        <v>15.000768661</v>
      </c>
      <c r="G447">
        <v>1345.2027588000001</v>
      </c>
      <c r="H447">
        <v>1341.6669922000001</v>
      </c>
      <c r="I447">
        <v>1313.9824219</v>
      </c>
      <c r="J447">
        <v>1306.0079346</v>
      </c>
      <c r="K447">
        <v>2400</v>
      </c>
      <c r="L447">
        <v>0</v>
      </c>
      <c r="M447">
        <v>0</v>
      </c>
      <c r="N447">
        <v>2400</v>
      </c>
    </row>
    <row r="448" spans="1:14" x14ac:dyDescent="0.25">
      <c r="A448">
        <v>91.492188999999996</v>
      </c>
      <c r="B448" s="1">
        <f>DATE(2010,7,31) + TIME(11,48,45)</f>
        <v>40390.4921875</v>
      </c>
      <c r="C448">
        <v>80</v>
      </c>
      <c r="D448">
        <v>79.930793761999993</v>
      </c>
      <c r="E448">
        <v>50</v>
      </c>
      <c r="F448">
        <v>15.000952721000001</v>
      </c>
      <c r="G448">
        <v>1345.1899414</v>
      </c>
      <c r="H448">
        <v>1341.6567382999999</v>
      </c>
      <c r="I448">
        <v>1313.9876709</v>
      </c>
      <c r="J448">
        <v>1306.0117187999999</v>
      </c>
      <c r="K448">
        <v>2400</v>
      </c>
      <c r="L448">
        <v>0</v>
      </c>
      <c r="M448">
        <v>0</v>
      </c>
      <c r="N448">
        <v>2400</v>
      </c>
    </row>
    <row r="449" spans="1:14" x14ac:dyDescent="0.25">
      <c r="A449">
        <v>92</v>
      </c>
      <c r="B449" s="1">
        <f>DATE(2010,8,1) + TIME(0,0,0)</f>
        <v>40391</v>
      </c>
      <c r="C449">
        <v>80</v>
      </c>
      <c r="D449">
        <v>79.930809021000002</v>
      </c>
      <c r="E449">
        <v>50</v>
      </c>
      <c r="F449">
        <v>15.001130104</v>
      </c>
      <c r="G449">
        <v>1345.1770019999999</v>
      </c>
      <c r="H449">
        <v>1341.6464844</v>
      </c>
      <c r="I449">
        <v>1313.9929199000001</v>
      </c>
      <c r="J449">
        <v>1306.015625</v>
      </c>
      <c r="K449">
        <v>2400</v>
      </c>
      <c r="L449">
        <v>0</v>
      </c>
      <c r="M449">
        <v>0</v>
      </c>
      <c r="N449">
        <v>2400</v>
      </c>
    </row>
    <row r="450" spans="1:14" x14ac:dyDescent="0.25">
      <c r="A450">
        <v>92.356770999999995</v>
      </c>
      <c r="B450" s="1">
        <f>DATE(2010,8,1) + TIME(8,33,45)</f>
        <v>40391.356770833336</v>
      </c>
      <c r="C450">
        <v>80</v>
      </c>
      <c r="D450">
        <v>79.930816649999997</v>
      </c>
      <c r="E450">
        <v>50</v>
      </c>
      <c r="F450">
        <v>15.001279831</v>
      </c>
      <c r="G450">
        <v>1345.1678466999999</v>
      </c>
      <c r="H450">
        <v>1341.6390381000001</v>
      </c>
      <c r="I450">
        <v>1313.9968262</v>
      </c>
      <c r="J450">
        <v>1306.0183105000001</v>
      </c>
      <c r="K450">
        <v>2400</v>
      </c>
      <c r="L450">
        <v>0</v>
      </c>
      <c r="M450">
        <v>0</v>
      </c>
      <c r="N450">
        <v>2400</v>
      </c>
    </row>
    <row r="451" spans="1:14" x14ac:dyDescent="0.25">
      <c r="A451">
        <v>92.713286999999994</v>
      </c>
      <c r="B451" s="1">
        <f>DATE(2010,8,1) + TIME(17,7,7)</f>
        <v>40391.713275462964</v>
      </c>
      <c r="C451">
        <v>80</v>
      </c>
      <c r="D451">
        <v>79.930831909000005</v>
      </c>
      <c r="E451">
        <v>50</v>
      </c>
      <c r="F451">
        <v>15.001433371999999</v>
      </c>
      <c r="G451">
        <v>1345.1613769999999</v>
      </c>
      <c r="H451">
        <v>1341.6339111</v>
      </c>
      <c r="I451">
        <v>1313.9996338000001</v>
      </c>
      <c r="J451">
        <v>1306.0202637</v>
      </c>
      <c r="K451">
        <v>2400</v>
      </c>
      <c r="L451">
        <v>0</v>
      </c>
      <c r="M451">
        <v>0</v>
      </c>
      <c r="N451">
        <v>2400</v>
      </c>
    </row>
    <row r="452" spans="1:14" x14ac:dyDescent="0.25">
      <c r="A452">
        <v>93.069708000000006</v>
      </c>
      <c r="B452" s="1">
        <f>DATE(2010,8,2) + TIME(1,40,22)</f>
        <v>40392.069699074076</v>
      </c>
      <c r="C452">
        <v>80</v>
      </c>
      <c r="D452">
        <v>79.930839539000004</v>
      </c>
      <c r="E452">
        <v>50</v>
      </c>
      <c r="F452">
        <v>15.001595497</v>
      </c>
      <c r="G452">
        <v>1345.1549072</v>
      </c>
      <c r="H452">
        <v>1341.6287841999999</v>
      </c>
      <c r="I452">
        <v>1314.0024414</v>
      </c>
      <c r="J452">
        <v>1306.0223389</v>
      </c>
      <c r="K452">
        <v>2400</v>
      </c>
      <c r="L452">
        <v>0</v>
      </c>
      <c r="M452">
        <v>0</v>
      </c>
      <c r="N452">
        <v>2400</v>
      </c>
    </row>
    <row r="453" spans="1:14" x14ac:dyDescent="0.25">
      <c r="A453">
        <v>93.426080999999996</v>
      </c>
      <c r="B453" s="1">
        <f>DATE(2010,8,2) + TIME(10,13,33)</f>
        <v>40392.426076388889</v>
      </c>
      <c r="C453">
        <v>80</v>
      </c>
      <c r="D453">
        <v>79.930854796999995</v>
      </c>
      <c r="E453">
        <v>50</v>
      </c>
      <c r="F453">
        <v>15.001765251</v>
      </c>
      <c r="G453">
        <v>1345.1485596</v>
      </c>
      <c r="H453">
        <v>1341.6236572</v>
      </c>
      <c r="I453">
        <v>1314.005249</v>
      </c>
      <c r="J453">
        <v>1306.0242920000001</v>
      </c>
      <c r="K453">
        <v>2400</v>
      </c>
      <c r="L453">
        <v>0</v>
      </c>
      <c r="M453">
        <v>0</v>
      </c>
      <c r="N453">
        <v>2400</v>
      </c>
    </row>
    <row r="454" spans="1:14" x14ac:dyDescent="0.25">
      <c r="A454">
        <v>93.782454000000001</v>
      </c>
      <c r="B454" s="1">
        <f>DATE(2010,8,2) + TIME(18,46,44)</f>
        <v>40392.782453703701</v>
      </c>
      <c r="C454">
        <v>80</v>
      </c>
      <c r="D454">
        <v>79.930870056000003</v>
      </c>
      <c r="E454">
        <v>50</v>
      </c>
      <c r="F454">
        <v>15.001947403000001</v>
      </c>
      <c r="G454">
        <v>1345.1422118999999</v>
      </c>
      <c r="H454">
        <v>1341.6186522999999</v>
      </c>
      <c r="I454">
        <v>1314.0080565999999</v>
      </c>
      <c r="J454">
        <v>1306.0263672000001</v>
      </c>
      <c r="K454">
        <v>2400</v>
      </c>
      <c r="L454">
        <v>0</v>
      </c>
      <c r="M454">
        <v>0</v>
      </c>
      <c r="N454">
        <v>2400</v>
      </c>
    </row>
    <row r="455" spans="1:14" x14ac:dyDescent="0.25">
      <c r="A455">
        <v>94.138828000000004</v>
      </c>
      <c r="B455" s="1">
        <f>DATE(2010,8,3) + TIME(3,19,54)</f>
        <v>40393.138819444444</v>
      </c>
      <c r="C455">
        <v>80</v>
      </c>
      <c r="D455">
        <v>79.930885314999998</v>
      </c>
      <c r="E455">
        <v>50</v>
      </c>
      <c r="F455">
        <v>15.002141953000001</v>
      </c>
      <c r="G455">
        <v>1345.1358643000001</v>
      </c>
      <c r="H455">
        <v>1341.6135254000001</v>
      </c>
      <c r="I455">
        <v>1314.0109863</v>
      </c>
      <c r="J455">
        <v>1306.0283202999999</v>
      </c>
      <c r="K455">
        <v>2400</v>
      </c>
      <c r="L455">
        <v>0</v>
      </c>
      <c r="M455">
        <v>0</v>
      </c>
      <c r="N455">
        <v>2400</v>
      </c>
    </row>
    <row r="456" spans="1:14" x14ac:dyDescent="0.25">
      <c r="A456">
        <v>94.495200999999994</v>
      </c>
      <c r="B456" s="1">
        <f>DATE(2010,8,3) + TIME(11,53,5)</f>
        <v>40393.495196759257</v>
      </c>
      <c r="C456">
        <v>80</v>
      </c>
      <c r="D456">
        <v>79.930900574000006</v>
      </c>
      <c r="E456">
        <v>50</v>
      </c>
      <c r="F456">
        <v>15.002349854</v>
      </c>
      <c r="G456">
        <v>1345.1296387</v>
      </c>
      <c r="H456">
        <v>1341.6085204999999</v>
      </c>
      <c r="I456">
        <v>1314.0137939000001</v>
      </c>
      <c r="J456">
        <v>1306.0303954999999</v>
      </c>
      <c r="K456">
        <v>2400</v>
      </c>
      <c r="L456">
        <v>0</v>
      </c>
      <c r="M456">
        <v>0</v>
      </c>
      <c r="N456">
        <v>2400</v>
      </c>
    </row>
    <row r="457" spans="1:14" x14ac:dyDescent="0.25">
      <c r="A457">
        <v>95.207947000000004</v>
      </c>
      <c r="B457" s="1">
        <f>DATE(2010,8,4) + TIME(4,59,26)</f>
        <v>40394.207939814813</v>
      </c>
      <c r="C457">
        <v>80</v>
      </c>
      <c r="D457">
        <v>79.930946349999999</v>
      </c>
      <c r="E457">
        <v>50</v>
      </c>
      <c r="F457">
        <v>15.002696991000001</v>
      </c>
      <c r="G457">
        <v>1345.1234131000001</v>
      </c>
      <c r="H457">
        <v>1341.6036377</v>
      </c>
      <c r="I457">
        <v>1314.0167236</v>
      </c>
      <c r="J457">
        <v>1306.0324707</v>
      </c>
      <c r="K457">
        <v>2400</v>
      </c>
      <c r="L457">
        <v>0</v>
      </c>
      <c r="M457">
        <v>0</v>
      </c>
      <c r="N457">
        <v>2400</v>
      </c>
    </row>
    <row r="458" spans="1:14" x14ac:dyDescent="0.25">
      <c r="A458">
        <v>95.921575000000004</v>
      </c>
      <c r="B458" s="1">
        <f>DATE(2010,8,4) + TIME(22,7,4)</f>
        <v>40394.921574074076</v>
      </c>
      <c r="C458">
        <v>80</v>
      </c>
      <c r="D458">
        <v>79.930984496999997</v>
      </c>
      <c r="E458">
        <v>50</v>
      </c>
      <c r="F458">
        <v>15.003141403000001</v>
      </c>
      <c r="G458">
        <v>1345.1109618999999</v>
      </c>
      <c r="H458">
        <v>1341.5936279</v>
      </c>
      <c r="I458">
        <v>1314.0225829999999</v>
      </c>
      <c r="J458">
        <v>1306.0366211</v>
      </c>
      <c r="K458">
        <v>2400</v>
      </c>
      <c r="L458">
        <v>0</v>
      </c>
      <c r="M458">
        <v>0</v>
      </c>
      <c r="N458">
        <v>2400</v>
      </c>
    </row>
    <row r="459" spans="1:14" x14ac:dyDescent="0.25">
      <c r="A459">
        <v>96.642563999999993</v>
      </c>
      <c r="B459" s="1">
        <f>DATE(2010,8,5) + TIME(15,25,17)</f>
        <v>40395.642557870371</v>
      </c>
      <c r="C459">
        <v>80</v>
      </c>
      <c r="D459">
        <v>79.931022643999995</v>
      </c>
      <c r="E459">
        <v>50</v>
      </c>
      <c r="F459">
        <v>15.003683089999999</v>
      </c>
      <c r="G459">
        <v>1345.0985106999999</v>
      </c>
      <c r="H459">
        <v>1341.5836182</v>
      </c>
      <c r="I459">
        <v>1314.0285644999999</v>
      </c>
      <c r="J459">
        <v>1306.0408935999999</v>
      </c>
      <c r="K459">
        <v>2400</v>
      </c>
      <c r="L459">
        <v>0</v>
      </c>
      <c r="M459">
        <v>0</v>
      </c>
      <c r="N459">
        <v>2400</v>
      </c>
    </row>
    <row r="460" spans="1:14" x14ac:dyDescent="0.25">
      <c r="A460">
        <v>97.371696</v>
      </c>
      <c r="B460" s="1">
        <f>DATE(2010,8,6) + TIME(8,55,14)</f>
        <v>40396.371689814812</v>
      </c>
      <c r="C460">
        <v>80</v>
      </c>
      <c r="D460">
        <v>79.931060790999993</v>
      </c>
      <c r="E460">
        <v>50</v>
      </c>
      <c r="F460">
        <v>15.004328728000001</v>
      </c>
      <c r="G460">
        <v>1345.0859375</v>
      </c>
      <c r="H460">
        <v>1341.5736084</v>
      </c>
      <c r="I460">
        <v>1314.0347899999999</v>
      </c>
      <c r="J460">
        <v>1306.0451660000001</v>
      </c>
      <c r="K460">
        <v>2400</v>
      </c>
      <c r="L460">
        <v>0</v>
      </c>
      <c r="M460">
        <v>0</v>
      </c>
      <c r="N460">
        <v>2400</v>
      </c>
    </row>
    <row r="461" spans="1:14" x14ac:dyDescent="0.25">
      <c r="A461">
        <v>98.106164000000007</v>
      </c>
      <c r="B461" s="1">
        <f>DATE(2010,8,7) + TIME(2,32,52)</f>
        <v>40397.106157407405</v>
      </c>
      <c r="C461">
        <v>80</v>
      </c>
      <c r="D461">
        <v>79.931091308999996</v>
      </c>
      <c r="E461">
        <v>50</v>
      </c>
      <c r="F461">
        <v>15.005086899</v>
      </c>
      <c r="G461">
        <v>1345.0733643000001</v>
      </c>
      <c r="H461">
        <v>1341.5635986</v>
      </c>
      <c r="I461">
        <v>1314.0410156</v>
      </c>
      <c r="J461">
        <v>1306.0495605000001</v>
      </c>
      <c r="K461">
        <v>2400</v>
      </c>
      <c r="L461">
        <v>0</v>
      </c>
      <c r="M461">
        <v>0</v>
      </c>
      <c r="N461">
        <v>2400</v>
      </c>
    </row>
    <row r="462" spans="1:14" x14ac:dyDescent="0.25">
      <c r="A462">
        <v>98.844638000000003</v>
      </c>
      <c r="B462" s="1">
        <f>DATE(2010,8,7) + TIME(20,16,16)</f>
        <v>40397.844629629632</v>
      </c>
      <c r="C462">
        <v>80</v>
      </c>
      <c r="D462">
        <v>79.931129455999994</v>
      </c>
      <c r="E462">
        <v>50</v>
      </c>
      <c r="F462">
        <v>15.00597477</v>
      </c>
      <c r="G462">
        <v>1345.0607910000001</v>
      </c>
      <c r="H462">
        <v>1341.5534668</v>
      </c>
      <c r="I462">
        <v>1314.0476074000001</v>
      </c>
      <c r="J462">
        <v>1306.0540771000001</v>
      </c>
      <c r="K462">
        <v>2400</v>
      </c>
      <c r="L462">
        <v>0</v>
      </c>
      <c r="M462">
        <v>0</v>
      </c>
      <c r="N462">
        <v>2400</v>
      </c>
    </row>
    <row r="463" spans="1:14" x14ac:dyDescent="0.25">
      <c r="A463">
        <v>99.587187</v>
      </c>
      <c r="B463" s="1">
        <f>DATE(2010,8,8) + TIME(14,5,32)</f>
        <v>40398.587175925924</v>
      </c>
      <c r="C463">
        <v>80</v>
      </c>
      <c r="D463">
        <v>79.931159973000007</v>
      </c>
      <c r="E463">
        <v>50</v>
      </c>
      <c r="F463">
        <v>15.007008553</v>
      </c>
      <c r="G463">
        <v>1345.0482178</v>
      </c>
      <c r="H463">
        <v>1341.5433350000001</v>
      </c>
      <c r="I463">
        <v>1314.0541992000001</v>
      </c>
      <c r="J463">
        <v>1306.0587158000001</v>
      </c>
      <c r="K463">
        <v>2400</v>
      </c>
      <c r="L463">
        <v>0</v>
      </c>
      <c r="M463">
        <v>0</v>
      </c>
      <c r="N463">
        <v>2400</v>
      </c>
    </row>
    <row r="464" spans="1:14" x14ac:dyDescent="0.25">
      <c r="A464">
        <v>100.33398200000001</v>
      </c>
      <c r="B464" s="1">
        <f>DATE(2010,8,9) + TIME(8,0,56)</f>
        <v>40399.333981481483</v>
      </c>
      <c r="C464">
        <v>80</v>
      </c>
      <c r="D464">
        <v>79.931198120000005</v>
      </c>
      <c r="E464">
        <v>50</v>
      </c>
      <c r="F464">
        <v>15.008211136</v>
      </c>
      <c r="G464">
        <v>1345.0356445</v>
      </c>
      <c r="H464">
        <v>1341.5332031</v>
      </c>
      <c r="I464">
        <v>1314.0610352000001</v>
      </c>
      <c r="J464">
        <v>1306.0634766000001</v>
      </c>
      <c r="K464">
        <v>2400</v>
      </c>
      <c r="L464">
        <v>0</v>
      </c>
      <c r="M464">
        <v>0</v>
      </c>
      <c r="N464">
        <v>2400</v>
      </c>
    </row>
    <row r="465" spans="1:14" x14ac:dyDescent="0.25">
      <c r="A465">
        <v>101.08255200000001</v>
      </c>
      <c r="B465" s="1">
        <f>DATE(2010,8,10) + TIME(1,58,52)</f>
        <v>40400.082546296297</v>
      </c>
      <c r="C465">
        <v>80</v>
      </c>
      <c r="D465">
        <v>79.931236267000003</v>
      </c>
      <c r="E465">
        <v>50</v>
      </c>
      <c r="F465">
        <v>15.009606360999999</v>
      </c>
      <c r="G465">
        <v>1345.0230713000001</v>
      </c>
      <c r="H465">
        <v>1341.5231934000001</v>
      </c>
      <c r="I465">
        <v>1314.0679932</v>
      </c>
      <c r="J465">
        <v>1306.0682373</v>
      </c>
      <c r="K465">
        <v>2400</v>
      </c>
      <c r="L465">
        <v>0</v>
      </c>
      <c r="M465">
        <v>0</v>
      </c>
      <c r="N465">
        <v>2400</v>
      </c>
    </row>
    <row r="466" spans="1:14" x14ac:dyDescent="0.25">
      <c r="A466">
        <v>101.833581</v>
      </c>
      <c r="B466" s="1">
        <f>DATE(2010,8,10) + TIME(20,0,21)</f>
        <v>40400.83357638889</v>
      </c>
      <c r="C466">
        <v>80</v>
      </c>
      <c r="D466">
        <v>79.931274414000001</v>
      </c>
      <c r="E466">
        <v>50</v>
      </c>
      <c r="F466">
        <v>15.011221886</v>
      </c>
      <c r="G466">
        <v>1345.0106201000001</v>
      </c>
      <c r="H466">
        <v>1341.5130615</v>
      </c>
      <c r="I466">
        <v>1314.0750731999999</v>
      </c>
      <c r="J466">
        <v>1306.0732422000001</v>
      </c>
      <c r="K466">
        <v>2400</v>
      </c>
      <c r="L466">
        <v>0</v>
      </c>
      <c r="M466">
        <v>0</v>
      </c>
      <c r="N466">
        <v>2400</v>
      </c>
    </row>
    <row r="467" spans="1:14" x14ac:dyDescent="0.25">
      <c r="A467">
        <v>102.585257</v>
      </c>
      <c r="B467" s="1">
        <f>DATE(2010,8,11) + TIME(14,2,46)</f>
        <v>40401.58525462963</v>
      </c>
      <c r="C467">
        <v>80</v>
      </c>
      <c r="D467">
        <v>79.931312560999999</v>
      </c>
      <c r="E467">
        <v>50</v>
      </c>
      <c r="F467">
        <v>15.01308918</v>
      </c>
      <c r="G467">
        <v>1344.9981689000001</v>
      </c>
      <c r="H467">
        <v>1341.5030518000001</v>
      </c>
      <c r="I467">
        <v>1314.0823975000001</v>
      </c>
      <c r="J467">
        <v>1306.0782471</v>
      </c>
      <c r="K467">
        <v>2400</v>
      </c>
      <c r="L467">
        <v>0</v>
      </c>
      <c r="M467">
        <v>0</v>
      </c>
      <c r="N467">
        <v>2400</v>
      </c>
    </row>
    <row r="468" spans="1:14" x14ac:dyDescent="0.25">
      <c r="A468">
        <v>103.339375</v>
      </c>
      <c r="B468" s="1">
        <f>DATE(2010,8,12) + TIME(8,8,41)</f>
        <v>40402.339363425926</v>
      </c>
      <c r="C468">
        <v>80</v>
      </c>
      <c r="D468">
        <v>79.931350707999997</v>
      </c>
      <c r="E468">
        <v>50</v>
      </c>
      <c r="F468">
        <v>15.015246391</v>
      </c>
      <c r="G468">
        <v>1344.9857178</v>
      </c>
      <c r="H468">
        <v>1341.4929199000001</v>
      </c>
      <c r="I468">
        <v>1314.0899658000001</v>
      </c>
      <c r="J468">
        <v>1306.083374</v>
      </c>
      <c r="K468">
        <v>2400</v>
      </c>
      <c r="L468">
        <v>0</v>
      </c>
      <c r="M468">
        <v>0</v>
      </c>
      <c r="N468">
        <v>2400</v>
      </c>
    </row>
    <row r="469" spans="1:14" x14ac:dyDescent="0.25">
      <c r="A469">
        <v>104.096244</v>
      </c>
      <c r="B469" s="1">
        <f>DATE(2010,8,13) + TIME(2,18,35)</f>
        <v>40403.096238425926</v>
      </c>
      <c r="C469">
        <v>80</v>
      </c>
      <c r="D469">
        <v>79.931388854999994</v>
      </c>
      <c r="E469">
        <v>50</v>
      </c>
      <c r="F469">
        <v>15.017738341999999</v>
      </c>
      <c r="G469">
        <v>1344.9733887</v>
      </c>
      <c r="H469">
        <v>1341.4830322</v>
      </c>
      <c r="I469">
        <v>1314.0975341999999</v>
      </c>
      <c r="J469">
        <v>1306.0886230000001</v>
      </c>
      <c r="K469">
        <v>2400</v>
      </c>
      <c r="L469">
        <v>0</v>
      </c>
      <c r="M469">
        <v>0</v>
      </c>
      <c r="N469">
        <v>2400</v>
      </c>
    </row>
    <row r="470" spans="1:14" x14ac:dyDescent="0.25">
      <c r="A470">
        <v>104.47673</v>
      </c>
      <c r="B470" s="1">
        <f>DATE(2010,8,13) + TIME(11,26,29)</f>
        <v>40403.476724537039</v>
      </c>
      <c r="C470">
        <v>80</v>
      </c>
      <c r="D470">
        <v>79.931396484000004</v>
      </c>
      <c r="E470">
        <v>50</v>
      </c>
      <c r="F470">
        <v>15.019616127000001</v>
      </c>
      <c r="G470">
        <v>1344.9609375</v>
      </c>
      <c r="H470">
        <v>1341.4729004000001</v>
      </c>
      <c r="I470">
        <v>1314.1055908000001</v>
      </c>
      <c r="J470">
        <v>1306.0938721</v>
      </c>
      <c r="K470">
        <v>2400</v>
      </c>
      <c r="L470">
        <v>0</v>
      </c>
      <c r="M470">
        <v>0</v>
      </c>
      <c r="N470">
        <v>2400</v>
      </c>
    </row>
    <row r="471" spans="1:14" x14ac:dyDescent="0.25">
      <c r="A471">
        <v>104.85721599999999</v>
      </c>
      <c r="B471" s="1">
        <f>DATE(2010,8,13) + TIME(20,34,23)</f>
        <v>40403.857210648152</v>
      </c>
      <c r="C471">
        <v>80</v>
      </c>
      <c r="D471">
        <v>79.931411742999998</v>
      </c>
      <c r="E471">
        <v>50</v>
      </c>
      <c r="F471">
        <v>15.021503448000001</v>
      </c>
      <c r="G471">
        <v>1344.9547118999999</v>
      </c>
      <c r="H471">
        <v>1341.4678954999999</v>
      </c>
      <c r="I471">
        <v>1314.1096190999999</v>
      </c>
      <c r="J471">
        <v>1306.0966797000001</v>
      </c>
      <c r="K471">
        <v>2400</v>
      </c>
      <c r="L471">
        <v>0</v>
      </c>
      <c r="M471">
        <v>0</v>
      </c>
      <c r="N471">
        <v>2400</v>
      </c>
    </row>
    <row r="472" spans="1:14" x14ac:dyDescent="0.25">
      <c r="A472">
        <v>105.237702</v>
      </c>
      <c r="B472" s="1">
        <f>DATE(2010,8,14) + TIME(5,42,17)</f>
        <v>40404.237696759257</v>
      </c>
      <c r="C472">
        <v>80</v>
      </c>
      <c r="D472">
        <v>79.931427002000007</v>
      </c>
      <c r="E472">
        <v>50</v>
      </c>
      <c r="F472">
        <v>15.023439407</v>
      </c>
      <c r="G472">
        <v>1344.9486084</v>
      </c>
      <c r="H472">
        <v>1341.4628906</v>
      </c>
      <c r="I472">
        <v>1314.1136475000001</v>
      </c>
      <c r="J472">
        <v>1306.0994873</v>
      </c>
      <c r="K472">
        <v>2400</v>
      </c>
      <c r="L472">
        <v>0</v>
      </c>
      <c r="M472">
        <v>0</v>
      </c>
      <c r="N472">
        <v>2400</v>
      </c>
    </row>
    <row r="473" spans="1:14" x14ac:dyDescent="0.25">
      <c r="A473">
        <v>105.618188</v>
      </c>
      <c r="B473" s="1">
        <f>DATE(2010,8,14) + TIME(14,50,11)</f>
        <v>40404.61818287037</v>
      </c>
      <c r="C473">
        <v>80</v>
      </c>
      <c r="D473">
        <v>79.931442261000001</v>
      </c>
      <c r="E473">
        <v>50</v>
      </c>
      <c r="F473">
        <v>15.025455474999999</v>
      </c>
      <c r="G473">
        <v>1344.9423827999999</v>
      </c>
      <c r="H473">
        <v>1341.4578856999999</v>
      </c>
      <c r="I473">
        <v>1314.1177978999999</v>
      </c>
      <c r="J473">
        <v>1306.1022949000001</v>
      </c>
      <c r="K473">
        <v>2400</v>
      </c>
      <c r="L473">
        <v>0</v>
      </c>
      <c r="M473">
        <v>0</v>
      </c>
      <c r="N473">
        <v>2400</v>
      </c>
    </row>
    <row r="474" spans="1:14" x14ac:dyDescent="0.25">
      <c r="A474">
        <v>105.99867399999999</v>
      </c>
      <c r="B474" s="1">
        <f>DATE(2010,8,14) + TIME(23,58,5)</f>
        <v>40404.998668981483</v>
      </c>
      <c r="C474">
        <v>80</v>
      </c>
      <c r="D474">
        <v>79.931457519999995</v>
      </c>
      <c r="E474">
        <v>50</v>
      </c>
      <c r="F474">
        <v>15.027576447</v>
      </c>
      <c r="G474">
        <v>1344.9362793</v>
      </c>
      <c r="H474">
        <v>1341.4528809000001</v>
      </c>
      <c r="I474">
        <v>1314.1220702999999</v>
      </c>
      <c r="J474">
        <v>1306.1051024999999</v>
      </c>
      <c r="K474">
        <v>2400</v>
      </c>
      <c r="L474">
        <v>0</v>
      </c>
      <c r="M474">
        <v>0</v>
      </c>
      <c r="N474">
        <v>2400</v>
      </c>
    </row>
    <row r="475" spans="1:14" x14ac:dyDescent="0.25">
      <c r="A475">
        <v>106.37916</v>
      </c>
      <c r="B475" s="1">
        <f>DATE(2010,8,15) + TIME(9,5,59)</f>
        <v>40405.379155092596</v>
      </c>
      <c r="C475">
        <v>80</v>
      </c>
      <c r="D475">
        <v>79.931480407999999</v>
      </c>
      <c r="E475">
        <v>50</v>
      </c>
      <c r="F475">
        <v>15.02982235</v>
      </c>
      <c r="G475">
        <v>1344.9301757999999</v>
      </c>
      <c r="H475">
        <v>1341.4479980000001</v>
      </c>
      <c r="I475">
        <v>1314.1263428</v>
      </c>
      <c r="J475">
        <v>1306.1080322</v>
      </c>
      <c r="K475">
        <v>2400</v>
      </c>
      <c r="L475">
        <v>0</v>
      </c>
      <c r="M475">
        <v>0</v>
      </c>
      <c r="N475">
        <v>2400</v>
      </c>
    </row>
    <row r="476" spans="1:14" x14ac:dyDescent="0.25">
      <c r="A476">
        <v>106.759647</v>
      </c>
      <c r="B476" s="1">
        <f>DATE(2010,8,15) + TIME(18,13,53)</f>
        <v>40405.759641203702</v>
      </c>
      <c r="C476">
        <v>80</v>
      </c>
      <c r="D476">
        <v>79.931503296000002</v>
      </c>
      <c r="E476">
        <v>50</v>
      </c>
      <c r="F476">
        <v>15.03221035</v>
      </c>
      <c r="G476">
        <v>1344.9240723</v>
      </c>
      <c r="H476">
        <v>1341.4429932</v>
      </c>
      <c r="I476">
        <v>1314.1306152</v>
      </c>
      <c r="J476">
        <v>1306.1109618999999</v>
      </c>
      <c r="K476">
        <v>2400</v>
      </c>
      <c r="L476">
        <v>0</v>
      </c>
      <c r="M476">
        <v>0</v>
      </c>
      <c r="N476">
        <v>2400</v>
      </c>
    </row>
    <row r="477" spans="1:14" x14ac:dyDescent="0.25">
      <c r="A477">
        <v>107.14013300000001</v>
      </c>
      <c r="B477" s="1">
        <f>DATE(2010,8,16) + TIME(3,21,47)</f>
        <v>40406.140127314815</v>
      </c>
      <c r="C477">
        <v>80</v>
      </c>
      <c r="D477">
        <v>79.931518554999997</v>
      </c>
      <c r="E477">
        <v>50</v>
      </c>
      <c r="F477">
        <v>15.034756659999999</v>
      </c>
      <c r="G477">
        <v>1344.9180908000001</v>
      </c>
      <c r="H477">
        <v>1341.4381103999999</v>
      </c>
      <c r="I477">
        <v>1314.1348877</v>
      </c>
      <c r="J477">
        <v>1306.1138916</v>
      </c>
      <c r="K477">
        <v>2400</v>
      </c>
      <c r="L477">
        <v>0</v>
      </c>
      <c r="M477">
        <v>0</v>
      </c>
      <c r="N477">
        <v>2400</v>
      </c>
    </row>
    <row r="478" spans="1:14" x14ac:dyDescent="0.25">
      <c r="A478">
        <v>107.520619</v>
      </c>
      <c r="B478" s="1">
        <f>DATE(2010,8,16) + TIME(12,29,41)</f>
        <v>40406.520613425928</v>
      </c>
      <c r="C478">
        <v>80</v>
      </c>
      <c r="D478">
        <v>79.931541443</v>
      </c>
      <c r="E478">
        <v>50</v>
      </c>
      <c r="F478">
        <v>15.03747654</v>
      </c>
      <c r="G478">
        <v>1344.9119873</v>
      </c>
      <c r="H478">
        <v>1341.4331055</v>
      </c>
      <c r="I478">
        <v>1314.1394043</v>
      </c>
      <c r="J478">
        <v>1306.1169434000001</v>
      </c>
      <c r="K478">
        <v>2400</v>
      </c>
      <c r="L478">
        <v>0</v>
      </c>
      <c r="M478">
        <v>0</v>
      </c>
      <c r="N478">
        <v>2400</v>
      </c>
    </row>
    <row r="479" spans="1:14" x14ac:dyDescent="0.25">
      <c r="A479">
        <v>107.901105</v>
      </c>
      <c r="B479" s="1">
        <f>DATE(2010,8,16) + TIME(21,37,35)</f>
        <v>40406.901099537034</v>
      </c>
      <c r="C479">
        <v>80</v>
      </c>
      <c r="D479">
        <v>79.931556701999995</v>
      </c>
      <c r="E479">
        <v>50</v>
      </c>
      <c r="F479">
        <v>15.040385246</v>
      </c>
      <c r="G479">
        <v>1344.9060059000001</v>
      </c>
      <c r="H479">
        <v>1341.4282227000001</v>
      </c>
      <c r="I479">
        <v>1314.1437988</v>
      </c>
      <c r="J479">
        <v>1306.1198730000001</v>
      </c>
      <c r="K479">
        <v>2400</v>
      </c>
      <c r="L479">
        <v>0</v>
      </c>
      <c r="M479">
        <v>0</v>
      </c>
      <c r="N479">
        <v>2400</v>
      </c>
    </row>
    <row r="480" spans="1:14" x14ac:dyDescent="0.25">
      <c r="A480">
        <v>108.662077</v>
      </c>
      <c r="B480" s="1">
        <f>DATE(2010,8,17) + TIME(15,53,23)</f>
        <v>40407.66207175926</v>
      </c>
      <c r="C480">
        <v>80</v>
      </c>
      <c r="D480">
        <v>79.931610106999997</v>
      </c>
      <c r="E480">
        <v>50</v>
      </c>
      <c r="F480">
        <v>15.045150757</v>
      </c>
      <c r="G480">
        <v>1344.9000243999999</v>
      </c>
      <c r="H480">
        <v>1341.4234618999999</v>
      </c>
      <c r="I480">
        <v>1314.1481934000001</v>
      </c>
      <c r="J480">
        <v>1306.1230469</v>
      </c>
      <c r="K480">
        <v>2400</v>
      </c>
      <c r="L480">
        <v>0</v>
      </c>
      <c r="M480">
        <v>0</v>
      </c>
      <c r="N480">
        <v>2400</v>
      </c>
    </row>
    <row r="481" spans="1:14" x14ac:dyDescent="0.25">
      <c r="A481">
        <v>109.424042</v>
      </c>
      <c r="B481" s="1">
        <f>DATE(2010,8,18) + TIME(10,10,37)</f>
        <v>40408.424039351848</v>
      </c>
      <c r="C481">
        <v>80</v>
      </c>
      <c r="D481">
        <v>79.931655883999994</v>
      </c>
      <c r="E481">
        <v>50</v>
      </c>
      <c r="F481">
        <v>15.051265717</v>
      </c>
      <c r="G481">
        <v>1344.8880615</v>
      </c>
      <c r="H481">
        <v>1341.4136963000001</v>
      </c>
      <c r="I481">
        <v>1314.1573486</v>
      </c>
      <c r="J481">
        <v>1306.1292725000001</v>
      </c>
      <c r="K481">
        <v>2400</v>
      </c>
      <c r="L481">
        <v>0</v>
      </c>
      <c r="M481">
        <v>0</v>
      </c>
      <c r="N481">
        <v>2400</v>
      </c>
    </row>
    <row r="482" spans="1:14" x14ac:dyDescent="0.25">
      <c r="A482">
        <v>110.197609</v>
      </c>
      <c r="B482" s="1">
        <f>DATE(2010,8,19) + TIME(4,44,33)</f>
        <v>40409.197604166664</v>
      </c>
      <c r="C482">
        <v>80</v>
      </c>
      <c r="D482">
        <v>79.931701660000002</v>
      </c>
      <c r="E482">
        <v>50</v>
      </c>
      <c r="F482">
        <v>15.058658599999999</v>
      </c>
      <c r="G482">
        <v>1344.8762207</v>
      </c>
      <c r="H482">
        <v>1341.4040527</v>
      </c>
      <c r="I482">
        <v>1314.1668701000001</v>
      </c>
      <c r="J482">
        <v>1306.1356201000001</v>
      </c>
      <c r="K482">
        <v>2400</v>
      </c>
      <c r="L482">
        <v>0</v>
      </c>
      <c r="M482">
        <v>0</v>
      </c>
      <c r="N482">
        <v>2400</v>
      </c>
    </row>
    <row r="483" spans="1:14" x14ac:dyDescent="0.25">
      <c r="A483">
        <v>110.971971</v>
      </c>
      <c r="B483" s="1">
        <f>DATE(2010,8,19) + TIME(23,19,38)</f>
        <v>40409.971967592595</v>
      </c>
      <c r="C483">
        <v>80</v>
      </c>
      <c r="D483">
        <v>79.931747436999999</v>
      </c>
      <c r="E483">
        <v>50</v>
      </c>
      <c r="F483">
        <v>15.067324638000001</v>
      </c>
      <c r="G483">
        <v>1344.8641356999999</v>
      </c>
      <c r="H483">
        <v>1341.3941649999999</v>
      </c>
      <c r="I483">
        <v>1314.1766356999999</v>
      </c>
      <c r="J483">
        <v>1306.1422118999999</v>
      </c>
      <c r="K483">
        <v>2400</v>
      </c>
      <c r="L483">
        <v>0</v>
      </c>
      <c r="M483">
        <v>0</v>
      </c>
      <c r="N483">
        <v>2400</v>
      </c>
    </row>
    <row r="484" spans="1:14" x14ac:dyDescent="0.25">
      <c r="A484">
        <v>111.749228</v>
      </c>
      <c r="B484" s="1">
        <f>DATE(2010,8,20) + TIME(17,58,53)</f>
        <v>40410.749224537038</v>
      </c>
      <c r="C484">
        <v>80</v>
      </c>
      <c r="D484">
        <v>79.931785583000007</v>
      </c>
      <c r="E484">
        <v>50</v>
      </c>
      <c r="F484">
        <v>15.077349663</v>
      </c>
      <c r="G484">
        <v>1344.8521728999999</v>
      </c>
      <c r="H484">
        <v>1341.3843993999999</v>
      </c>
      <c r="I484">
        <v>1314.1867675999999</v>
      </c>
      <c r="J484">
        <v>1306.1490478999999</v>
      </c>
      <c r="K484">
        <v>2400</v>
      </c>
      <c r="L484">
        <v>0</v>
      </c>
      <c r="M484">
        <v>0</v>
      </c>
      <c r="N484">
        <v>2400</v>
      </c>
    </row>
    <row r="485" spans="1:14" x14ac:dyDescent="0.25">
      <c r="A485">
        <v>112.53134900000001</v>
      </c>
      <c r="B485" s="1">
        <f>DATE(2010,8,21) + TIME(12,45,8)</f>
        <v>40411.531342592592</v>
      </c>
      <c r="C485">
        <v>80</v>
      </c>
      <c r="D485">
        <v>79.931831360000004</v>
      </c>
      <c r="E485">
        <v>50</v>
      </c>
      <c r="F485">
        <v>15.088889121999999</v>
      </c>
      <c r="G485">
        <v>1344.8402100000001</v>
      </c>
      <c r="H485">
        <v>1341.3746338000001</v>
      </c>
      <c r="I485">
        <v>1314.1971435999999</v>
      </c>
      <c r="J485">
        <v>1306.1561279</v>
      </c>
      <c r="K485">
        <v>2400</v>
      </c>
      <c r="L485">
        <v>0</v>
      </c>
      <c r="M485">
        <v>0</v>
      </c>
      <c r="N485">
        <v>2400</v>
      </c>
    </row>
    <row r="486" spans="1:14" x14ac:dyDescent="0.25">
      <c r="A486">
        <v>112.923503</v>
      </c>
      <c r="B486" s="1">
        <f>DATE(2010,8,21) + TIME(22,9,50)</f>
        <v>40411.923495370371</v>
      </c>
      <c r="C486">
        <v>80</v>
      </c>
      <c r="D486">
        <v>79.931838988999999</v>
      </c>
      <c r="E486">
        <v>50</v>
      </c>
      <c r="F486">
        <v>15.097570419</v>
      </c>
      <c r="G486">
        <v>1344.828125</v>
      </c>
      <c r="H486">
        <v>1341.3647461</v>
      </c>
      <c r="I486">
        <v>1314.208374</v>
      </c>
      <c r="J486">
        <v>1306.1634521000001</v>
      </c>
      <c r="K486">
        <v>2400</v>
      </c>
      <c r="L486">
        <v>0</v>
      </c>
      <c r="M486">
        <v>0</v>
      </c>
      <c r="N486">
        <v>2400</v>
      </c>
    </row>
    <row r="487" spans="1:14" x14ac:dyDescent="0.25">
      <c r="A487">
        <v>113.315657</v>
      </c>
      <c r="B487" s="1">
        <f>DATE(2010,8,22) + TIME(7,34,32)</f>
        <v>40412.315648148149</v>
      </c>
      <c r="C487">
        <v>80</v>
      </c>
      <c r="D487">
        <v>79.931854247999993</v>
      </c>
      <c r="E487">
        <v>50</v>
      </c>
      <c r="F487">
        <v>15.106220244999999</v>
      </c>
      <c r="G487">
        <v>1344.8220214999999</v>
      </c>
      <c r="H487">
        <v>1341.3598632999999</v>
      </c>
      <c r="I487">
        <v>1314.2138672000001</v>
      </c>
      <c r="J487">
        <v>1306.1672363</v>
      </c>
      <c r="K487">
        <v>2400</v>
      </c>
      <c r="L487">
        <v>0</v>
      </c>
      <c r="M487">
        <v>0</v>
      </c>
      <c r="N487">
        <v>2400</v>
      </c>
    </row>
    <row r="488" spans="1:14" x14ac:dyDescent="0.25">
      <c r="A488">
        <v>113.70781100000001</v>
      </c>
      <c r="B488" s="1">
        <f>DATE(2010,8,22) + TIME(16,59,14)</f>
        <v>40412.707800925928</v>
      </c>
      <c r="C488">
        <v>80</v>
      </c>
      <c r="D488">
        <v>79.931877135999997</v>
      </c>
      <c r="E488">
        <v>50</v>
      </c>
      <c r="F488">
        <v>15.115031242000001</v>
      </c>
      <c r="G488">
        <v>1344.8160399999999</v>
      </c>
      <c r="H488">
        <v>1341.3549805</v>
      </c>
      <c r="I488">
        <v>1314.2194824000001</v>
      </c>
      <c r="J488">
        <v>1306.1711425999999</v>
      </c>
      <c r="K488">
        <v>2400</v>
      </c>
      <c r="L488">
        <v>0</v>
      </c>
      <c r="M488">
        <v>0</v>
      </c>
      <c r="N488">
        <v>2400</v>
      </c>
    </row>
    <row r="489" spans="1:14" x14ac:dyDescent="0.25">
      <c r="A489">
        <v>114.099965</v>
      </c>
      <c r="B489" s="1">
        <f>DATE(2010,8,23) + TIME(2,23,56)</f>
        <v>40413.099953703706</v>
      </c>
      <c r="C489">
        <v>80</v>
      </c>
      <c r="D489">
        <v>79.931892395000006</v>
      </c>
      <c r="E489">
        <v>50</v>
      </c>
      <c r="F489">
        <v>15.124148369</v>
      </c>
      <c r="G489">
        <v>1344.8101807</v>
      </c>
      <c r="H489">
        <v>1341.3500977000001</v>
      </c>
      <c r="I489">
        <v>1314.2250977000001</v>
      </c>
      <c r="J489">
        <v>1306.1751709</v>
      </c>
      <c r="K489">
        <v>2400</v>
      </c>
      <c r="L489">
        <v>0</v>
      </c>
      <c r="M489">
        <v>0</v>
      </c>
      <c r="N489">
        <v>2400</v>
      </c>
    </row>
    <row r="490" spans="1:14" x14ac:dyDescent="0.25">
      <c r="A490">
        <v>114.492119</v>
      </c>
      <c r="B490" s="1">
        <f>DATE(2010,8,23) + TIME(11,48,39)</f>
        <v>40413.492118055554</v>
      </c>
      <c r="C490">
        <v>80</v>
      </c>
      <c r="D490">
        <v>79.931915282999995</v>
      </c>
      <c r="E490">
        <v>50</v>
      </c>
      <c r="F490">
        <v>15.133680344</v>
      </c>
      <c r="G490">
        <v>1344.8041992000001</v>
      </c>
      <c r="H490">
        <v>1341.3452147999999</v>
      </c>
      <c r="I490">
        <v>1314.230957</v>
      </c>
      <c r="J490">
        <v>1306.1791992000001</v>
      </c>
      <c r="K490">
        <v>2400</v>
      </c>
      <c r="L490">
        <v>0</v>
      </c>
      <c r="M490">
        <v>0</v>
      </c>
      <c r="N490">
        <v>2400</v>
      </c>
    </row>
    <row r="491" spans="1:14" x14ac:dyDescent="0.25">
      <c r="A491">
        <v>114.88427299999999</v>
      </c>
      <c r="B491" s="1">
        <f>DATE(2010,8,23) + TIME(21,13,21)</f>
        <v>40413.884270833332</v>
      </c>
      <c r="C491">
        <v>80</v>
      </c>
      <c r="D491">
        <v>79.931938170999999</v>
      </c>
      <c r="E491">
        <v>50</v>
      </c>
      <c r="F491">
        <v>15.143716811999999</v>
      </c>
      <c r="G491">
        <v>1344.7982178</v>
      </c>
      <c r="H491">
        <v>1341.340332</v>
      </c>
      <c r="I491">
        <v>1314.2368164</v>
      </c>
      <c r="J491">
        <v>1306.1833495999999</v>
      </c>
      <c r="K491">
        <v>2400</v>
      </c>
      <c r="L491">
        <v>0</v>
      </c>
      <c r="M491">
        <v>0</v>
      </c>
      <c r="N491">
        <v>2400</v>
      </c>
    </row>
    <row r="492" spans="1:14" x14ac:dyDescent="0.25">
      <c r="A492">
        <v>115.276428</v>
      </c>
      <c r="B492" s="1">
        <f>DATE(2010,8,24) + TIME(6,38,3)</f>
        <v>40414.276423611111</v>
      </c>
      <c r="C492">
        <v>80</v>
      </c>
      <c r="D492">
        <v>79.931961060000006</v>
      </c>
      <c r="E492">
        <v>50</v>
      </c>
      <c r="F492">
        <v>15.154330254</v>
      </c>
      <c r="G492">
        <v>1344.7923584</v>
      </c>
      <c r="H492">
        <v>1341.3354492000001</v>
      </c>
      <c r="I492">
        <v>1314.2427978999999</v>
      </c>
      <c r="J492">
        <v>1306.1875</v>
      </c>
      <c r="K492">
        <v>2400</v>
      </c>
      <c r="L492">
        <v>0</v>
      </c>
      <c r="M492">
        <v>0</v>
      </c>
      <c r="N492">
        <v>2400</v>
      </c>
    </row>
    <row r="493" spans="1:14" x14ac:dyDescent="0.25">
      <c r="A493">
        <v>115.668582</v>
      </c>
      <c r="B493" s="1">
        <f>DATE(2010,8,24) + TIME(16,2,45)</f>
        <v>40414.668576388889</v>
      </c>
      <c r="C493">
        <v>80</v>
      </c>
      <c r="D493">
        <v>79.931983947999996</v>
      </c>
      <c r="E493">
        <v>50</v>
      </c>
      <c r="F493">
        <v>15.165584564</v>
      </c>
      <c r="G493">
        <v>1344.786499</v>
      </c>
      <c r="H493">
        <v>1341.3306885</v>
      </c>
      <c r="I493">
        <v>1314.2487793</v>
      </c>
      <c r="J493">
        <v>1306.1917725000001</v>
      </c>
      <c r="K493">
        <v>2400</v>
      </c>
      <c r="L493">
        <v>0</v>
      </c>
      <c r="M493">
        <v>0</v>
      </c>
      <c r="N493">
        <v>2400</v>
      </c>
    </row>
    <row r="494" spans="1:14" x14ac:dyDescent="0.25">
      <c r="A494">
        <v>116.45289</v>
      </c>
      <c r="B494" s="1">
        <f>DATE(2010,8,25) + TIME(10,52,9)</f>
        <v>40415.452881944446</v>
      </c>
      <c r="C494">
        <v>80</v>
      </c>
      <c r="D494">
        <v>79.932037354000002</v>
      </c>
      <c r="E494">
        <v>50</v>
      </c>
      <c r="F494">
        <v>15.183791161</v>
      </c>
      <c r="G494">
        <v>1344.7806396000001</v>
      </c>
      <c r="H494">
        <v>1341.3259277</v>
      </c>
      <c r="I494">
        <v>1314.2543945</v>
      </c>
      <c r="J494">
        <v>1306.1962891000001</v>
      </c>
      <c r="K494">
        <v>2400</v>
      </c>
      <c r="L494">
        <v>0</v>
      </c>
      <c r="M494">
        <v>0</v>
      </c>
      <c r="N494">
        <v>2400</v>
      </c>
    </row>
    <row r="495" spans="1:14" x14ac:dyDescent="0.25">
      <c r="A495">
        <v>117.23989899999999</v>
      </c>
      <c r="B495" s="1">
        <f>DATE(2010,8,26) + TIME(5,45,27)</f>
        <v>40416.239895833336</v>
      </c>
      <c r="C495">
        <v>80</v>
      </c>
      <c r="D495">
        <v>79.932083129999995</v>
      </c>
      <c r="E495">
        <v>50</v>
      </c>
      <c r="F495">
        <v>15.207062721</v>
      </c>
      <c r="G495">
        <v>1344.769043</v>
      </c>
      <c r="H495">
        <v>1341.3164062000001</v>
      </c>
      <c r="I495">
        <v>1314.2669678</v>
      </c>
      <c r="J495">
        <v>1306.2050781</v>
      </c>
      <c r="K495">
        <v>2400</v>
      </c>
      <c r="L495">
        <v>0</v>
      </c>
      <c r="M495">
        <v>0</v>
      </c>
      <c r="N495">
        <v>2400</v>
      </c>
    </row>
    <row r="496" spans="1:14" x14ac:dyDescent="0.25">
      <c r="A496">
        <v>118.03393800000001</v>
      </c>
      <c r="B496" s="1">
        <f>DATE(2010,8,27) + TIME(0,48,52)</f>
        <v>40417.033935185187</v>
      </c>
      <c r="C496">
        <v>80</v>
      </c>
      <c r="D496">
        <v>79.932136536000002</v>
      </c>
      <c r="E496">
        <v>50</v>
      </c>
      <c r="F496">
        <v>15.234912872000001</v>
      </c>
      <c r="G496">
        <v>1344.7573242000001</v>
      </c>
      <c r="H496">
        <v>1341.3067627</v>
      </c>
      <c r="I496">
        <v>1314.2800293</v>
      </c>
      <c r="J496">
        <v>1306.2142334</v>
      </c>
      <c r="K496">
        <v>2400</v>
      </c>
      <c r="L496">
        <v>0</v>
      </c>
      <c r="M496">
        <v>0</v>
      </c>
      <c r="N496">
        <v>2400</v>
      </c>
    </row>
    <row r="497" spans="1:14" x14ac:dyDescent="0.25">
      <c r="A497">
        <v>118.83023900000001</v>
      </c>
      <c r="B497" s="1">
        <f>DATE(2010,8,27) + TIME(19,55,32)</f>
        <v>40417.830231481479</v>
      </c>
      <c r="C497">
        <v>80</v>
      </c>
      <c r="D497">
        <v>79.932182311999995</v>
      </c>
      <c r="E497">
        <v>50</v>
      </c>
      <c r="F497">
        <v>15.267255783</v>
      </c>
      <c r="G497">
        <v>1344.7456055</v>
      </c>
      <c r="H497">
        <v>1341.2971190999999</v>
      </c>
      <c r="I497">
        <v>1314.293457</v>
      </c>
      <c r="J497">
        <v>1306.223999</v>
      </c>
      <c r="K497">
        <v>2400</v>
      </c>
      <c r="L497">
        <v>0</v>
      </c>
      <c r="M497">
        <v>0</v>
      </c>
      <c r="N497">
        <v>2400</v>
      </c>
    </row>
    <row r="498" spans="1:14" x14ac:dyDescent="0.25">
      <c r="A498">
        <v>119.230628</v>
      </c>
      <c r="B498" s="1">
        <f>DATE(2010,8,28) + TIME(5,32,6)</f>
        <v>40418.230624999997</v>
      </c>
      <c r="C498">
        <v>80</v>
      </c>
      <c r="D498">
        <v>79.932189941000004</v>
      </c>
      <c r="E498">
        <v>50</v>
      </c>
      <c r="F498">
        <v>15.291722298</v>
      </c>
      <c r="G498">
        <v>1344.7337646000001</v>
      </c>
      <c r="H498">
        <v>1341.2873535000001</v>
      </c>
      <c r="I498">
        <v>1314.3085937999999</v>
      </c>
      <c r="J498">
        <v>1306.2337646000001</v>
      </c>
      <c r="K498">
        <v>2400</v>
      </c>
      <c r="L498">
        <v>0</v>
      </c>
      <c r="M498">
        <v>0</v>
      </c>
      <c r="N498">
        <v>2400</v>
      </c>
    </row>
    <row r="499" spans="1:14" x14ac:dyDescent="0.25">
      <c r="A499">
        <v>119.631018</v>
      </c>
      <c r="B499" s="1">
        <f>DATE(2010,8,28) + TIME(15,8,39)</f>
        <v>40418.631006944444</v>
      </c>
      <c r="C499">
        <v>80</v>
      </c>
      <c r="D499">
        <v>79.932212829999997</v>
      </c>
      <c r="E499">
        <v>50</v>
      </c>
      <c r="F499">
        <v>15.315970420999999</v>
      </c>
      <c r="G499">
        <v>1344.7277832</v>
      </c>
      <c r="H499">
        <v>1341.2824707</v>
      </c>
      <c r="I499">
        <v>1314.3154297000001</v>
      </c>
      <c r="J499">
        <v>1306.2392577999999</v>
      </c>
      <c r="K499">
        <v>2400</v>
      </c>
      <c r="L499">
        <v>0</v>
      </c>
      <c r="M499">
        <v>0</v>
      </c>
      <c r="N499">
        <v>2400</v>
      </c>
    </row>
    <row r="500" spans="1:14" x14ac:dyDescent="0.25">
      <c r="A500">
        <v>120.031408</v>
      </c>
      <c r="B500" s="1">
        <f>DATE(2010,8,29) + TIME(0,45,13)</f>
        <v>40419.031400462962</v>
      </c>
      <c r="C500">
        <v>80</v>
      </c>
      <c r="D500">
        <v>79.932228088000002</v>
      </c>
      <c r="E500">
        <v>50</v>
      </c>
      <c r="F500">
        <v>15.340545654</v>
      </c>
      <c r="G500">
        <v>1344.7219238</v>
      </c>
      <c r="H500">
        <v>1341.2775879000001</v>
      </c>
      <c r="I500">
        <v>1314.3225098</v>
      </c>
      <c r="J500">
        <v>1306.244751</v>
      </c>
      <c r="K500">
        <v>2400</v>
      </c>
      <c r="L500">
        <v>0</v>
      </c>
      <c r="M500">
        <v>0</v>
      </c>
      <c r="N500">
        <v>2400</v>
      </c>
    </row>
    <row r="501" spans="1:14" x14ac:dyDescent="0.25">
      <c r="A501">
        <v>120.431797</v>
      </c>
      <c r="B501" s="1">
        <f>DATE(2010,8,29) + TIME(10,21,47)</f>
        <v>40419.431793981479</v>
      </c>
      <c r="C501">
        <v>80</v>
      </c>
      <c r="D501">
        <v>79.932250976999995</v>
      </c>
      <c r="E501">
        <v>50</v>
      </c>
      <c r="F501">
        <v>15.365844727000001</v>
      </c>
      <c r="G501">
        <v>1344.7161865</v>
      </c>
      <c r="H501">
        <v>1341.2727050999999</v>
      </c>
      <c r="I501">
        <v>1314.3298339999999</v>
      </c>
      <c r="J501">
        <v>1306.2504882999999</v>
      </c>
      <c r="K501">
        <v>2400</v>
      </c>
      <c r="L501">
        <v>0</v>
      </c>
      <c r="M501">
        <v>0</v>
      </c>
      <c r="N501">
        <v>2400</v>
      </c>
    </row>
    <row r="502" spans="1:14" x14ac:dyDescent="0.25">
      <c r="A502">
        <v>120.83152</v>
      </c>
      <c r="B502" s="1">
        <f>DATE(2010,8,29) + TIME(19,57,23)</f>
        <v>40419.831516203703</v>
      </c>
      <c r="C502">
        <v>80</v>
      </c>
      <c r="D502">
        <v>79.932273864999999</v>
      </c>
      <c r="E502">
        <v>50</v>
      </c>
      <c r="F502">
        <v>15.392133713</v>
      </c>
      <c r="G502">
        <v>1344.7103271000001</v>
      </c>
      <c r="H502">
        <v>1341.2679443</v>
      </c>
      <c r="I502">
        <v>1314.3371582</v>
      </c>
      <c r="J502">
        <v>1306.2562256000001</v>
      </c>
      <c r="K502">
        <v>2400</v>
      </c>
      <c r="L502">
        <v>0</v>
      </c>
      <c r="M502">
        <v>0</v>
      </c>
      <c r="N502">
        <v>2400</v>
      </c>
    </row>
    <row r="503" spans="1:14" x14ac:dyDescent="0.25">
      <c r="A503">
        <v>121.230574</v>
      </c>
      <c r="B503" s="1">
        <f>DATE(2010,8,30) + TIME(5,32,1)</f>
        <v>40420.230567129627</v>
      </c>
      <c r="C503">
        <v>80</v>
      </c>
      <c r="D503">
        <v>79.932296753000003</v>
      </c>
      <c r="E503">
        <v>50</v>
      </c>
      <c r="F503">
        <v>15.419632912000001</v>
      </c>
      <c r="G503">
        <v>1344.7044678</v>
      </c>
      <c r="H503">
        <v>1341.2631836</v>
      </c>
      <c r="I503">
        <v>1314.3447266000001</v>
      </c>
      <c r="J503">
        <v>1306.2620850000001</v>
      </c>
      <c r="K503">
        <v>2400</v>
      </c>
      <c r="L503">
        <v>0</v>
      </c>
      <c r="M503">
        <v>0</v>
      </c>
      <c r="N503">
        <v>2400</v>
      </c>
    </row>
    <row r="504" spans="1:14" x14ac:dyDescent="0.25">
      <c r="A504">
        <v>121.629012</v>
      </c>
      <c r="B504" s="1">
        <f>DATE(2010,8,30) + TIME(15,5,46)</f>
        <v>40420.629004629627</v>
      </c>
      <c r="C504">
        <v>80</v>
      </c>
      <c r="D504">
        <v>79.932319641000007</v>
      </c>
      <c r="E504">
        <v>50</v>
      </c>
      <c r="F504">
        <v>15.448519707000001</v>
      </c>
      <c r="G504">
        <v>1344.6987305</v>
      </c>
      <c r="H504">
        <v>1341.2583007999999</v>
      </c>
      <c r="I504">
        <v>1314.3522949000001</v>
      </c>
      <c r="J504">
        <v>1306.2680664</v>
      </c>
      <c r="K504">
        <v>2400</v>
      </c>
      <c r="L504">
        <v>0</v>
      </c>
      <c r="M504">
        <v>0</v>
      </c>
      <c r="N504">
        <v>2400</v>
      </c>
    </row>
    <row r="505" spans="1:14" x14ac:dyDescent="0.25">
      <c r="A505">
        <v>122.026912</v>
      </c>
      <c r="B505" s="1">
        <f>DATE(2010,8,31) + TIME(0,38,45)</f>
        <v>40421.026909722219</v>
      </c>
      <c r="C505">
        <v>80</v>
      </c>
      <c r="D505">
        <v>79.932342528999996</v>
      </c>
      <c r="E505">
        <v>50</v>
      </c>
      <c r="F505">
        <v>15.478941917</v>
      </c>
      <c r="G505">
        <v>1344.6929932</v>
      </c>
      <c r="H505">
        <v>1341.2535399999999</v>
      </c>
      <c r="I505">
        <v>1314.3599853999999</v>
      </c>
      <c r="J505">
        <v>1306.2742920000001</v>
      </c>
      <c r="K505">
        <v>2400</v>
      </c>
      <c r="L505">
        <v>0</v>
      </c>
      <c r="M505">
        <v>0</v>
      </c>
      <c r="N505">
        <v>2400</v>
      </c>
    </row>
    <row r="506" spans="1:14" x14ac:dyDescent="0.25">
      <c r="A506">
        <v>122.42436499999999</v>
      </c>
      <c r="B506" s="1">
        <f>DATE(2010,8,31) + TIME(10,11,5)</f>
        <v>40421.424363425926</v>
      </c>
      <c r="C506">
        <v>80</v>
      </c>
      <c r="D506">
        <v>79.932365417</v>
      </c>
      <c r="E506">
        <v>50</v>
      </c>
      <c r="F506">
        <v>15.511033058000001</v>
      </c>
      <c r="G506">
        <v>1344.6871338000001</v>
      </c>
      <c r="H506">
        <v>1341.2487793</v>
      </c>
      <c r="I506">
        <v>1314.3679199000001</v>
      </c>
      <c r="J506">
        <v>1306.2805175999999</v>
      </c>
      <c r="K506">
        <v>2400</v>
      </c>
      <c r="L506">
        <v>0</v>
      </c>
      <c r="M506">
        <v>0</v>
      </c>
      <c r="N506">
        <v>2400</v>
      </c>
    </row>
    <row r="507" spans="1:14" x14ac:dyDescent="0.25">
      <c r="A507">
        <v>123</v>
      </c>
      <c r="B507" s="1">
        <f>DATE(2010,9,1) + TIME(0,0,0)</f>
        <v>40422</v>
      </c>
      <c r="C507">
        <v>80</v>
      </c>
      <c r="D507">
        <v>79.932403563999998</v>
      </c>
      <c r="E507">
        <v>50</v>
      </c>
      <c r="F507">
        <v>15.553976059</v>
      </c>
      <c r="G507">
        <v>1344.6815185999999</v>
      </c>
      <c r="H507">
        <v>1341.2441406</v>
      </c>
      <c r="I507">
        <v>1314.3747559000001</v>
      </c>
      <c r="J507">
        <v>1306.2872314000001</v>
      </c>
      <c r="K507">
        <v>2400</v>
      </c>
      <c r="L507">
        <v>0</v>
      </c>
      <c r="M507">
        <v>0</v>
      </c>
      <c r="N507">
        <v>2400</v>
      </c>
    </row>
    <row r="508" spans="1:14" x14ac:dyDescent="0.25">
      <c r="A508">
        <v>123.794231</v>
      </c>
      <c r="B508" s="1">
        <f>DATE(2010,9,1) + TIME(19,3,41)</f>
        <v>40422.794224537036</v>
      </c>
      <c r="C508">
        <v>80</v>
      </c>
      <c r="D508">
        <v>79.932456970000004</v>
      </c>
      <c r="E508">
        <v>50</v>
      </c>
      <c r="F508">
        <v>15.612545013</v>
      </c>
      <c r="G508">
        <v>1344.6733397999999</v>
      </c>
      <c r="H508">
        <v>1341.2373047000001</v>
      </c>
      <c r="I508">
        <v>1314.3858643000001</v>
      </c>
      <c r="J508">
        <v>1306.2969971</v>
      </c>
      <c r="K508">
        <v>2400</v>
      </c>
      <c r="L508">
        <v>0</v>
      </c>
      <c r="M508">
        <v>0</v>
      </c>
      <c r="N508">
        <v>2400</v>
      </c>
    </row>
    <row r="509" spans="1:14" x14ac:dyDescent="0.25">
      <c r="A509">
        <v>124.597494</v>
      </c>
      <c r="B509" s="1">
        <f>DATE(2010,9,2) + TIME(14,20,23)</f>
        <v>40423.597488425927</v>
      </c>
      <c r="C509">
        <v>80</v>
      </c>
      <c r="D509">
        <v>79.932510375999996</v>
      </c>
      <c r="E509">
        <v>50</v>
      </c>
      <c r="F509">
        <v>15.685050011</v>
      </c>
      <c r="G509">
        <v>1344.6618652</v>
      </c>
      <c r="H509">
        <v>1341.2279053</v>
      </c>
      <c r="I509">
        <v>1314.4024658000001</v>
      </c>
      <c r="J509">
        <v>1306.3104248</v>
      </c>
      <c r="K509">
        <v>2400</v>
      </c>
      <c r="L509">
        <v>0</v>
      </c>
      <c r="M509">
        <v>0</v>
      </c>
      <c r="N509">
        <v>2400</v>
      </c>
    </row>
    <row r="510" spans="1:14" x14ac:dyDescent="0.25">
      <c r="A510">
        <v>125.412477</v>
      </c>
      <c r="B510" s="1">
        <f>DATE(2010,9,3) + TIME(9,53,57)</f>
        <v>40424.412465277775</v>
      </c>
      <c r="C510">
        <v>80</v>
      </c>
      <c r="D510">
        <v>79.932563782000003</v>
      </c>
      <c r="E510">
        <v>50</v>
      </c>
      <c r="F510">
        <v>15.770304680000001</v>
      </c>
      <c r="G510">
        <v>1344.6505127</v>
      </c>
      <c r="H510">
        <v>1341.2183838000001</v>
      </c>
      <c r="I510">
        <v>1314.4195557</v>
      </c>
      <c r="J510">
        <v>1306.3248291</v>
      </c>
      <c r="K510">
        <v>2400</v>
      </c>
      <c r="L510">
        <v>0</v>
      </c>
      <c r="M510">
        <v>0</v>
      </c>
      <c r="N510">
        <v>2400</v>
      </c>
    </row>
    <row r="511" spans="1:14" x14ac:dyDescent="0.25">
      <c r="A511">
        <v>125.82039899999999</v>
      </c>
      <c r="B511" s="1">
        <f>DATE(2010,9,3) + TIME(19,41,22)</f>
        <v>40424.820393518516</v>
      </c>
      <c r="C511">
        <v>80</v>
      </c>
      <c r="D511">
        <v>79.932579040999997</v>
      </c>
      <c r="E511">
        <v>50</v>
      </c>
      <c r="F511">
        <v>15.834964751999999</v>
      </c>
      <c r="G511">
        <v>1344.6387939000001</v>
      </c>
      <c r="H511">
        <v>1341.2086182</v>
      </c>
      <c r="I511">
        <v>1314.4403076000001</v>
      </c>
      <c r="J511">
        <v>1306.3393555</v>
      </c>
      <c r="K511">
        <v>2400</v>
      </c>
      <c r="L511">
        <v>0</v>
      </c>
      <c r="M511">
        <v>0</v>
      </c>
      <c r="N511">
        <v>2400</v>
      </c>
    </row>
    <row r="512" spans="1:14" x14ac:dyDescent="0.25">
      <c r="A512">
        <v>126.60959699999999</v>
      </c>
      <c r="B512" s="1">
        <f>DATE(2010,9,4) + TIME(14,37,49)</f>
        <v>40425.609594907408</v>
      </c>
      <c r="C512">
        <v>80</v>
      </c>
      <c r="D512">
        <v>79.932624817000004</v>
      </c>
      <c r="E512">
        <v>50</v>
      </c>
      <c r="F512">
        <v>15.928950309999999</v>
      </c>
      <c r="G512">
        <v>1344.6330565999999</v>
      </c>
      <c r="H512">
        <v>1341.2038574000001</v>
      </c>
      <c r="I512">
        <v>1314.4454346</v>
      </c>
      <c r="J512">
        <v>1306.3487548999999</v>
      </c>
      <c r="K512">
        <v>2400</v>
      </c>
      <c r="L512">
        <v>0</v>
      </c>
      <c r="M512">
        <v>0</v>
      </c>
      <c r="N512">
        <v>2400</v>
      </c>
    </row>
    <row r="513" spans="1:14" x14ac:dyDescent="0.25">
      <c r="A513">
        <v>127.41439</v>
      </c>
      <c r="B513" s="1">
        <f>DATE(2010,9,5) + TIME(9,56,43)</f>
        <v>40426.414386574077</v>
      </c>
      <c r="C513">
        <v>80</v>
      </c>
      <c r="D513">
        <v>79.932678222999996</v>
      </c>
      <c r="E513">
        <v>50</v>
      </c>
      <c r="F513">
        <v>16.038805008000001</v>
      </c>
      <c r="G513">
        <v>1344.6219481999999</v>
      </c>
      <c r="H513">
        <v>1341.1945800999999</v>
      </c>
      <c r="I513">
        <v>1314.4630127</v>
      </c>
      <c r="J513">
        <v>1306.3648682</v>
      </c>
      <c r="K513">
        <v>2400</v>
      </c>
      <c r="L513">
        <v>0</v>
      </c>
      <c r="M513">
        <v>0</v>
      </c>
      <c r="N513">
        <v>2400</v>
      </c>
    </row>
    <row r="514" spans="1:14" x14ac:dyDescent="0.25">
      <c r="A514">
        <v>128.22007099999999</v>
      </c>
      <c r="B514" s="1">
        <f>DATE(2010,9,6) + TIME(5,16,54)</f>
        <v>40427.220069444447</v>
      </c>
      <c r="C514">
        <v>80</v>
      </c>
      <c r="D514">
        <v>79.932723999000004</v>
      </c>
      <c r="E514">
        <v>50</v>
      </c>
      <c r="F514">
        <v>16.16343689</v>
      </c>
      <c r="G514">
        <v>1344.6105957</v>
      </c>
      <c r="H514">
        <v>1341.1851807</v>
      </c>
      <c r="I514">
        <v>1314.4812012</v>
      </c>
      <c r="J514">
        <v>1306.3823242000001</v>
      </c>
      <c r="K514">
        <v>2400</v>
      </c>
      <c r="L514">
        <v>0</v>
      </c>
      <c r="M514">
        <v>0</v>
      </c>
      <c r="N514">
        <v>2400</v>
      </c>
    </row>
    <row r="515" spans="1:14" x14ac:dyDescent="0.25">
      <c r="A515">
        <v>129.029684</v>
      </c>
      <c r="B515" s="1">
        <f>DATE(2010,9,7) + TIME(0,42,44)</f>
        <v>40428.029675925929</v>
      </c>
      <c r="C515">
        <v>80</v>
      </c>
      <c r="D515">
        <v>79.932777404999996</v>
      </c>
      <c r="E515">
        <v>50</v>
      </c>
      <c r="F515">
        <v>16.302917480000001</v>
      </c>
      <c r="G515">
        <v>1344.5993652</v>
      </c>
      <c r="H515">
        <v>1341.1757812000001</v>
      </c>
      <c r="I515">
        <v>1314.4993896000001</v>
      </c>
      <c r="J515">
        <v>1306.4006348</v>
      </c>
      <c r="K515">
        <v>2400</v>
      </c>
      <c r="L515">
        <v>0</v>
      </c>
      <c r="M515">
        <v>0</v>
      </c>
      <c r="N515">
        <v>2400</v>
      </c>
    </row>
    <row r="516" spans="1:14" x14ac:dyDescent="0.25">
      <c r="A516">
        <v>129.43703199999999</v>
      </c>
      <c r="B516" s="1">
        <f>DATE(2010,9,7) + TIME(10,29,19)</f>
        <v>40428.437025462961</v>
      </c>
      <c r="C516">
        <v>80</v>
      </c>
      <c r="D516">
        <v>79.932792664000004</v>
      </c>
      <c r="E516">
        <v>50</v>
      </c>
      <c r="F516">
        <v>16.406093597000002</v>
      </c>
      <c r="G516">
        <v>1344.5880127</v>
      </c>
      <c r="H516">
        <v>1341.1662598</v>
      </c>
      <c r="I516">
        <v>1314.5229492000001</v>
      </c>
      <c r="J516">
        <v>1306.4187012</v>
      </c>
      <c r="K516">
        <v>2400</v>
      </c>
      <c r="L516">
        <v>0</v>
      </c>
      <c r="M516">
        <v>0</v>
      </c>
      <c r="N516">
        <v>2400</v>
      </c>
    </row>
    <row r="517" spans="1:14" x14ac:dyDescent="0.25">
      <c r="A517">
        <v>129.844381</v>
      </c>
      <c r="B517" s="1">
        <f>DATE(2010,9,7) + TIME(20,15,54)</f>
        <v>40428.844375000001</v>
      </c>
      <c r="C517">
        <v>80</v>
      </c>
      <c r="D517">
        <v>79.932815551999994</v>
      </c>
      <c r="E517">
        <v>50</v>
      </c>
      <c r="F517">
        <v>16.506046295000001</v>
      </c>
      <c r="G517">
        <v>1344.5822754000001</v>
      </c>
      <c r="H517">
        <v>1341.161499</v>
      </c>
      <c r="I517">
        <v>1314.53125</v>
      </c>
      <c r="J517">
        <v>1306.4296875</v>
      </c>
      <c r="K517">
        <v>2400</v>
      </c>
      <c r="L517">
        <v>0</v>
      </c>
      <c r="M517">
        <v>0</v>
      </c>
      <c r="N517">
        <v>2400</v>
      </c>
    </row>
    <row r="518" spans="1:14" x14ac:dyDescent="0.25">
      <c r="A518">
        <v>130.25172900000001</v>
      </c>
      <c r="B518" s="1">
        <f>DATE(2010,9,8) + TIME(6,2,29)</f>
        <v>40429.25172453704</v>
      </c>
      <c r="C518">
        <v>80</v>
      </c>
      <c r="D518">
        <v>79.932838439999998</v>
      </c>
      <c r="E518">
        <v>50</v>
      </c>
      <c r="F518">
        <v>16.605216980000002</v>
      </c>
      <c r="G518">
        <v>1344.5766602000001</v>
      </c>
      <c r="H518">
        <v>1341.1567382999999</v>
      </c>
      <c r="I518">
        <v>1314.5399170000001</v>
      </c>
      <c r="J518">
        <v>1306.4406738</v>
      </c>
      <c r="K518">
        <v>2400</v>
      </c>
      <c r="L518">
        <v>0</v>
      </c>
      <c r="M518">
        <v>0</v>
      </c>
      <c r="N518">
        <v>2400</v>
      </c>
    </row>
    <row r="519" spans="1:14" x14ac:dyDescent="0.25">
      <c r="A519">
        <v>130.65907799999999</v>
      </c>
      <c r="B519" s="1">
        <f>DATE(2010,9,8) + TIME(15,49,4)</f>
        <v>40429.659074074072</v>
      </c>
      <c r="C519">
        <v>80</v>
      </c>
      <c r="D519">
        <v>79.932861328000001</v>
      </c>
      <c r="E519">
        <v>50</v>
      </c>
      <c r="F519">
        <v>16.705333710000001</v>
      </c>
      <c r="G519">
        <v>1344.5709228999999</v>
      </c>
      <c r="H519">
        <v>1341.1519774999999</v>
      </c>
      <c r="I519">
        <v>1314.5488281</v>
      </c>
      <c r="J519">
        <v>1306.4519043</v>
      </c>
      <c r="K519">
        <v>2400</v>
      </c>
      <c r="L519">
        <v>0</v>
      </c>
      <c r="M519">
        <v>0</v>
      </c>
      <c r="N519">
        <v>2400</v>
      </c>
    </row>
    <row r="520" spans="1:14" x14ac:dyDescent="0.25">
      <c r="A520">
        <v>131.06642600000001</v>
      </c>
      <c r="B520" s="1">
        <f>DATE(2010,9,9) + TIME(1,35,39)</f>
        <v>40430.066423611112</v>
      </c>
      <c r="C520">
        <v>80</v>
      </c>
      <c r="D520">
        <v>79.932884216000005</v>
      </c>
      <c r="E520">
        <v>50</v>
      </c>
      <c r="F520">
        <v>16.807613372999999</v>
      </c>
      <c r="G520">
        <v>1344.5653076000001</v>
      </c>
      <c r="H520">
        <v>1341.1472168</v>
      </c>
      <c r="I520">
        <v>1314.5579834</v>
      </c>
      <c r="J520">
        <v>1306.4632568</v>
      </c>
      <c r="K520">
        <v>2400</v>
      </c>
      <c r="L520">
        <v>0</v>
      </c>
      <c r="M520">
        <v>0</v>
      </c>
      <c r="N520">
        <v>2400</v>
      </c>
    </row>
    <row r="521" spans="1:14" x14ac:dyDescent="0.25">
      <c r="A521">
        <v>131.47377499999999</v>
      </c>
      <c r="B521" s="1">
        <f>DATE(2010,9,9) + TIME(11,22,14)</f>
        <v>40430.473773148151</v>
      </c>
      <c r="C521">
        <v>80</v>
      </c>
      <c r="D521">
        <v>79.932907103999995</v>
      </c>
      <c r="E521">
        <v>50</v>
      </c>
      <c r="F521">
        <v>16.912889481000001</v>
      </c>
      <c r="G521">
        <v>1344.5596923999999</v>
      </c>
      <c r="H521">
        <v>1341.1424560999999</v>
      </c>
      <c r="I521">
        <v>1314.5672606999999</v>
      </c>
      <c r="J521">
        <v>1306.4748535000001</v>
      </c>
      <c r="K521">
        <v>2400</v>
      </c>
      <c r="L521">
        <v>0</v>
      </c>
      <c r="M521">
        <v>0</v>
      </c>
      <c r="N521">
        <v>2400</v>
      </c>
    </row>
    <row r="522" spans="1:14" x14ac:dyDescent="0.25">
      <c r="A522">
        <v>131.881123</v>
      </c>
      <c r="B522" s="1">
        <f>DATE(2010,9,9) + TIME(21,8,49)</f>
        <v>40430.881122685183</v>
      </c>
      <c r="C522">
        <v>80</v>
      </c>
      <c r="D522">
        <v>79.932929993000002</v>
      </c>
      <c r="E522">
        <v>50</v>
      </c>
      <c r="F522">
        <v>17.021772384999998</v>
      </c>
      <c r="G522">
        <v>1344.5540771000001</v>
      </c>
      <c r="H522">
        <v>1341.1378173999999</v>
      </c>
      <c r="I522">
        <v>1314.5766602000001</v>
      </c>
      <c r="J522">
        <v>1306.4868164</v>
      </c>
      <c r="K522">
        <v>2400</v>
      </c>
      <c r="L522">
        <v>0</v>
      </c>
      <c r="M522">
        <v>0</v>
      </c>
      <c r="N522">
        <v>2400</v>
      </c>
    </row>
    <row r="523" spans="1:14" x14ac:dyDescent="0.25">
      <c r="A523">
        <v>132.28847200000001</v>
      </c>
      <c r="B523" s="1">
        <f>DATE(2010,9,10) + TIME(6,55,23)</f>
        <v>40431.288460648146</v>
      </c>
      <c r="C523">
        <v>80</v>
      </c>
      <c r="D523">
        <v>79.932952881000006</v>
      </c>
      <c r="E523">
        <v>50</v>
      </c>
      <c r="F523">
        <v>17.134674071999999</v>
      </c>
      <c r="G523">
        <v>1344.5484618999999</v>
      </c>
      <c r="H523">
        <v>1341.1330565999999</v>
      </c>
      <c r="I523">
        <v>1314.5860596</v>
      </c>
      <c r="J523">
        <v>1306.4989014</v>
      </c>
      <c r="K523">
        <v>2400</v>
      </c>
      <c r="L523">
        <v>0</v>
      </c>
      <c r="M523">
        <v>0</v>
      </c>
      <c r="N523">
        <v>2400</v>
      </c>
    </row>
    <row r="524" spans="1:14" x14ac:dyDescent="0.25">
      <c r="A524">
        <v>132.69582</v>
      </c>
      <c r="B524" s="1">
        <f>DATE(2010,9,10) + TIME(16,41,58)</f>
        <v>40431.695810185185</v>
      </c>
      <c r="C524">
        <v>80</v>
      </c>
      <c r="D524">
        <v>79.932983398000005</v>
      </c>
      <c r="E524">
        <v>50</v>
      </c>
      <c r="F524">
        <v>17.251863480000001</v>
      </c>
      <c r="G524">
        <v>1344.5428466999999</v>
      </c>
      <c r="H524">
        <v>1341.128418</v>
      </c>
      <c r="I524">
        <v>1314.5954589999999</v>
      </c>
      <c r="J524">
        <v>1306.5113524999999</v>
      </c>
      <c r="K524">
        <v>2400</v>
      </c>
      <c r="L524">
        <v>0</v>
      </c>
      <c r="M524">
        <v>0</v>
      </c>
      <c r="N524">
        <v>2400</v>
      </c>
    </row>
    <row r="525" spans="1:14" x14ac:dyDescent="0.25">
      <c r="A525">
        <v>133.10316900000001</v>
      </c>
      <c r="B525" s="1">
        <f>DATE(2010,9,11) + TIME(2,28,33)</f>
        <v>40432.103159722225</v>
      </c>
      <c r="C525">
        <v>80</v>
      </c>
      <c r="D525">
        <v>79.933006286999998</v>
      </c>
      <c r="E525">
        <v>50</v>
      </c>
      <c r="F525">
        <v>17.373510361000001</v>
      </c>
      <c r="G525">
        <v>1344.5372314000001</v>
      </c>
      <c r="H525">
        <v>1341.1236572</v>
      </c>
      <c r="I525">
        <v>1314.6048584</v>
      </c>
      <c r="J525">
        <v>1306.5240478999999</v>
      </c>
      <c r="K525">
        <v>2400</v>
      </c>
      <c r="L525">
        <v>0</v>
      </c>
      <c r="M525">
        <v>0</v>
      </c>
      <c r="N525">
        <v>2400</v>
      </c>
    </row>
    <row r="526" spans="1:14" x14ac:dyDescent="0.25">
      <c r="A526">
        <v>133.51051699999999</v>
      </c>
      <c r="B526" s="1">
        <f>DATE(2010,9,11) + TIME(12,15,8)</f>
        <v>40432.510509259257</v>
      </c>
      <c r="C526">
        <v>80</v>
      </c>
      <c r="D526">
        <v>79.933029175000001</v>
      </c>
      <c r="E526">
        <v>50</v>
      </c>
      <c r="F526">
        <v>17.499713898</v>
      </c>
      <c r="G526">
        <v>1344.5317382999999</v>
      </c>
      <c r="H526">
        <v>1341.1190185999999</v>
      </c>
      <c r="I526">
        <v>1314.6142577999999</v>
      </c>
      <c r="J526">
        <v>1306.5371094</v>
      </c>
      <c r="K526">
        <v>2400</v>
      </c>
      <c r="L526">
        <v>0</v>
      </c>
      <c r="M526">
        <v>0</v>
      </c>
      <c r="N526">
        <v>2400</v>
      </c>
    </row>
    <row r="527" spans="1:14" x14ac:dyDescent="0.25">
      <c r="A527">
        <v>133.91786500000001</v>
      </c>
      <c r="B527" s="1">
        <f>DATE(2010,9,11) + TIME(22,1,43)</f>
        <v>40432.917858796296</v>
      </c>
      <c r="C527">
        <v>80</v>
      </c>
      <c r="D527">
        <v>79.933052063000005</v>
      </c>
      <c r="E527">
        <v>50</v>
      </c>
      <c r="F527">
        <v>17.630519867</v>
      </c>
      <c r="G527">
        <v>1344.5261230000001</v>
      </c>
      <c r="H527">
        <v>1341.1142577999999</v>
      </c>
      <c r="I527">
        <v>1314.6235352000001</v>
      </c>
      <c r="J527">
        <v>1306.5504149999999</v>
      </c>
      <c r="K527">
        <v>2400</v>
      </c>
      <c r="L527">
        <v>0</v>
      </c>
      <c r="M527">
        <v>0</v>
      </c>
      <c r="N527">
        <v>2400</v>
      </c>
    </row>
    <row r="528" spans="1:14" x14ac:dyDescent="0.25">
      <c r="A528">
        <v>134.32521399999999</v>
      </c>
      <c r="B528" s="1">
        <f>DATE(2010,9,12) + TIME(7,48,18)</f>
        <v>40433.325208333335</v>
      </c>
      <c r="C528">
        <v>80</v>
      </c>
      <c r="D528">
        <v>79.933082580999994</v>
      </c>
      <c r="E528">
        <v>50</v>
      </c>
      <c r="F528">
        <v>17.765939713000002</v>
      </c>
      <c r="G528">
        <v>1344.5206298999999</v>
      </c>
      <c r="H528">
        <v>1341.1096190999999</v>
      </c>
      <c r="I528">
        <v>1314.6328125</v>
      </c>
      <c r="J528">
        <v>1306.5640868999999</v>
      </c>
      <c r="K528">
        <v>2400</v>
      </c>
      <c r="L528">
        <v>0</v>
      </c>
      <c r="M528">
        <v>0</v>
      </c>
      <c r="N528">
        <v>2400</v>
      </c>
    </row>
    <row r="529" spans="1:14" x14ac:dyDescent="0.25">
      <c r="A529">
        <v>134.732562</v>
      </c>
      <c r="B529" s="1">
        <f>DATE(2010,9,12) + TIME(17,34,53)</f>
        <v>40433.732557870368</v>
      </c>
      <c r="C529">
        <v>80</v>
      </c>
      <c r="D529">
        <v>79.933105468999997</v>
      </c>
      <c r="E529">
        <v>50</v>
      </c>
      <c r="F529">
        <v>17.905958175999999</v>
      </c>
      <c r="G529">
        <v>1344.5150146000001</v>
      </c>
      <c r="H529">
        <v>1341.1049805</v>
      </c>
      <c r="I529">
        <v>1314.6420897999999</v>
      </c>
      <c r="J529">
        <v>1306.5780029</v>
      </c>
      <c r="K529">
        <v>2400</v>
      </c>
      <c r="L529">
        <v>0</v>
      </c>
      <c r="M529">
        <v>0</v>
      </c>
      <c r="N529">
        <v>2400</v>
      </c>
    </row>
    <row r="530" spans="1:14" x14ac:dyDescent="0.25">
      <c r="A530">
        <v>135.13991100000001</v>
      </c>
      <c r="B530" s="1">
        <f>DATE(2010,9,13) + TIME(3,21,28)</f>
        <v>40434.139907407407</v>
      </c>
      <c r="C530">
        <v>80</v>
      </c>
      <c r="D530">
        <v>79.933128357000001</v>
      </c>
      <c r="E530">
        <v>50</v>
      </c>
      <c r="F530">
        <v>18.050537109</v>
      </c>
      <c r="G530">
        <v>1344.5095214999999</v>
      </c>
      <c r="H530">
        <v>1341.1002197</v>
      </c>
      <c r="I530">
        <v>1314.6512451000001</v>
      </c>
      <c r="J530">
        <v>1306.5921631000001</v>
      </c>
      <c r="K530">
        <v>2400</v>
      </c>
      <c r="L530">
        <v>0</v>
      </c>
      <c r="M530">
        <v>0</v>
      </c>
      <c r="N530">
        <v>2400</v>
      </c>
    </row>
    <row r="531" spans="1:14" x14ac:dyDescent="0.25">
      <c r="A531">
        <v>135.547259</v>
      </c>
      <c r="B531" s="1">
        <f>DATE(2010,9,13) + TIME(13,8,3)</f>
        <v>40434.547256944446</v>
      </c>
      <c r="C531">
        <v>80</v>
      </c>
      <c r="D531">
        <v>79.933158875000004</v>
      </c>
      <c r="E531">
        <v>50</v>
      </c>
      <c r="F531">
        <v>18.199626923</v>
      </c>
      <c r="G531">
        <v>1344.5040283000001</v>
      </c>
      <c r="H531">
        <v>1341.0955810999999</v>
      </c>
      <c r="I531">
        <v>1314.6604004000001</v>
      </c>
      <c r="J531">
        <v>1306.6066894999999</v>
      </c>
      <c r="K531">
        <v>2400</v>
      </c>
      <c r="L531">
        <v>0</v>
      </c>
      <c r="M531">
        <v>0</v>
      </c>
      <c r="N531">
        <v>2400</v>
      </c>
    </row>
    <row r="532" spans="1:14" x14ac:dyDescent="0.25">
      <c r="A532">
        <v>135.95460800000001</v>
      </c>
      <c r="B532" s="1">
        <f>DATE(2010,9,13) + TIME(22,54,38)</f>
        <v>40434.954606481479</v>
      </c>
      <c r="C532">
        <v>80</v>
      </c>
      <c r="D532">
        <v>79.933181762999993</v>
      </c>
      <c r="E532">
        <v>50</v>
      </c>
      <c r="F532">
        <v>18.353162766000001</v>
      </c>
      <c r="G532">
        <v>1344.4985352000001</v>
      </c>
      <c r="H532">
        <v>1341.0909423999999</v>
      </c>
      <c r="I532">
        <v>1314.6694336</v>
      </c>
      <c r="J532">
        <v>1306.6214600000001</v>
      </c>
      <c r="K532">
        <v>2400</v>
      </c>
      <c r="L532">
        <v>0</v>
      </c>
      <c r="M532">
        <v>0</v>
      </c>
      <c r="N532">
        <v>2400</v>
      </c>
    </row>
    <row r="533" spans="1:14" x14ac:dyDescent="0.25">
      <c r="A533">
        <v>136.36195599999999</v>
      </c>
      <c r="B533" s="1">
        <f>DATE(2010,9,14) + TIME(8,41,13)</f>
        <v>40435.361956018518</v>
      </c>
      <c r="C533">
        <v>80</v>
      </c>
      <c r="D533">
        <v>79.933204650999997</v>
      </c>
      <c r="E533">
        <v>50</v>
      </c>
      <c r="F533">
        <v>18.511077880999999</v>
      </c>
      <c r="G533">
        <v>1344.4930420000001</v>
      </c>
      <c r="H533">
        <v>1341.0863036999999</v>
      </c>
      <c r="I533">
        <v>1314.6784668</v>
      </c>
      <c r="J533">
        <v>1306.6365966999999</v>
      </c>
      <c r="K533">
        <v>2400</v>
      </c>
      <c r="L533">
        <v>0</v>
      </c>
      <c r="M533">
        <v>0</v>
      </c>
      <c r="N533">
        <v>2400</v>
      </c>
    </row>
    <row r="534" spans="1:14" x14ac:dyDescent="0.25">
      <c r="A534">
        <v>136.769305</v>
      </c>
      <c r="B534" s="1">
        <f>DATE(2010,9,14) + TIME(18,27,47)</f>
        <v>40435.769293981481</v>
      </c>
      <c r="C534">
        <v>80</v>
      </c>
      <c r="D534">
        <v>79.933235167999996</v>
      </c>
      <c r="E534">
        <v>50</v>
      </c>
      <c r="F534">
        <v>18.673290253000001</v>
      </c>
      <c r="G534">
        <v>1344.4875488</v>
      </c>
      <c r="H534">
        <v>1341.0816649999999</v>
      </c>
      <c r="I534">
        <v>1314.6873779</v>
      </c>
      <c r="J534">
        <v>1306.6519774999999</v>
      </c>
      <c r="K534">
        <v>2400</v>
      </c>
      <c r="L534">
        <v>0</v>
      </c>
      <c r="M534">
        <v>0</v>
      </c>
      <c r="N534">
        <v>2400</v>
      </c>
    </row>
    <row r="535" spans="1:14" x14ac:dyDescent="0.25">
      <c r="A535">
        <v>137.17665299999999</v>
      </c>
      <c r="B535" s="1">
        <f>DATE(2010,9,15) + TIME(4,14,22)</f>
        <v>40436.17664351852</v>
      </c>
      <c r="C535">
        <v>80</v>
      </c>
      <c r="D535">
        <v>79.933258057000003</v>
      </c>
      <c r="E535">
        <v>50</v>
      </c>
      <c r="F535">
        <v>18.839717865000001</v>
      </c>
      <c r="G535">
        <v>1344.4820557</v>
      </c>
      <c r="H535">
        <v>1341.0770264</v>
      </c>
      <c r="I535">
        <v>1314.6962891000001</v>
      </c>
      <c r="J535">
        <v>1306.6676024999999</v>
      </c>
      <c r="K535">
        <v>2400</v>
      </c>
      <c r="L535">
        <v>0</v>
      </c>
      <c r="M535">
        <v>0</v>
      </c>
      <c r="N535">
        <v>2400</v>
      </c>
    </row>
    <row r="536" spans="1:14" x14ac:dyDescent="0.25">
      <c r="A536">
        <v>137.99135000000001</v>
      </c>
      <c r="B536" s="1">
        <f>DATE(2010,9,15) + TIME(23,47,32)</f>
        <v>40436.991342592592</v>
      </c>
      <c r="C536">
        <v>80</v>
      </c>
      <c r="D536">
        <v>79.933319092000005</v>
      </c>
      <c r="E536">
        <v>50</v>
      </c>
      <c r="F536">
        <v>19.093263625999999</v>
      </c>
      <c r="G536">
        <v>1344.4766846</v>
      </c>
      <c r="H536">
        <v>1341.0725098</v>
      </c>
      <c r="I536">
        <v>1314.6976318</v>
      </c>
      <c r="J536">
        <v>1306.6859131000001</v>
      </c>
      <c r="K536">
        <v>2400</v>
      </c>
      <c r="L536">
        <v>0</v>
      </c>
      <c r="M536">
        <v>0</v>
      </c>
      <c r="N536">
        <v>2400</v>
      </c>
    </row>
    <row r="537" spans="1:14" x14ac:dyDescent="0.25">
      <c r="A537">
        <v>138.808077</v>
      </c>
      <c r="B537" s="1">
        <f>DATE(2010,9,16) + TIME(19,23,37)</f>
        <v>40437.808067129627</v>
      </c>
      <c r="C537">
        <v>80</v>
      </c>
      <c r="D537">
        <v>79.933372497999997</v>
      </c>
      <c r="E537">
        <v>50</v>
      </c>
      <c r="F537">
        <v>19.403974533</v>
      </c>
      <c r="G537">
        <v>1344.4658202999999</v>
      </c>
      <c r="H537">
        <v>1341.0633545000001</v>
      </c>
      <c r="I537">
        <v>1314.7180175999999</v>
      </c>
      <c r="J537">
        <v>1306.7165527</v>
      </c>
      <c r="K537">
        <v>2400</v>
      </c>
      <c r="L537">
        <v>0</v>
      </c>
      <c r="M537">
        <v>0</v>
      </c>
      <c r="N537">
        <v>2400</v>
      </c>
    </row>
    <row r="538" spans="1:14" x14ac:dyDescent="0.25">
      <c r="A538">
        <v>139.659459</v>
      </c>
      <c r="B538" s="1">
        <f>DATE(2010,9,17) + TIME(15,49,37)</f>
        <v>40438.659456018519</v>
      </c>
      <c r="C538">
        <v>80</v>
      </c>
      <c r="D538">
        <v>79.933433532999999</v>
      </c>
      <c r="E538">
        <v>50</v>
      </c>
      <c r="F538">
        <v>19.757270813000002</v>
      </c>
      <c r="G538">
        <v>1344.4550781</v>
      </c>
      <c r="H538">
        <v>1341.0541992000001</v>
      </c>
      <c r="I538">
        <v>1314.7360839999999</v>
      </c>
      <c r="J538">
        <v>1306.7493896000001</v>
      </c>
      <c r="K538">
        <v>2400</v>
      </c>
      <c r="L538">
        <v>0</v>
      </c>
      <c r="M538">
        <v>0</v>
      </c>
      <c r="N538">
        <v>2400</v>
      </c>
    </row>
    <row r="539" spans="1:14" x14ac:dyDescent="0.25">
      <c r="A539">
        <v>140.09957900000001</v>
      </c>
      <c r="B539" s="1">
        <f>DATE(2010,9,18) + TIME(2,23,23)</f>
        <v>40439.09957175926</v>
      </c>
      <c r="C539">
        <v>80</v>
      </c>
      <c r="D539">
        <v>79.933448791999993</v>
      </c>
      <c r="E539">
        <v>50</v>
      </c>
      <c r="F539">
        <v>20.022686005000001</v>
      </c>
      <c r="G539">
        <v>1344.4437256000001</v>
      </c>
      <c r="H539">
        <v>1341.0445557</v>
      </c>
      <c r="I539">
        <v>1314.7655029</v>
      </c>
      <c r="J539">
        <v>1306.78125</v>
      </c>
      <c r="K539">
        <v>2400</v>
      </c>
      <c r="L539">
        <v>0</v>
      </c>
      <c r="M539">
        <v>0</v>
      </c>
      <c r="N539">
        <v>2400</v>
      </c>
    </row>
    <row r="540" spans="1:14" x14ac:dyDescent="0.25">
      <c r="A540">
        <v>140.900621</v>
      </c>
      <c r="B540" s="1">
        <f>DATE(2010,9,18) + TIME(21,36,53)</f>
        <v>40439.900613425925</v>
      </c>
      <c r="C540">
        <v>80</v>
      </c>
      <c r="D540">
        <v>79.933502196999996</v>
      </c>
      <c r="E540">
        <v>50</v>
      </c>
      <c r="F540">
        <v>20.368766784999998</v>
      </c>
      <c r="G540">
        <v>1344.4379882999999</v>
      </c>
      <c r="H540">
        <v>1341.0396728999999</v>
      </c>
      <c r="I540">
        <v>1314.7628173999999</v>
      </c>
      <c r="J540">
        <v>1306.8048096</v>
      </c>
      <c r="K540">
        <v>2400</v>
      </c>
      <c r="L540">
        <v>0</v>
      </c>
      <c r="M540">
        <v>0</v>
      </c>
      <c r="N540">
        <v>2400</v>
      </c>
    </row>
    <row r="541" spans="1:14" x14ac:dyDescent="0.25">
      <c r="A541">
        <v>141.76317299999999</v>
      </c>
      <c r="B541" s="1">
        <f>DATE(2010,9,19) + TIME(18,18,58)</f>
        <v>40440.763171296298</v>
      </c>
      <c r="C541">
        <v>80</v>
      </c>
      <c r="D541">
        <v>79.933563231999997</v>
      </c>
      <c r="E541">
        <v>50</v>
      </c>
      <c r="F541">
        <v>20.760374069000001</v>
      </c>
      <c r="G541">
        <v>1344.4274902</v>
      </c>
      <c r="H541">
        <v>1341.0307617000001</v>
      </c>
      <c r="I541">
        <v>1314.7794189000001</v>
      </c>
      <c r="J541">
        <v>1306.8398437999999</v>
      </c>
      <c r="K541">
        <v>2400</v>
      </c>
      <c r="L541">
        <v>0</v>
      </c>
      <c r="M541">
        <v>0</v>
      </c>
      <c r="N541">
        <v>2400</v>
      </c>
    </row>
    <row r="542" spans="1:14" x14ac:dyDescent="0.25">
      <c r="A542">
        <v>142.63738599999999</v>
      </c>
      <c r="B542" s="1">
        <f>DATE(2010,9,20) + TIME(15,17,50)</f>
        <v>40441.637384259258</v>
      </c>
      <c r="C542">
        <v>80</v>
      </c>
      <c r="D542">
        <v>79.933616638000004</v>
      </c>
      <c r="E542">
        <v>50</v>
      </c>
      <c r="F542">
        <v>21.181192398</v>
      </c>
      <c r="G542">
        <v>1344.4162598</v>
      </c>
      <c r="H542">
        <v>1341.0212402</v>
      </c>
      <c r="I542">
        <v>1314.7978516000001</v>
      </c>
      <c r="J542">
        <v>1306.8781738</v>
      </c>
      <c r="K542">
        <v>2400</v>
      </c>
      <c r="L542">
        <v>0</v>
      </c>
      <c r="M542">
        <v>0</v>
      </c>
      <c r="N542">
        <v>2400</v>
      </c>
    </row>
    <row r="543" spans="1:14" x14ac:dyDescent="0.25">
      <c r="A543">
        <v>143.530417</v>
      </c>
      <c r="B543" s="1">
        <f>DATE(2010,9,21) + TIME(12,43,48)</f>
        <v>40442.530416666668</v>
      </c>
      <c r="C543">
        <v>80</v>
      </c>
      <c r="D543">
        <v>79.933677673000005</v>
      </c>
      <c r="E543">
        <v>50</v>
      </c>
      <c r="F543">
        <v>21.625478744999999</v>
      </c>
      <c r="G543">
        <v>1344.4049072</v>
      </c>
      <c r="H543">
        <v>1341.0117187999999</v>
      </c>
      <c r="I543">
        <v>1314.8161620999999</v>
      </c>
      <c r="J543">
        <v>1306.9183350000001</v>
      </c>
      <c r="K543">
        <v>2400</v>
      </c>
      <c r="L543">
        <v>0</v>
      </c>
      <c r="M543">
        <v>0</v>
      </c>
      <c r="N543">
        <v>2400</v>
      </c>
    </row>
    <row r="544" spans="1:14" x14ac:dyDescent="0.25">
      <c r="A544">
        <v>144.438771</v>
      </c>
      <c r="B544" s="1">
        <f>DATE(2010,9,22) + TIME(10,31,49)</f>
        <v>40443.438761574071</v>
      </c>
      <c r="C544">
        <v>80</v>
      </c>
      <c r="D544">
        <v>79.933731078999998</v>
      </c>
      <c r="E544">
        <v>50</v>
      </c>
      <c r="F544">
        <v>22.091753006000001</v>
      </c>
      <c r="G544">
        <v>1344.3934326000001</v>
      </c>
      <c r="H544">
        <v>1341.0018310999999</v>
      </c>
      <c r="I544">
        <v>1314.8347168</v>
      </c>
      <c r="J544">
        <v>1306.9603271000001</v>
      </c>
      <c r="K544">
        <v>2400</v>
      </c>
      <c r="L544">
        <v>0</v>
      </c>
      <c r="M544">
        <v>0</v>
      </c>
      <c r="N544">
        <v>2400</v>
      </c>
    </row>
    <row r="545" spans="1:14" x14ac:dyDescent="0.25">
      <c r="A545">
        <v>145.35329200000001</v>
      </c>
      <c r="B545" s="1">
        <f>DATE(2010,9,23) + TIME(8,28,44)</f>
        <v>40444.35328703704</v>
      </c>
      <c r="C545">
        <v>80</v>
      </c>
      <c r="D545">
        <v>79.933792113999999</v>
      </c>
      <c r="E545">
        <v>50</v>
      </c>
      <c r="F545">
        <v>22.577333450000001</v>
      </c>
      <c r="G545">
        <v>1344.3818358999999</v>
      </c>
      <c r="H545">
        <v>1340.9920654</v>
      </c>
      <c r="I545">
        <v>1314.8537598</v>
      </c>
      <c r="J545">
        <v>1307.0040283000001</v>
      </c>
      <c r="K545">
        <v>2400</v>
      </c>
      <c r="L545">
        <v>0</v>
      </c>
      <c r="M545">
        <v>0</v>
      </c>
      <c r="N545">
        <v>2400</v>
      </c>
    </row>
    <row r="546" spans="1:14" x14ac:dyDescent="0.25">
      <c r="A546">
        <v>146.28156100000001</v>
      </c>
      <c r="B546" s="1">
        <f>DATE(2010,9,24) + TIME(6,45,26)</f>
        <v>40445.281550925924</v>
      </c>
      <c r="C546">
        <v>80</v>
      </c>
      <c r="D546">
        <v>79.933853149000001</v>
      </c>
      <c r="E546">
        <v>50</v>
      </c>
      <c r="F546">
        <v>23.081111908</v>
      </c>
      <c r="G546">
        <v>1344.3702393000001</v>
      </c>
      <c r="H546">
        <v>1340.9820557</v>
      </c>
      <c r="I546">
        <v>1314.8724365</v>
      </c>
      <c r="J546">
        <v>1307.0493164</v>
      </c>
      <c r="K546">
        <v>2400</v>
      </c>
      <c r="L546">
        <v>0</v>
      </c>
      <c r="M546">
        <v>0</v>
      </c>
      <c r="N546">
        <v>2400</v>
      </c>
    </row>
    <row r="547" spans="1:14" x14ac:dyDescent="0.25">
      <c r="A547">
        <v>147.23078899999999</v>
      </c>
      <c r="B547" s="1">
        <f>DATE(2010,9,25) + TIME(5,32,20)</f>
        <v>40446.230787037035</v>
      </c>
      <c r="C547">
        <v>80</v>
      </c>
      <c r="D547">
        <v>79.933914185000006</v>
      </c>
      <c r="E547">
        <v>50</v>
      </c>
      <c r="F547">
        <v>23.603094101</v>
      </c>
      <c r="G547">
        <v>1344.3585204999999</v>
      </c>
      <c r="H547">
        <v>1340.972168</v>
      </c>
      <c r="I547">
        <v>1314.8912353999999</v>
      </c>
      <c r="J547">
        <v>1307.0960693</v>
      </c>
      <c r="K547">
        <v>2400</v>
      </c>
      <c r="L547">
        <v>0</v>
      </c>
      <c r="M547">
        <v>0</v>
      </c>
      <c r="N547">
        <v>2400</v>
      </c>
    </row>
    <row r="548" spans="1:14" x14ac:dyDescent="0.25">
      <c r="A548">
        <v>148.210971</v>
      </c>
      <c r="B548" s="1">
        <f>DATE(2010,9,26) + TIME(5,3,47)</f>
        <v>40447.210960648146</v>
      </c>
      <c r="C548">
        <v>80</v>
      </c>
      <c r="D548">
        <v>79.933975219999994</v>
      </c>
      <c r="E548">
        <v>50</v>
      </c>
      <c r="F548">
        <v>24.143316269</v>
      </c>
      <c r="G548">
        <v>1344.3465576000001</v>
      </c>
      <c r="H548">
        <v>1340.9620361</v>
      </c>
      <c r="I548">
        <v>1314.9101562000001</v>
      </c>
      <c r="J548">
        <v>1307.1448975000001</v>
      </c>
      <c r="K548">
        <v>2400</v>
      </c>
      <c r="L548">
        <v>0</v>
      </c>
      <c r="M548">
        <v>0</v>
      </c>
      <c r="N548">
        <v>2400</v>
      </c>
    </row>
    <row r="549" spans="1:14" x14ac:dyDescent="0.25">
      <c r="A549">
        <v>148.70708200000001</v>
      </c>
      <c r="B549" s="1">
        <f>DATE(2010,9,26) + TIME(16,58,11)</f>
        <v>40447.707071759258</v>
      </c>
      <c r="C549">
        <v>80</v>
      </c>
      <c r="D549">
        <v>79.933998107999997</v>
      </c>
      <c r="E549">
        <v>50</v>
      </c>
      <c r="F549">
        <v>24.535045623999999</v>
      </c>
      <c r="G549">
        <v>1344.3343506000001</v>
      </c>
      <c r="H549">
        <v>1340.9516602000001</v>
      </c>
      <c r="I549">
        <v>1314.942749</v>
      </c>
      <c r="J549">
        <v>1307.1901855000001</v>
      </c>
      <c r="K549">
        <v>2400</v>
      </c>
      <c r="L549">
        <v>0</v>
      </c>
      <c r="M549">
        <v>0</v>
      </c>
      <c r="N549">
        <v>2400</v>
      </c>
    </row>
    <row r="550" spans="1:14" x14ac:dyDescent="0.25">
      <c r="A550">
        <v>149.67359999999999</v>
      </c>
      <c r="B550" s="1">
        <f>DATE(2010,9,27) + TIME(16,9,59)</f>
        <v>40448.67359953704</v>
      </c>
      <c r="C550">
        <v>80</v>
      </c>
      <c r="D550">
        <v>79.934066771999994</v>
      </c>
      <c r="E550">
        <v>50</v>
      </c>
      <c r="F550">
        <v>25.015884399000001</v>
      </c>
      <c r="G550">
        <v>1344.3282471</v>
      </c>
      <c r="H550">
        <v>1340.9464111</v>
      </c>
      <c r="I550">
        <v>1314.9382324000001</v>
      </c>
      <c r="J550">
        <v>1307.223999</v>
      </c>
      <c r="K550">
        <v>2400</v>
      </c>
      <c r="L550">
        <v>0</v>
      </c>
      <c r="M550">
        <v>0</v>
      </c>
      <c r="N550">
        <v>2400</v>
      </c>
    </row>
    <row r="551" spans="1:14" x14ac:dyDescent="0.25">
      <c r="A551">
        <v>150.64978500000001</v>
      </c>
      <c r="B551" s="1">
        <f>DATE(2010,9,28) + TIME(15,35,41)</f>
        <v>40449.649780092594</v>
      </c>
      <c r="C551">
        <v>80</v>
      </c>
      <c r="D551">
        <v>79.934127808</v>
      </c>
      <c r="E551">
        <v>50</v>
      </c>
      <c r="F551">
        <v>25.533090591000001</v>
      </c>
      <c r="G551">
        <v>1344.3164062000001</v>
      </c>
      <c r="H551">
        <v>1340.9362793</v>
      </c>
      <c r="I551">
        <v>1314.9602050999999</v>
      </c>
      <c r="J551">
        <v>1307.2738036999999</v>
      </c>
      <c r="K551">
        <v>2400</v>
      </c>
      <c r="L551">
        <v>0</v>
      </c>
      <c r="M551">
        <v>0</v>
      </c>
      <c r="N551">
        <v>2400</v>
      </c>
    </row>
    <row r="552" spans="1:14" x14ac:dyDescent="0.25">
      <c r="A552">
        <v>151.62989899999999</v>
      </c>
      <c r="B552" s="1">
        <f>DATE(2010,9,29) + TIME(15,7,3)</f>
        <v>40450.629895833335</v>
      </c>
      <c r="C552">
        <v>80</v>
      </c>
      <c r="D552">
        <v>79.934196471999996</v>
      </c>
      <c r="E552">
        <v>50</v>
      </c>
      <c r="F552">
        <v>26.062175751000002</v>
      </c>
      <c r="G552">
        <v>1344.3045654</v>
      </c>
      <c r="H552">
        <v>1340.9261475000001</v>
      </c>
      <c r="I552">
        <v>1314.9819336</v>
      </c>
      <c r="J552">
        <v>1307.3253173999999</v>
      </c>
      <c r="K552">
        <v>2400</v>
      </c>
      <c r="L552">
        <v>0</v>
      </c>
      <c r="M552">
        <v>0</v>
      </c>
      <c r="N552">
        <v>2400</v>
      </c>
    </row>
    <row r="553" spans="1:14" x14ac:dyDescent="0.25">
      <c r="A553">
        <v>152.617592</v>
      </c>
      <c r="B553" s="1">
        <f>DATE(2010,9,30) + TIME(14,49,19)</f>
        <v>40451.617581018516</v>
      </c>
      <c r="C553">
        <v>80</v>
      </c>
      <c r="D553">
        <v>79.934257506999998</v>
      </c>
      <c r="E553">
        <v>50</v>
      </c>
      <c r="F553">
        <v>26.592781067000001</v>
      </c>
      <c r="G553">
        <v>1344.2927245999999</v>
      </c>
      <c r="H553">
        <v>1340.9161377</v>
      </c>
      <c r="I553">
        <v>1315.0039062000001</v>
      </c>
      <c r="J553">
        <v>1307.3779297000001</v>
      </c>
      <c r="K553">
        <v>2400</v>
      </c>
      <c r="L553">
        <v>0</v>
      </c>
      <c r="M553">
        <v>0</v>
      </c>
      <c r="N553">
        <v>2400</v>
      </c>
    </row>
    <row r="554" spans="1:14" x14ac:dyDescent="0.25">
      <c r="A554">
        <v>153</v>
      </c>
      <c r="B554" s="1">
        <f>DATE(2010,10,1) + TIME(0,0,0)</f>
        <v>40452</v>
      </c>
      <c r="C554">
        <v>80</v>
      </c>
      <c r="D554">
        <v>79.934272766000007</v>
      </c>
      <c r="E554">
        <v>50</v>
      </c>
      <c r="F554">
        <v>26.914173126000001</v>
      </c>
      <c r="G554">
        <v>1344.2810059000001</v>
      </c>
      <c r="H554">
        <v>1340.9061279</v>
      </c>
      <c r="I554">
        <v>1315.0411377</v>
      </c>
      <c r="J554">
        <v>1307.4234618999999</v>
      </c>
      <c r="K554">
        <v>2400</v>
      </c>
      <c r="L554">
        <v>0</v>
      </c>
      <c r="M554">
        <v>0</v>
      </c>
      <c r="N554">
        <v>2400</v>
      </c>
    </row>
    <row r="555" spans="1:14" x14ac:dyDescent="0.25">
      <c r="A555">
        <v>153.99927299999999</v>
      </c>
      <c r="B555" s="1">
        <f>DATE(2010,10,1) + TIME(23,58,57)</f>
        <v>40452.99927083333</v>
      </c>
      <c r="C555">
        <v>80</v>
      </c>
      <c r="D555">
        <v>79.934349060000002</v>
      </c>
      <c r="E555">
        <v>50</v>
      </c>
      <c r="F555">
        <v>27.369705199999999</v>
      </c>
      <c r="G555">
        <v>1344.2763672000001</v>
      </c>
      <c r="H555">
        <v>1340.9020995999999</v>
      </c>
      <c r="I555">
        <v>1315.0327147999999</v>
      </c>
      <c r="J555">
        <v>1307.4553223</v>
      </c>
      <c r="K555">
        <v>2400</v>
      </c>
      <c r="L555">
        <v>0</v>
      </c>
      <c r="M555">
        <v>0</v>
      </c>
      <c r="N555">
        <v>2400</v>
      </c>
    </row>
    <row r="556" spans="1:14" x14ac:dyDescent="0.25">
      <c r="A556">
        <v>155.02200099999999</v>
      </c>
      <c r="B556" s="1">
        <f>DATE(2010,10,3) + TIME(0,31,40)</f>
        <v>40454.021990740737</v>
      </c>
      <c r="C556">
        <v>80</v>
      </c>
      <c r="D556">
        <v>79.934417725000003</v>
      </c>
      <c r="E556">
        <v>50</v>
      </c>
      <c r="F556">
        <v>27.86648941</v>
      </c>
      <c r="G556">
        <v>1344.2646483999999</v>
      </c>
      <c r="H556">
        <v>1340.8920897999999</v>
      </c>
      <c r="I556">
        <v>1315.0578613</v>
      </c>
      <c r="J556">
        <v>1307.5084228999999</v>
      </c>
      <c r="K556">
        <v>2400</v>
      </c>
      <c r="L556">
        <v>0</v>
      </c>
      <c r="M556">
        <v>0</v>
      </c>
      <c r="N556">
        <v>2400</v>
      </c>
    </row>
    <row r="557" spans="1:14" x14ac:dyDescent="0.25">
      <c r="A557">
        <v>156.04773800000001</v>
      </c>
      <c r="B557" s="1">
        <f>DATE(2010,10,4) + TIME(1,8,44)</f>
        <v>40455.047731481478</v>
      </c>
      <c r="C557">
        <v>80</v>
      </c>
      <c r="D557">
        <v>79.934478760000005</v>
      </c>
      <c r="E557">
        <v>50</v>
      </c>
      <c r="F557">
        <v>28.377794265999999</v>
      </c>
      <c r="G557">
        <v>1344.2526855000001</v>
      </c>
      <c r="H557">
        <v>1340.8819579999999</v>
      </c>
      <c r="I557">
        <v>1315.083374</v>
      </c>
      <c r="J557">
        <v>1307.5639647999999</v>
      </c>
      <c r="K557">
        <v>2400</v>
      </c>
      <c r="L557">
        <v>0</v>
      </c>
      <c r="M557">
        <v>0</v>
      </c>
      <c r="N557">
        <v>2400</v>
      </c>
    </row>
    <row r="558" spans="1:14" x14ac:dyDescent="0.25">
      <c r="A558">
        <v>157.08021500000001</v>
      </c>
      <c r="B558" s="1">
        <f>DATE(2010,10,5) + TIME(1,55,30)</f>
        <v>40456.080208333333</v>
      </c>
      <c r="C558">
        <v>80</v>
      </c>
      <c r="D558">
        <v>79.934547424000002</v>
      </c>
      <c r="E558">
        <v>50</v>
      </c>
      <c r="F558">
        <v>28.891048431000002</v>
      </c>
      <c r="G558">
        <v>1344.2408447</v>
      </c>
      <c r="H558">
        <v>1340.8718262</v>
      </c>
      <c r="I558">
        <v>1315.1091309000001</v>
      </c>
      <c r="J558">
        <v>1307.6204834</v>
      </c>
      <c r="K558">
        <v>2400</v>
      </c>
      <c r="L558">
        <v>0</v>
      </c>
      <c r="M558">
        <v>0</v>
      </c>
      <c r="N558">
        <v>2400</v>
      </c>
    </row>
    <row r="559" spans="1:14" x14ac:dyDescent="0.25">
      <c r="A559">
        <v>158.125269</v>
      </c>
      <c r="B559" s="1">
        <f>DATE(2010,10,6) + TIME(3,0,23)</f>
        <v>40457.1252662037</v>
      </c>
      <c r="C559">
        <v>80</v>
      </c>
      <c r="D559">
        <v>79.934616089000002</v>
      </c>
      <c r="E559">
        <v>50</v>
      </c>
      <c r="F559">
        <v>29.402818679999999</v>
      </c>
      <c r="G559">
        <v>1344.2290039</v>
      </c>
      <c r="H559">
        <v>1340.8618164</v>
      </c>
      <c r="I559">
        <v>1315.1352539</v>
      </c>
      <c r="J559">
        <v>1307.6779785000001</v>
      </c>
      <c r="K559">
        <v>2400</v>
      </c>
      <c r="L559">
        <v>0</v>
      </c>
      <c r="M559">
        <v>0</v>
      </c>
      <c r="N559">
        <v>2400</v>
      </c>
    </row>
    <row r="560" spans="1:14" x14ac:dyDescent="0.25">
      <c r="A560">
        <v>159.18898200000001</v>
      </c>
      <c r="B560" s="1">
        <f>DATE(2010,10,7) + TIME(4,32,8)</f>
        <v>40458.188981481479</v>
      </c>
      <c r="C560">
        <v>80</v>
      </c>
      <c r="D560">
        <v>79.934684752999999</v>
      </c>
      <c r="E560">
        <v>50</v>
      </c>
      <c r="F560">
        <v>29.913360596</v>
      </c>
      <c r="G560">
        <v>1344.2171631000001</v>
      </c>
      <c r="H560">
        <v>1340.8516846</v>
      </c>
      <c r="I560">
        <v>1315.1621094</v>
      </c>
      <c r="J560">
        <v>1307.7364502</v>
      </c>
      <c r="K560">
        <v>2400</v>
      </c>
      <c r="L560">
        <v>0</v>
      </c>
      <c r="M560">
        <v>0</v>
      </c>
      <c r="N560">
        <v>2400</v>
      </c>
    </row>
    <row r="561" spans="1:14" x14ac:dyDescent="0.25">
      <c r="A561">
        <v>159.72675699999999</v>
      </c>
      <c r="B561" s="1">
        <f>DATE(2010,10,7) + TIME(17,26,31)</f>
        <v>40458.726747685185</v>
      </c>
      <c r="C561">
        <v>80</v>
      </c>
      <c r="D561">
        <v>79.934715271000002</v>
      </c>
      <c r="E561">
        <v>50</v>
      </c>
      <c r="F561">
        <v>30.284317016999999</v>
      </c>
      <c r="G561">
        <v>1344.2053223</v>
      </c>
      <c r="H561">
        <v>1340.8415527</v>
      </c>
      <c r="I561">
        <v>1315.1988524999999</v>
      </c>
      <c r="J561">
        <v>1307.7899170000001</v>
      </c>
      <c r="K561">
        <v>2400</v>
      </c>
      <c r="L561">
        <v>0</v>
      </c>
      <c r="M561">
        <v>0</v>
      </c>
      <c r="N561">
        <v>2400</v>
      </c>
    </row>
    <row r="562" spans="1:14" x14ac:dyDescent="0.25">
      <c r="A562">
        <v>160.264533</v>
      </c>
      <c r="B562" s="1">
        <f>DATE(2010,10,8) + TIME(6,20,55)</f>
        <v>40459.264525462961</v>
      </c>
      <c r="C562">
        <v>80</v>
      </c>
      <c r="D562">
        <v>79.934745789000004</v>
      </c>
      <c r="E562">
        <v>50</v>
      </c>
      <c r="F562">
        <v>30.600162506</v>
      </c>
      <c r="G562">
        <v>1344.1992187999999</v>
      </c>
      <c r="H562">
        <v>1340.8363036999999</v>
      </c>
      <c r="I562">
        <v>1315.2098389</v>
      </c>
      <c r="J562">
        <v>1307.8243408000001</v>
      </c>
      <c r="K562">
        <v>2400</v>
      </c>
      <c r="L562">
        <v>0</v>
      </c>
      <c r="M562">
        <v>0</v>
      </c>
      <c r="N562">
        <v>2400</v>
      </c>
    </row>
    <row r="563" spans="1:14" x14ac:dyDescent="0.25">
      <c r="A563">
        <v>160.80230900000001</v>
      </c>
      <c r="B563" s="1">
        <f>DATE(2010,10,8) + TIME(19,15,19)</f>
        <v>40459.802303240744</v>
      </c>
      <c r="C563">
        <v>80</v>
      </c>
      <c r="D563">
        <v>79.934776306000003</v>
      </c>
      <c r="E563">
        <v>50</v>
      </c>
      <c r="F563">
        <v>30.884887695</v>
      </c>
      <c r="G563">
        <v>1344.1933594</v>
      </c>
      <c r="H563">
        <v>1340.8312988</v>
      </c>
      <c r="I563">
        <v>1315.2224120999999</v>
      </c>
      <c r="J563">
        <v>1307.8569336</v>
      </c>
      <c r="K563">
        <v>2400</v>
      </c>
      <c r="L563">
        <v>0</v>
      </c>
      <c r="M563">
        <v>0</v>
      </c>
      <c r="N563">
        <v>2400</v>
      </c>
    </row>
    <row r="564" spans="1:14" x14ac:dyDescent="0.25">
      <c r="A564">
        <v>161.34008499999999</v>
      </c>
      <c r="B564" s="1">
        <f>DATE(2010,10,9) + TIME(8,9,43)</f>
        <v>40460.340081018519</v>
      </c>
      <c r="C564">
        <v>80</v>
      </c>
      <c r="D564">
        <v>79.934806824000006</v>
      </c>
      <c r="E564">
        <v>50</v>
      </c>
      <c r="F564">
        <v>31.151582718</v>
      </c>
      <c r="G564">
        <v>1344.1873779</v>
      </c>
      <c r="H564">
        <v>1340.8261719</v>
      </c>
      <c r="I564">
        <v>1315.2359618999999</v>
      </c>
      <c r="J564">
        <v>1307.8885498</v>
      </c>
      <c r="K564">
        <v>2400</v>
      </c>
      <c r="L564">
        <v>0</v>
      </c>
      <c r="M564">
        <v>0</v>
      </c>
      <c r="N564">
        <v>2400</v>
      </c>
    </row>
    <row r="565" spans="1:14" x14ac:dyDescent="0.25">
      <c r="A565">
        <v>161.877861</v>
      </c>
      <c r="B565" s="1">
        <f>DATE(2010,10,9) + TIME(21,4,7)</f>
        <v>40460.877858796295</v>
      </c>
      <c r="C565">
        <v>80</v>
      </c>
      <c r="D565">
        <v>79.934844971000004</v>
      </c>
      <c r="E565">
        <v>50</v>
      </c>
      <c r="F565">
        <v>31.407365799000001</v>
      </c>
      <c r="G565">
        <v>1344.1815185999999</v>
      </c>
      <c r="H565">
        <v>1340.8211670000001</v>
      </c>
      <c r="I565">
        <v>1315.2498779</v>
      </c>
      <c r="J565">
        <v>1307.9195557</v>
      </c>
      <c r="K565">
        <v>2400</v>
      </c>
      <c r="L565">
        <v>0</v>
      </c>
      <c r="M565">
        <v>0</v>
      </c>
      <c r="N565">
        <v>2400</v>
      </c>
    </row>
    <row r="566" spans="1:14" x14ac:dyDescent="0.25">
      <c r="A566">
        <v>162.95341300000001</v>
      </c>
      <c r="B566" s="1">
        <f>DATE(2010,10,10) + TIME(22,52,54)</f>
        <v>40461.953402777777</v>
      </c>
      <c r="C566">
        <v>80</v>
      </c>
      <c r="D566">
        <v>79.934928893999995</v>
      </c>
      <c r="E566">
        <v>50</v>
      </c>
      <c r="F566">
        <v>31.747612</v>
      </c>
      <c r="G566">
        <v>1344.1757812000001</v>
      </c>
      <c r="H566">
        <v>1340.8162841999999</v>
      </c>
      <c r="I566">
        <v>1315.2585449000001</v>
      </c>
      <c r="J566">
        <v>1307.9545897999999</v>
      </c>
      <c r="K566">
        <v>2400</v>
      </c>
      <c r="L566">
        <v>0</v>
      </c>
      <c r="M566">
        <v>0</v>
      </c>
      <c r="N566">
        <v>2400</v>
      </c>
    </row>
    <row r="567" spans="1:14" x14ac:dyDescent="0.25">
      <c r="A567">
        <v>164.03013000000001</v>
      </c>
      <c r="B567" s="1">
        <f>DATE(2010,10,12) + TIME(0,43,23)</f>
        <v>40463.030127314814</v>
      </c>
      <c r="C567">
        <v>80</v>
      </c>
      <c r="D567">
        <v>79.934997558999996</v>
      </c>
      <c r="E567">
        <v>50</v>
      </c>
      <c r="F567">
        <v>32.173583983999997</v>
      </c>
      <c r="G567">
        <v>1344.1641846</v>
      </c>
      <c r="H567">
        <v>1340.8063964999999</v>
      </c>
      <c r="I567">
        <v>1315.2900391000001</v>
      </c>
      <c r="J567">
        <v>1308.0098877</v>
      </c>
      <c r="K567">
        <v>2400</v>
      </c>
      <c r="L567">
        <v>0</v>
      </c>
      <c r="M567">
        <v>0</v>
      </c>
      <c r="N567">
        <v>2400</v>
      </c>
    </row>
    <row r="568" spans="1:14" x14ac:dyDescent="0.25">
      <c r="A568">
        <v>165.12018900000001</v>
      </c>
      <c r="B568" s="1">
        <f>DATE(2010,10,13) + TIME(2,53,4)</f>
        <v>40464.120185185187</v>
      </c>
      <c r="C568">
        <v>80</v>
      </c>
      <c r="D568">
        <v>79.935073853000006</v>
      </c>
      <c r="E568">
        <v>50</v>
      </c>
      <c r="F568">
        <v>32.627120972</v>
      </c>
      <c r="G568">
        <v>1344.1527100000001</v>
      </c>
      <c r="H568">
        <v>1340.7966309000001</v>
      </c>
      <c r="I568">
        <v>1315.3201904</v>
      </c>
      <c r="J568">
        <v>1308.0679932</v>
      </c>
      <c r="K568">
        <v>2400</v>
      </c>
      <c r="L568">
        <v>0</v>
      </c>
      <c r="M568">
        <v>0</v>
      </c>
      <c r="N568">
        <v>2400</v>
      </c>
    </row>
    <row r="569" spans="1:14" x14ac:dyDescent="0.25">
      <c r="A569">
        <v>166.220348</v>
      </c>
      <c r="B569" s="1">
        <f>DATE(2010,10,14) + TIME(5,17,18)</f>
        <v>40465.220347222225</v>
      </c>
      <c r="C569">
        <v>80</v>
      </c>
      <c r="D569">
        <v>79.935142517000003</v>
      </c>
      <c r="E569">
        <v>50</v>
      </c>
      <c r="F569">
        <v>33.087486267000003</v>
      </c>
      <c r="G569">
        <v>1344.1412353999999</v>
      </c>
      <c r="H569">
        <v>1340.7868652</v>
      </c>
      <c r="I569">
        <v>1315.3504639</v>
      </c>
      <c r="J569">
        <v>1308.1275635</v>
      </c>
      <c r="K569">
        <v>2400</v>
      </c>
      <c r="L569">
        <v>0</v>
      </c>
      <c r="M569">
        <v>0</v>
      </c>
      <c r="N569">
        <v>2400</v>
      </c>
    </row>
    <row r="570" spans="1:14" x14ac:dyDescent="0.25">
      <c r="A570">
        <v>167.33589499999999</v>
      </c>
      <c r="B570" s="1">
        <f>DATE(2010,10,15) + TIME(8,3,41)</f>
        <v>40466.3358912037</v>
      </c>
      <c r="C570">
        <v>80</v>
      </c>
      <c r="D570">
        <v>79.935218810999999</v>
      </c>
      <c r="E570">
        <v>50</v>
      </c>
      <c r="F570">
        <v>33.547058104999998</v>
      </c>
      <c r="G570">
        <v>1344.1297606999999</v>
      </c>
      <c r="H570">
        <v>1340.7770995999999</v>
      </c>
      <c r="I570">
        <v>1315.3811035000001</v>
      </c>
      <c r="J570">
        <v>1308.1877440999999</v>
      </c>
      <c r="K570">
        <v>2400</v>
      </c>
      <c r="L570">
        <v>0</v>
      </c>
      <c r="M570">
        <v>0</v>
      </c>
      <c r="N570">
        <v>2400</v>
      </c>
    </row>
    <row r="571" spans="1:14" x14ac:dyDescent="0.25">
      <c r="A571">
        <v>168.47029499999999</v>
      </c>
      <c r="B571" s="1">
        <f>DATE(2010,10,16) + TIME(11,17,13)</f>
        <v>40467.470289351855</v>
      </c>
      <c r="C571">
        <v>80</v>
      </c>
      <c r="D571">
        <v>79.935295104999994</v>
      </c>
      <c r="E571">
        <v>50</v>
      </c>
      <c r="F571">
        <v>34.003955841</v>
      </c>
      <c r="G571">
        <v>1344.1182861</v>
      </c>
      <c r="H571">
        <v>1340.7673339999999</v>
      </c>
      <c r="I571">
        <v>1315.4123535000001</v>
      </c>
      <c r="J571">
        <v>1308.2485352000001</v>
      </c>
      <c r="K571">
        <v>2400</v>
      </c>
      <c r="L571">
        <v>0</v>
      </c>
      <c r="M571">
        <v>0</v>
      </c>
      <c r="N571">
        <v>2400</v>
      </c>
    </row>
    <row r="572" spans="1:14" x14ac:dyDescent="0.25">
      <c r="A572">
        <v>169.62718799999999</v>
      </c>
      <c r="B572" s="1">
        <f>DATE(2010,10,17) + TIME(15,3,9)</f>
        <v>40468.627187500002</v>
      </c>
      <c r="C572">
        <v>80</v>
      </c>
      <c r="D572">
        <v>79.935363769999995</v>
      </c>
      <c r="E572">
        <v>50</v>
      </c>
      <c r="F572">
        <v>34.458145141999999</v>
      </c>
      <c r="G572">
        <v>1344.1068115</v>
      </c>
      <c r="H572">
        <v>1340.7575684000001</v>
      </c>
      <c r="I572">
        <v>1315.4442139</v>
      </c>
      <c r="J572">
        <v>1308.3100586</v>
      </c>
      <c r="K572">
        <v>2400</v>
      </c>
      <c r="L572">
        <v>0</v>
      </c>
      <c r="M572">
        <v>0</v>
      </c>
      <c r="N572">
        <v>2400</v>
      </c>
    </row>
    <row r="573" spans="1:14" x14ac:dyDescent="0.25">
      <c r="A573">
        <v>170.21419399999999</v>
      </c>
      <c r="B573" s="1">
        <f>DATE(2010,10,18) + TIME(5,8,26)</f>
        <v>40469.214189814818</v>
      </c>
      <c r="C573">
        <v>80</v>
      </c>
      <c r="D573">
        <v>79.935394286999994</v>
      </c>
      <c r="E573">
        <v>50</v>
      </c>
      <c r="F573">
        <v>34.79523468</v>
      </c>
      <c r="G573">
        <v>1344.0952147999999</v>
      </c>
      <c r="H573">
        <v>1340.7476807</v>
      </c>
      <c r="I573">
        <v>1315.4833983999999</v>
      </c>
      <c r="J573">
        <v>1308.3664550999999</v>
      </c>
      <c r="K573">
        <v>2400</v>
      </c>
      <c r="L573">
        <v>0</v>
      </c>
      <c r="M573">
        <v>0</v>
      </c>
      <c r="N573">
        <v>2400</v>
      </c>
    </row>
    <row r="574" spans="1:14" x14ac:dyDescent="0.25">
      <c r="A574">
        <v>170.80119999999999</v>
      </c>
      <c r="B574" s="1">
        <f>DATE(2010,10,18) + TIME(19,13,43)</f>
        <v>40469.801192129627</v>
      </c>
      <c r="C574">
        <v>80</v>
      </c>
      <c r="D574">
        <v>79.935432434000006</v>
      </c>
      <c r="E574">
        <v>50</v>
      </c>
      <c r="F574">
        <v>35.075256348000003</v>
      </c>
      <c r="G574">
        <v>1344.0893555</v>
      </c>
      <c r="H574">
        <v>1340.7426757999999</v>
      </c>
      <c r="I574">
        <v>1315.4980469</v>
      </c>
      <c r="J574">
        <v>1308.4025879000001</v>
      </c>
      <c r="K574">
        <v>2400</v>
      </c>
      <c r="L574">
        <v>0</v>
      </c>
      <c r="M574">
        <v>0</v>
      </c>
      <c r="N574">
        <v>2400</v>
      </c>
    </row>
    <row r="575" spans="1:14" x14ac:dyDescent="0.25">
      <c r="A575">
        <v>171.38820699999999</v>
      </c>
      <c r="B575" s="1">
        <f>DATE(2010,10,19) + TIME(9,19,1)</f>
        <v>40470.388206018521</v>
      </c>
      <c r="C575">
        <v>80</v>
      </c>
      <c r="D575">
        <v>79.935470581000004</v>
      </c>
      <c r="E575">
        <v>50</v>
      </c>
      <c r="F575">
        <v>35.325111389</v>
      </c>
      <c r="G575">
        <v>1344.0834961</v>
      </c>
      <c r="H575">
        <v>1340.737793</v>
      </c>
      <c r="I575">
        <v>1315.5137939000001</v>
      </c>
      <c r="J575">
        <v>1308.4366454999999</v>
      </c>
      <c r="K575">
        <v>2400</v>
      </c>
      <c r="L575">
        <v>0</v>
      </c>
      <c r="M575">
        <v>0</v>
      </c>
      <c r="N575">
        <v>2400</v>
      </c>
    </row>
    <row r="576" spans="1:14" x14ac:dyDescent="0.25">
      <c r="A576">
        <v>171.975213</v>
      </c>
      <c r="B576" s="1">
        <f>DATE(2010,10,19) + TIME(23,24,18)</f>
        <v>40470.975208333337</v>
      </c>
      <c r="C576">
        <v>80</v>
      </c>
      <c r="D576">
        <v>79.935508728000002</v>
      </c>
      <c r="E576">
        <v>50</v>
      </c>
      <c r="F576">
        <v>35.558444977000001</v>
      </c>
      <c r="G576">
        <v>1344.0777588000001</v>
      </c>
      <c r="H576">
        <v>1340.7327881000001</v>
      </c>
      <c r="I576">
        <v>1315.5302733999999</v>
      </c>
      <c r="J576">
        <v>1308.4693603999999</v>
      </c>
      <c r="K576">
        <v>2400</v>
      </c>
      <c r="L576">
        <v>0</v>
      </c>
      <c r="M576">
        <v>0</v>
      </c>
      <c r="N576">
        <v>2400</v>
      </c>
    </row>
    <row r="577" spans="1:14" x14ac:dyDescent="0.25">
      <c r="A577">
        <v>172.562219</v>
      </c>
      <c r="B577" s="1">
        <f>DATE(2010,10,20) + TIME(13,29,35)</f>
        <v>40471.562210648146</v>
      </c>
      <c r="C577">
        <v>80</v>
      </c>
      <c r="D577">
        <v>79.935546875</v>
      </c>
      <c r="E577">
        <v>50</v>
      </c>
      <c r="F577">
        <v>35.782196044999999</v>
      </c>
      <c r="G577">
        <v>1344.0720214999999</v>
      </c>
      <c r="H577">
        <v>1340.7280272999999</v>
      </c>
      <c r="I577">
        <v>1315.546875</v>
      </c>
      <c r="J577">
        <v>1308.5013428</v>
      </c>
      <c r="K577">
        <v>2400</v>
      </c>
      <c r="L577">
        <v>0</v>
      </c>
      <c r="M577">
        <v>0</v>
      </c>
      <c r="N577">
        <v>2400</v>
      </c>
    </row>
    <row r="578" spans="1:14" x14ac:dyDescent="0.25">
      <c r="A578">
        <v>173.149225</v>
      </c>
      <c r="B578" s="1">
        <f>DATE(2010,10,21) + TIME(3,34,53)</f>
        <v>40472.149224537039</v>
      </c>
      <c r="C578">
        <v>80</v>
      </c>
      <c r="D578">
        <v>79.935585021999998</v>
      </c>
      <c r="E578">
        <v>50</v>
      </c>
      <c r="F578">
        <v>35.999893188000001</v>
      </c>
      <c r="G578">
        <v>1344.0664062000001</v>
      </c>
      <c r="H578">
        <v>1340.7231445</v>
      </c>
      <c r="I578">
        <v>1315.5637207</v>
      </c>
      <c r="J578">
        <v>1308.5329589999999</v>
      </c>
      <c r="K578">
        <v>2400</v>
      </c>
      <c r="L578">
        <v>0</v>
      </c>
      <c r="M578">
        <v>0</v>
      </c>
      <c r="N578">
        <v>2400</v>
      </c>
    </row>
    <row r="579" spans="1:14" x14ac:dyDescent="0.25">
      <c r="A579">
        <v>173.736232</v>
      </c>
      <c r="B579" s="1">
        <f>DATE(2010,10,21) + TIME(17,40,10)</f>
        <v>40472.736226851855</v>
      </c>
      <c r="C579">
        <v>80</v>
      </c>
      <c r="D579">
        <v>79.935623168999996</v>
      </c>
      <c r="E579">
        <v>50</v>
      </c>
      <c r="F579">
        <v>36.213348388999997</v>
      </c>
      <c r="G579">
        <v>1344.0607910000001</v>
      </c>
      <c r="H579">
        <v>1340.7183838000001</v>
      </c>
      <c r="I579">
        <v>1315.5805664</v>
      </c>
      <c r="J579">
        <v>1308.5642089999999</v>
      </c>
      <c r="K579">
        <v>2400</v>
      </c>
      <c r="L579">
        <v>0</v>
      </c>
      <c r="M579">
        <v>0</v>
      </c>
      <c r="N579">
        <v>2400</v>
      </c>
    </row>
    <row r="580" spans="1:14" x14ac:dyDescent="0.25">
      <c r="A580">
        <v>174.323238</v>
      </c>
      <c r="B580" s="1">
        <f>DATE(2010,10,22) + TIME(7,45,27)</f>
        <v>40473.323229166665</v>
      </c>
      <c r="C580">
        <v>80</v>
      </c>
      <c r="D580">
        <v>79.935661315999994</v>
      </c>
      <c r="E580">
        <v>50</v>
      </c>
      <c r="F580">
        <v>36.423496245999999</v>
      </c>
      <c r="G580">
        <v>1344.0551757999999</v>
      </c>
      <c r="H580">
        <v>1340.7136230000001</v>
      </c>
      <c r="I580">
        <v>1315.5975341999999</v>
      </c>
      <c r="J580">
        <v>1308.5953368999999</v>
      </c>
      <c r="K580">
        <v>2400</v>
      </c>
      <c r="L580">
        <v>0</v>
      </c>
      <c r="M580">
        <v>0</v>
      </c>
      <c r="N580">
        <v>2400</v>
      </c>
    </row>
    <row r="581" spans="1:14" x14ac:dyDescent="0.25">
      <c r="A581">
        <v>174.91024400000001</v>
      </c>
      <c r="B581" s="1">
        <f>DATE(2010,10,22) + TIME(21,50,45)</f>
        <v>40473.910243055558</v>
      </c>
      <c r="C581">
        <v>80</v>
      </c>
      <c r="D581">
        <v>79.935699463000006</v>
      </c>
      <c r="E581">
        <v>50</v>
      </c>
      <c r="F581">
        <v>36.630828856999997</v>
      </c>
      <c r="G581">
        <v>1344.0495605000001</v>
      </c>
      <c r="H581">
        <v>1340.7088623</v>
      </c>
      <c r="I581">
        <v>1315.6145019999999</v>
      </c>
      <c r="J581">
        <v>1308.6263428</v>
      </c>
      <c r="K581">
        <v>2400</v>
      </c>
      <c r="L581">
        <v>0</v>
      </c>
      <c r="M581">
        <v>0</v>
      </c>
      <c r="N581">
        <v>2400</v>
      </c>
    </row>
    <row r="582" spans="1:14" x14ac:dyDescent="0.25">
      <c r="A582">
        <v>175.49725000000001</v>
      </c>
      <c r="B582" s="1">
        <f>DATE(2010,10,23) + TIME(11,56,2)</f>
        <v>40474.497245370374</v>
      </c>
      <c r="C582">
        <v>80</v>
      </c>
      <c r="D582">
        <v>79.935737610000004</v>
      </c>
      <c r="E582">
        <v>50</v>
      </c>
      <c r="F582">
        <v>36.835613250999998</v>
      </c>
      <c r="G582">
        <v>1344.0440673999999</v>
      </c>
      <c r="H582">
        <v>1340.7041016000001</v>
      </c>
      <c r="I582">
        <v>1315.6314697</v>
      </c>
      <c r="J582">
        <v>1308.6571045000001</v>
      </c>
      <c r="K582">
        <v>2400</v>
      </c>
      <c r="L582">
        <v>0</v>
      </c>
      <c r="M582">
        <v>0</v>
      </c>
      <c r="N582">
        <v>2400</v>
      </c>
    </row>
    <row r="583" spans="1:14" x14ac:dyDescent="0.25">
      <c r="A583">
        <v>176.08425700000001</v>
      </c>
      <c r="B583" s="1">
        <f>DATE(2010,10,24) + TIME(2,1,19)</f>
        <v>40475.084247685183</v>
      </c>
      <c r="C583">
        <v>80</v>
      </c>
      <c r="D583">
        <v>79.935775757000002</v>
      </c>
      <c r="E583">
        <v>50</v>
      </c>
      <c r="F583">
        <v>37.038002014</v>
      </c>
      <c r="G583">
        <v>1344.0385742000001</v>
      </c>
      <c r="H583">
        <v>1340.6994629000001</v>
      </c>
      <c r="I583">
        <v>1315.6485596</v>
      </c>
      <c r="J583">
        <v>1308.6877440999999</v>
      </c>
      <c r="K583">
        <v>2400</v>
      </c>
      <c r="L583">
        <v>0</v>
      </c>
      <c r="M583">
        <v>0</v>
      </c>
      <c r="N583">
        <v>2400</v>
      </c>
    </row>
    <row r="584" spans="1:14" x14ac:dyDescent="0.25">
      <c r="A584">
        <v>176.67126300000001</v>
      </c>
      <c r="B584" s="1">
        <f>DATE(2010,10,24) + TIME(16,6,37)</f>
        <v>40475.671261574076</v>
      </c>
      <c r="C584">
        <v>80</v>
      </c>
      <c r="D584">
        <v>79.935813904</v>
      </c>
      <c r="E584">
        <v>50</v>
      </c>
      <c r="F584">
        <v>37.238079071000001</v>
      </c>
      <c r="G584">
        <v>1344.0330810999999</v>
      </c>
      <c r="H584">
        <v>1340.6948242000001</v>
      </c>
      <c r="I584">
        <v>1315.6655272999999</v>
      </c>
      <c r="J584">
        <v>1308.7182617000001</v>
      </c>
      <c r="K584">
        <v>2400</v>
      </c>
      <c r="L584">
        <v>0</v>
      </c>
      <c r="M584">
        <v>0</v>
      </c>
      <c r="N584">
        <v>2400</v>
      </c>
    </row>
    <row r="585" spans="1:14" x14ac:dyDescent="0.25">
      <c r="A585">
        <v>177.25826900000001</v>
      </c>
      <c r="B585" s="1">
        <f>DATE(2010,10,25) + TIME(6,11,54)</f>
        <v>40476.258263888885</v>
      </c>
      <c r="C585">
        <v>80</v>
      </c>
      <c r="D585">
        <v>79.935852050999998</v>
      </c>
      <c r="E585">
        <v>50</v>
      </c>
      <c r="F585">
        <v>37.435905456999997</v>
      </c>
      <c r="G585">
        <v>1344.0275879000001</v>
      </c>
      <c r="H585">
        <v>1340.6901855000001</v>
      </c>
      <c r="I585">
        <v>1315.6824951000001</v>
      </c>
      <c r="J585">
        <v>1308.7487793</v>
      </c>
      <c r="K585">
        <v>2400</v>
      </c>
      <c r="L585">
        <v>0</v>
      </c>
      <c r="M585">
        <v>0</v>
      </c>
      <c r="N585">
        <v>2400</v>
      </c>
    </row>
    <row r="586" spans="1:14" x14ac:dyDescent="0.25">
      <c r="A586">
        <v>178.43228199999999</v>
      </c>
      <c r="B586" s="1">
        <f>DATE(2010,10,26) + TIME(10,22,29)</f>
        <v>40477.432280092595</v>
      </c>
      <c r="C586">
        <v>80</v>
      </c>
      <c r="D586">
        <v>79.935935974000003</v>
      </c>
      <c r="E586">
        <v>50</v>
      </c>
      <c r="F586">
        <v>37.696537018000001</v>
      </c>
      <c r="G586">
        <v>1344.0222168</v>
      </c>
      <c r="H586">
        <v>1340.6856689000001</v>
      </c>
      <c r="I586">
        <v>1315.6964111</v>
      </c>
      <c r="J586">
        <v>1308.7829589999999</v>
      </c>
      <c r="K586">
        <v>2400</v>
      </c>
      <c r="L586">
        <v>0</v>
      </c>
      <c r="M586">
        <v>0</v>
      </c>
      <c r="N586">
        <v>2400</v>
      </c>
    </row>
    <row r="587" spans="1:14" x14ac:dyDescent="0.25">
      <c r="A587">
        <v>179.610827</v>
      </c>
      <c r="B587" s="1">
        <f>DATE(2010,10,27) + TIME(14,39,35)</f>
        <v>40478.610821759263</v>
      </c>
      <c r="C587">
        <v>80</v>
      </c>
      <c r="D587">
        <v>79.936019896999994</v>
      </c>
      <c r="E587">
        <v>50</v>
      </c>
      <c r="F587">
        <v>38.038787841999998</v>
      </c>
      <c r="G587">
        <v>1344.0115966999999</v>
      </c>
      <c r="H587">
        <v>1340.6765137</v>
      </c>
      <c r="I587">
        <v>1315.730957</v>
      </c>
      <c r="J587">
        <v>1308.8377685999999</v>
      </c>
      <c r="K587">
        <v>2400</v>
      </c>
      <c r="L587">
        <v>0</v>
      </c>
      <c r="M587">
        <v>0</v>
      </c>
      <c r="N587">
        <v>2400</v>
      </c>
    </row>
    <row r="588" spans="1:14" x14ac:dyDescent="0.25">
      <c r="A588">
        <v>180.81294399999999</v>
      </c>
      <c r="B588" s="1">
        <f>DATE(2010,10,28) + TIME(19,30,38)</f>
        <v>40479.812939814816</v>
      </c>
      <c r="C588">
        <v>80</v>
      </c>
      <c r="D588">
        <v>79.936096191000004</v>
      </c>
      <c r="E588">
        <v>50</v>
      </c>
      <c r="F588">
        <v>38.405517578000001</v>
      </c>
      <c r="G588">
        <v>1344.0009766000001</v>
      </c>
      <c r="H588">
        <v>1340.6676024999999</v>
      </c>
      <c r="I588">
        <v>1315.7651367000001</v>
      </c>
      <c r="J588">
        <v>1308.8959961</v>
      </c>
      <c r="K588">
        <v>2400</v>
      </c>
      <c r="L588">
        <v>0</v>
      </c>
      <c r="M588">
        <v>0</v>
      </c>
      <c r="N588">
        <v>2400</v>
      </c>
    </row>
    <row r="589" spans="1:14" x14ac:dyDescent="0.25">
      <c r="A589">
        <v>182.042239</v>
      </c>
      <c r="B589" s="1">
        <f>DATE(2010,10,30) + TIME(1,0,49)</f>
        <v>40481.042233796295</v>
      </c>
      <c r="C589">
        <v>80</v>
      </c>
      <c r="D589">
        <v>79.936180114999999</v>
      </c>
      <c r="E589">
        <v>50</v>
      </c>
      <c r="F589">
        <v>38.780124663999999</v>
      </c>
      <c r="G589">
        <v>1343.9902344</v>
      </c>
      <c r="H589">
        <v>1340.6584473</v>
      </c>
      <c r="I589">
        <v>1315.7996826000001</v>
      </c>
      <c r="J589">
        <v>1308.9559326000001</v>
      </c>
      <c r="K589">
        <v>2400</v>
      </c>
      <c r="L589">
        <v>0</v>
      </c>
      <c r="M589">
        <v>0</v>
      </c>
      <c r="N589">
        <v>2400</v>
      </c>
    </row>
    <row r="590" spans="1:14" x14ac:dyDescent="0.25">
      <c r="A590">
        <v>183.29429400000001</v>
      </c>
      <c r="B590" s="1">
        <f>DATE(2010,10,31) + TIME(7,3,46)</f>
        <v>40482.294282407405</v>
      </c>
      <c r="C590">
        <v>80</v>
      </c>
      <c r="D590">
        <v>79.936264038000004</v>
      </c>
      <c r="E590">
        <v>50</v>
      </c>
      <c r="F590">
        <v>39.156764983999999</v>
      </c>
      <c r="G590">
        <v>1343.9793701000001</v>
      </c>
      <c r="H590">
        <v>1340.6492920000001</v>
      </c>
      <c r="I590">
        <v>1315.8350829999999</v>
      </c>
      <c r="J590">
        <v>1309.0170897999999</v>
      </c>
      <c r="K590">
        <v>2400</v>
      </c>
      <c r="L590">
        <v>0</v>
      </c>
      <c r="M590">
        <v>0</v>
      </c>
      <c r="N590">
        <v>2400</v>
      </c>
    </row>
    <row r="591" spans="1:14" x14ac:dyDescent="0.25">
      <c r="A591">
        <v>184</v>
      </c>
      <c r="B591" s="1">
        <f>DATE(2010,11,1) + TIME(0,0,0)</f>
        <v>40483</v>
      </c>
      <c r="C591">
        <v>80</v>
      </c>
      <c r="D591">
        <v>79.936302185000002</v>
      </c>
      <c r="E591">
        <v>50</v>
      </c>
      <c r="F591">
        <v>39.457622528000002</v>
      </c>
      <c r="G591">
        <v>1343.9685059000001</v>
      </c>
      <c r="H591">
        <v>1340.6401367000001</v>
      </c>
      <c r="I591">
        <v>1315.8743896000001</v>
      </c>
      <c r="J591">
        <v>1309.0743408000001</v>
      </c>
      <c r="K591">
        <v>2400</v>
      </c>
      <c r="L591">
        <v>0</v>
      </c>
      <c r="M591">
        <v>0</v>
      </c>
      <c r="N591">
        <v>2400</v>
      </c>
    </row>
    <row r="592" spans="1:14" x14ac:dyDescent="0.25">
      <c r="A592">
        <v>184.000001</v>
      </c>
      <c r="B592" s="1">
        <f>DATE(2010,11,1) + TIME(0,0,0)</f>
        <v>40483</v>
      </c>
      <c r="C592">
        <v>80</v>
      </c>
      <c r="D592">
        <v>79.936195373999993</v>
      </c>
      <c r="E592">
        <v>50</v>
      </c>
      <c r="F592">
        <v>39.457778931</v>
      </c>
      <c r="G592">
        <v>1339.9304199000001</v>
      </c>
      <c r="H592">
        <v>1338.1944579999999</v>
      </c>
      <c r="I592">
        <v>1323.7440185999999</v>
      </c>
      <c r="J592">
        <v>1317.0261230000001</v>
      </c>
      <c r="K592">
        <v>0</v>
      </c>
      <c r="L592">
        <v>2400</v>
      </c>
      <c r="M592">
        <v>2400</v>
      </c>
      <c r="N592">
        <v>0</v>
      </c>
    </row>
    <row r="593" spans="1:14" x14ac:dyDescent="0.25">
      <c r="A593">
        <v>184.00000399999999</v>
      </c>
      <c r="B593" s="1">
        <f>DATE(2010,11,1) + TIME(0,0,0)</f>
        <v>40483</v>
      </c>
      <c r="C593">
        <v>80</v>
      </c>
      <c r="D593">
        <v>79.936027526999993</v>
      </c>
      <c r="E593">
        <v>50</v>
      </c>
      <c r="F593">
        <v>39.458114623999997</v>
      </c>
      <c r="G593">
        <v>1338.7166748</v>
      </c>
      <c r="H593">
        <v>1336.9805908000001</v>
      </c>
      <c r="I593">
        <v>1325.6274414</v>
      </c>
      <c r="J593">
        <v>1319.3665771000001</v>
      </c>
      <c r="K593">
        <v>0</v>
      </c>
      <c r="L593">
        <v>2400</v>
      </c>
      <c r="M593">
        <v>2400</v>
      </c>
      <c r="N593">
        <v>0</v>
      </c>
    </row>
    <row r="594" spans="1:14" x14ac:dyDescent="0.25">
      <c r="A594">
        <v>184.000013</v>
      </c>
      <c r="B594" s="1">
        <f>DATE(2010,11,1) + TIME(0,0,1)</f>
        <v>40483.000011574077</v>
      </c>
      <c r="C594">
        <v>80</v>
      </c>
      <c r="D594">
        <v>79.935813904</v>
      </c>
      <c r="E594">
        <v>50</v>
      </c>
      <c r="F594">
        <v>39.458667755</v>
      </c>
      <c r="G594">
        <v>1337.2298584</v>
      </c>
      <c r="H594">
        <v>1335.4920654</v>
      </c>
      <c r="I594">
        <v>1328.7983397999999</v>
      </c>
      <c r="J594">
        <v>1322.7554932</v>
      </c>
      <c r="K594">
        <v>0</v>
      </c>
      <c r="L594">
        <v>2400</v>
      </c>
      <c r="M594">
        <v>2400</v>
      </c>
      <c r="N594">
        <v>0</v>
      </c>
    </row>
    <row r="595" spans="1:14" x14ac:dyDescent="0.25">
      <c r="A595">
        <v>184.00004000000001</v>
      </c>
      <c r="B595" s="1">
        <f>DATE(2010,11,1) + TIME(0,0,3)</f>
        <v>40483.000034722223</v>
      </c>
      <c r="C595">
        <v>80</v>
      </c>
      <c r="D595">
        <v>79.935592650999993</v>
      </c>
      <c r="E595">
        <v>50</v>
      </c>
      <c r="F595">
        <v>39.459575653000002</v>
      </c>
      <c r="G595">
        <v>1335.7219238</v>
      </c>
      <c r="H595">
        <v>1333.9726562000001</v>
      </c>
      <c r="I595">
        <v>1332.7270507999999</v>
      </c>
      <c r="J595">
        <v>1326.6408690999999</v>
      </c>
      <c r="K595">
        <v>0</v>
      </c>
      <c r="L595">
        <v>2400</v>
      </c>
      <c r="M595">
        <v>2400</v>
      </c>
      <c r="N595">
        <v>0</v>
      </c>
    </row>
    <row r="596" spans="1:14" x14ac:dyDescent="0.25">
      <c r="A596">
        <v>184.00012100000001</v>
      </c>
      <c r="B596" s="1">
        <f>DATE(2010,11,1) + TIME(0,0,10)</f>
        <v>40483.000115740739</v>
      </c>
      <c r="C596">
        <v>80</v>
      </c>
      <c r="D596">
        <v>79.935356139999996</v>
      </c>
      <c r="E596">
        <v>50</v>
      </c>
      <c r="F596">
        <v>39.461395263999997</v>
      </c>
      <c r="G596">
        <v>1334.2015381000001</v>
      </c>
      <c r="H596">
        <v>1332.4128418</v>
      </c>
      <c r="I596">
        <v>1336.8029785000001</v>
      </c>
      <c r="J596">
        <v>1330.6514893000001</v>
      </c>
      <c r="K596">
        <v>0</v>
      </c>
      <c r="L596">
        <v>2400</v>
      </c>
      <c r="M596">
        <v>2400</v>
      </c>
      <c r="N596">
        <v>0</v>
      </c>
    </row>
    <row r="597" spans="1:14" x14ac:dyDescent="0.25">
      <c r="A597">
        <v>184.00036399999999</v>
      </c>
      <c r="B597" s="1">
        <f>DATE(2010,11,1) + TIME(0,0,31)</f>
        <v>40483.000358796293</v>
      </c>
      <c r="C597">
        <v>80</v>
      </c>
      <c r="D597">
        <v>79.935058593999997</v>
      </c>
      <c r="E597">
        <v>50</v>
      </c>
      <c r="F597">
        <v>39.465934752999999</v>
      </c>
      <c r="G597">
        <v>1332.5693358999999</v>
      </c>
      <c r="H597">
        <v>1330.6973877</v>
      </c>
      <c r="I597">
        <v>1340.8527832</v>
      </c>
      <c r="J597">
        <v>1334.6336670000001</v>
      </c>
      <c r="K597">
        <v>0</v>
      </c>
      <c r="L597">
        <v>2400</v>
      </c>
      <c r="M597">
        <v>2400</v>
      </c>
      <c r="N597">
        <v>0</v>
      </c>
    </row>
    <row r="598" spans="1:14" x14ac:dyDescent="0.25">
      <c r="A598">
        <v>184.001093</v>
      </c>
      <c r="B598" s="1">
        <f>DATE(2010,11,1) + TIME(0,1,34)</f>
        <v>40483.001087962963</v>
      </c>
      <c r="C598">
        <v>80</v>
      </c>
      <c r="D598">
        <v>79.934593200999998</v>
      </c>
      <c r="E598">
        <v>50</v>
      </c>
      <c r="F598">
        <v>39.478771209999998</v>
      </c>
      <c r="G598">
        <v>1330.7412108999999</v>
      </c>
      <c r="H598">
        <v>1328.7636719</v>
      </c>
      <c r="I598">
        <v>1344.7370605000001</v>
      </c>
      <c r="J598">
        <v>1338.4135742000001</v>
      </c>
      <c r="K598">
        <v>0</v>
      </c>
      <c r="L598">
        <v>2400</v>
      </c>
      <c r="M598">
        <v>2400</v>
      </c>
      <c r="N598">
        <v>0</v>
      </c>
    </row>
    <row r="599" spans="1:14" x14ac:dyDescent="0.25">
      <c r="A599">
        <v>184.00327999999999</v>
      </c>
      <c r="B599" s="1">
        <f>DATE(2010,11,1) + TIME(0,4,43)</f>
        <v>40483.003275462965</v>
      </c>
      <c r="C599">
        <v>80</v>
      </c>
      <c r="D599">
        <v>79.933708190999994</v>
      </c>
      <c r="E599">
        <v>50</v>
      </c>
      <c r="F599">
        <v>39.516914368000002</v>
      </c>
      <c r="G599">
        <v>1328.9102783000001</v>
      </c>
      <c r="H599">
        <v>1326.8564452999999</v>
      </c>
      <c r="I599">
        <v>1347.9613036999999</v>
      </c>
      <c r="J599">
        <v>1341.5147704999999</v>
      </c>
      <c r="K599">
        <v>0</v>
      </c>
      <c r="L599">
        <v>2400</v>
      </c>
      <c r="M599">
        <v>2400</v>
      </c>
      <c r="N599">
        <v>0</v>
      </c>
    </row>
    <row r="600" spans="1:14" x14ac:dyDescent="0.25">
      <c r="A600">
        <v>184.00984099999999</v>
      </c>
      <c r="B600" s="1">
        <f>DATE(2010,11,1) + TIME(0,14,10)</f>
        <v>40483.009837962964</v>
      </c>
      <c r="C600">
        <v>80</v>
      </c>
      <c r="D600">
        <v>79.931625366000006</v>
      </c>
      <c r="E600">
        <v>50</v>
      </c>
      <c r="F600">
        <v>39.630619049000003</v>
      </c>
      <c r="G600">
        <v>1327.5959473</v>
      </c>
      <c r="H600">
        <v>1325.510376</v>
      </c>
      <c r="I600">
        <v>1349.8338623</v>
      </c>
      <c r="J600">
        <v>1343.3205565999999</v>
      </c>
      <c r="K600">
        <v>0</v>
      </c>
      <c r="L600">
        <v>2400</v>
      </c>
      <c r="M600">
        <v>2400</v>
      </c>
      <c r="N600">
        <v>0</v>
      </c>
    </row>
    <row r="601" spans="1:14" x14ac:dyDescent="0.25">
      <c r="A601">
        <v>184.02952400000001</v>
      </c>
      <c r="B601" s="1">
        <f>DATE(2010,11,1) + TIME(0,42,30)</f>
        <v>40483.029513888891</v>
      </c>
      <c r="C601">
        <v>80</v>
      </c>
      <c r="D601">
        <v>79.925933838000006</v>
      </c>
      <c r="E601">
        <v>50</v>
      </c>
      <c r="F601">
        <v>39.960079192999999</v>
      </c>
      <c r="G601">
        <v>1327.0714111</v>
      </c>
      <c r="H601">
        <v>1324.9775391000001</v>
      </c>
      <c r="I601">
        <v>1350.2871094</v>
      </c>
      <c r="J601">
        <v>1343.8183594</v>
      </c>
      <c r="K601">
        <v>0</v>
      </c>
      <c r="L601">
        <v>2400</v>
      </c>
      <c r="M601">
        <v>2400</v>
      </c>
      <c r="N601">
        <v>0</v>
      </c>
    </row>
    <row r="602" spans="1:14" x14ac:dyDescent="0.25">
      <c r="A602">
        <v>184.058504</v>
      </c>
      <c r="B602" s="1">
        <f>DATE(2010,11,1) + TIME(1,24,14)</f>
        <v>40483.058495370373</v>
      </c>
      <c r="C602">
        <v>80</v>
      </c>
      <c r="D602">
        <v>79.917778014999996</v>
      </c>
      <c r="E602">
        <v>50</v>
      </c>
      <c r="F602">
        <v>40.420028686999999</v>
      </c>
      <c r="G602">
        <v>1326.9824219</v>
      </c>
      <c r="H602">
        <v>1324.8873291</v>
      </c>
      <c r="I602">
        <v>1350.1634521000001</v>
      </c>
      <c r="J602">
        <v>1343.7904053</v>
      </c>
      <c r="K602">
        <v>0</v>
      </c>
      <c r="L602">
        <v>2400</v>
      </c>
      <c r="M602">
        <v>2400</v>
      </c>
      <c r="N602">
        <v>0</v>
      </c>
    </row>
    <row r="603" spans="1:14" x14ac:dyDescent="0.25">
      <c r="A603">
        <v>184.08827500000001</v>
      </c>
      <c r="B603" s="1">
        <f>DATE(2010,11,1) + TIME(2,7,6)</f>
        <v>40483.088263888887</v>
      </c>
      <c r="C603">
        <v>80</v>
      </c>
      <c r="D603">
        <v>79.909484863000003</v>
      </c>
      <c r="E603">
        <v>50</v>
      </c>
      <c r="F603">
        <v>40.86781311</v>
      </c>
      <c r="G603">
        <v>1326.9698486</v>
      </c>
      <c r="H603">
        <v>1324.8743896000001</v>
      </c>
      <c r="I603">
        <v>1349.9963379000001</v>
      </c>
      <c r="J603">
        <v>1343.7133789</v>
      </c>
      <c r="K603">
        <v>0</v>
      </c>
      <c r="L603">
        <v>2400</v>
      </c>
      <c r="M603">
        <v>2400</v>
      </c>
      <c r="N603">
        <v>0</v>
      </c>
    </row>
    <row r="604" spans="1:14" x14ac:dyDescent="0.25">
      <c r="A604">
        <v>184.11886799999999</v>
      </c>
      <c r="B604" s="1">
        <f>DATE(2010,11,1) + TIME(2,51,10)</f>
        <v>40483.11886574074</v>
      </c>
      <c r="C604">
        <v>80</v>
      </c>
      <c r="D604">
        <v>79.901046753000003</v>
      </c>
      <c r="E604">
        <v>50</v>
      </c>
      <c r="F604">
        <v>41.303508759000003</v>
      </c>
      <c r="G604">
        <v>1326.9671631000001</v>
      </c>
      <c r="H604">
        <v>1324.871582</v>
      </c>
      <c r="I604">
        <v>1349.8342285000001</v>
      </c>
      <c r="J604">
        <v>1343.6370850000001</v>
      </c>
      <c r="K604">
        <v>0</v>
      </c>
      <c r="L604">
        <v>2400</v>
      </c>
      <c r="M604">
        <v>2400</v>
      </c>
      <c r="N604">
        <v>0</v>
      </c>
    </row>
    <row r="605" spans="1:14" x14ac:dyDescent="0.25">
      <c r="A605">
        <v>184.15032099999999</v>
      </c>
      <c r="B605" s="1">
        <f>DATE(2010,11,1) + TIME(3,36,27)</f>
        <v>40483.150312500002</v>
      </c>
      <c r="C605">
        <v>80</v>
      </c>
      <c r="D605">
        <v>79.892448424999998</v>
      </c>
      <c r="E605">
        <v>50</v>
      </c>
      <c r="F605">
        <v>41.727321625000002</v>
      </c>
      <c r="G605">
        <v>1326.9660644999999</v>
      </c>
      <c r="H605">
        <v>1324.8702393000001</v>
      </c>
      <c r="I605">
        <v>1349.6805420000001</v>
      </c>
      <c r="J605">
        <v>1343.5648193</v>
      </c>
      <c r="K605">
        <v>0</v>
      </c>
      <c r="L605">
        <v>2400</v>
      </c>
      <c r="M605">
        <v>2400</v>
      </c>
      <c r="N605">
        <v>0</v>
      </c>
    </row>
    <row r="606" spans="1:14" x14ac:dyDescent="0.25">
      <c r="A606">
        <v>184.18268800000001</v>
      </c>
      <c r="B606" s="1">
        <f>DATE(2010,11,1) + TIME(4,23,4)</f>
        <v>40483.182685185187</v>
      </c>
      <c r="C606">
        <v>80</v>
      </c>
      <c r="D606">
        <v>79.883682250999996</v>
      </c>
      <c r="E606">
        <v>50</v>
      </c>
      <c r="F606">
        <v>42.139530182000001</v>
      </c>
      <c r="G606">
        <v>1326.9652100000001</v>
      </c>
      <c r="H606">
        <v>1324.8690185999999</v>
      </c>
      <c r="I606">
        <v>1349.5347899999999</v>
      </c>
      <c r="J606">
        <v>1343.4964600000001</v>
      </c>
      <c r="K606">
        <v>0</v>
      </c>
      <c r="L606">
        <v>2400</v>
      </c>
      <c r="M606">
        <v>2400</v>
      </c>
      <c r="N606">
        <v>0</v>
      </c>
    </row>
    <row r="607" spans="1:14" x14ac:dyDescent="0.25">
      <c r="A607">
        <v>184.21599000000001</v>
      </c>
      <c r="B607" s="1">
        <f>DATE(2010,11,1) + TIME(5,11,1)</f>
        <v>40483.215983796297</v>
      </c>
      <c r="C607">
        <v>80</v>
      </c>
      <c r="D607">
        <v>79.874755859000004</v>
      </c>
      <c r="E607">
        <v>50</v>
      </c>
      <c r="F607">
        <v>42.540019989000001</v>
      </c>
      <c r="G607">
        <v>1326.9642334</v>
      </c>
      <c r="H607">
        <v>1324.8679199000001</v>
      </c>
      <c r="I607">
        <v>1349.3968506000001</v>
      </c>
      <c r="J607">
        <v>1343.4318848</v>
      </c>
      <c r="K607">
        <v>0</v>
      </c>
      <c r="L607">
        <v>2400</v>
      </c>
      <c r="M607">
        <v>2400</v>
      </c>
      <c r="N607">
        <v>0</v>
      </c>
    </row>
    <row r="608" spans="1:14" x14ac:dyDescent="0.25">
      <c r="A608">
        <v>184.25031999999999</v>
      </c>
      <c r="B608" s="1">
        <f>DATE(2010,11,1) + TIME(6,0,27)</f>
        <v>40483.2503125</v>
      </c>
      <c r="C608">
        <v>80</v>
      </c>
      <c r="D608">
        <v>79.865638732999997</v>
      </c>
      <c r="E608">
        <v>50</v>
      </c>
      <c r="F608">
        <v>42.929317474000001</v>
      </c>
      <c r="G608">
        <v>1326.9633789</v>
      </c>
      <c r="H608">
        <v>1324.8666992000001</v>
      </c>
      <c r="I608">
        <v>1349.2662353999999</v>
      </c>
      <c r="J608">
        <v>1343.3706055</v>
      </c>
      <c r="K608">
        <v>0</v>
      </c>
      <c r="L608">
        <v>2400</v>
      </c>
      <c r="M608">
        <v>2400</v>
      </c>
      <c r="N608">
        <v>0</v>
      </c>
    </row>
    <row r="609" spans="1:14" x14ac:dyDescent="0.25">
      <c r="A609">
        <v>184.285752</v>
      </c>
      <c r="B609" s="1">
        <f>DATE(2010,11,1) + TIME(6,51,29)</f>
        <v>40483.285752314812</v>
      </c>
      <c r="C609">
        <v>80</v>
      </c>
      <c r="D609">
        <v>79.856323242000002</v>
      </c>
      <c r="E609">
        <v>50</v>
      </c>
      <c r="F609">
        <v>43.307758331000002</v>
      </c>
      <c r="G609">
        <v>1326.9624022999999</v>
      </c>
      <c r="H609">
        <v>1324.8654785000001</v>
      </c>
      <c r="I609">
        <v>1349.1423339999999</v>
      </c>
      <c r="J609">
        <v>1343.3126221</v>
      </c>
      <c r="K609">
        <v>0</v>
      </c>
      <c r="L609">
        <v>2400</v>
      </c>
      <c r="M609">
        <v>2400</v>
      </c>
      <c r="N609">
        <v>0</v>
      </c>
    </row>
    <row r="610" spans="1:14" x14ac:dyDescent="0.25">
      <c r="A610">
        <v>184.322373</v>
      </c>
      <c r="B610" s="1">
        <f>DATE(2010,11,1) + TIME(7,44,13)</f>
        <v>40483.322372685187</v>
      </c>
      <c r="C610">
        <v>80</v>
      </c>
      <c r="D610">
        <v>79.846786499000004</v>
      </c>
      <c r="E610">
        <v>50</v>
      </c>
      <c r="F610">
        <v>43.675640106000003</v>
      </c>
      <c r="G610">
        <v>1326.9614257999999</v>
      </c>
      <c r="H610">
        <v>1324.8641356999999</v>
      </c>
      <c r="I610">
        <v>1349.0250243999999</v>
      </c>
      <c r="J610">
        <v>1343.2578125</v>
      </c>
      <c r="K610">
        <v>0</v>
      </c>
      <c r="L610">
        <v>2400</v>
      </c>
      <c r="M610">
        <v>2400</v>
      </c>
      <c r="N610">
        <v>0</v>
      </c>
    </row>
    <row r="611" spans="1:14" x14ac:dyDescent="0.25">
      <c r="A611">
        <v>184.360276</v>
      </c>
      <c r="B611" s="1">
        <f>DATE(2010,11,1) + TIME(8,38,47)</f>
        <v>40483.360266203701</v>
      </c>
      <c r="C611">
        <v>80</v>
      </c>
      <c r="D611">
        <v>79.837020874000004</v>
      </c>
      <c r="E611">
        <v>50</v>
      </c>
      <c r="F611">
        <v>44.033226012999997</v>
      </c>
      <c r="G611">
        <v>1326.9603271000001</v>
      </c>
      <c r="H611">
        <v>1324.862793</v>
      </c>
      <c r="I611">
        <v>1348.9138184000001</v>
      </c>
      <c r="J611">
        <v>1343.2059326000001</v>
      </c>
      <c r="K611">
        <v>0</v>
      </c>
      <c r="L611">
        <v>2400</v>
      </c>
      <c r="M611">
        <v>2400</v>
      </c>
      <c r="N611">
        <v>0</v>
      </c>
    </row>
    <row r="612" spans="1:14" x14ac:dyDescent="0.25">
      <c r="A612">
        <v>184.399541</v>
      </c>
      <c r="B612" s="1">
        <f>DATE(2010,11,1) + TIME(9,35,20)</f>
        <v>40483.399537037039</v>
      </c>
      <c r="C612">
        <v>80</v>
      </c>
      <c r="D612">
        <v>79.827011107999994</v>
      </c>
      <c r="E612">
        <v>50</v>
      </c>
      <c r="F612">
        <v>44.380554199000002</v>
      </c>
      <c r="G612">
        <v>1326.9592285000001</v>
      </c>
      <c r="H612">
        <v>1324.8614502</v>
      </c>
      <c r="I612">
        <v>1348.8085937999999</v>
      </c>
      <c r="J612">
        <v>1343.1569824000001</v>
      </c>
      <c r="K612">
        <v>0</v>
      </c>
      <c r="L612">
        <v>2400</v>
      </c>
      <c r="M612">
        <v>2400</v>
      </c>
      <c r="N612">
        <v>0</v>
      </c>
    </row>
    <row r="613" spans="1:14" x14ac:dyDescent="0.25">
      <c r="A613">
        <v>184.440303</v>
      </c>
      <c r="B613" s="1">
        <f>DATE(2010,11,1) + TIME(10,34,2)</f>
        <v>40483.440300925926</v>
      </c>
      <c r="C613">
        <v>80</v>
      </c>
      <c r="D613">
        <v>79.816719054999993</v>
      </c>
      <c r="E613">
        <v>50</v>
      </c>
      <c r="F613">
        <v>44.718025208</v>
      </c>
      <c r="G613">
        <v>1326.9581298999999</v>
      </c>
      <c r="H613">
        <v>1324.8598632999999</v>
      </c>
      <c r="I613">
        <v>1348.7088623</v>
      </c>
      <c r="J613">
        <v>1343.1107178</v>
      </c>
      <c r="K613">
        <v>0</v>
      </c>
      <c r="L613">
        <v>2400</v>
      </c>
      <c r="M613">
        <v>2400</v>
      </c>
      <c r="N613">
        <v>0</v>
      </c>
    </row>
    <row r="614" spans="1:14" x14ac:dyDescent="0.25">
      <c r="A614">
        <v>184.482698</v>
      </c>
      <c r="B614" s="1">
        <f>DATE(2010,11,1) + TIME(11,35,5)</f>
        <v>40483.48269675926</v>
      </c>
      <c r="C614">
        <v>80</v>
      </c>
      <c r="D614">
        <v>79.806137085000003</v>
      </c>
      <c r="E614">
        <v>50</v>
      </c>
      <c r="F614">
        <v>45.045841217000003</v>
      </c>
      <c r="G614">
        <v>1326.9569091999999</v>
      </c>
      <c r="H614">
        <v>1324.8583983999999</v>
      </c>
      <c r="I614">
        <v>1348.6145019999999</v>
      </c>
      <c r="J614">
        <v>1343.0668945</v>
      </c>
      <c r="K614">
        <v>0</v>
      </c>
      <c r="L614">
        <v>2400</v>
      </c>
      <c r="M614">
        <v>2400</v>
      </c>
      <c r="N614">
        <v>0</v>
      </c>
    </row>
    <row r="615" spans="1:14" x14ac:dyDescent="0.25">
      <c r="A615">
        <v>184.52686299999999</v>
      </c>
      <c r="B615" s="1">
        <f>DATE(2010,11,1) + TIME(12,38,40)</f>
        <v>40483.52685185185</v>
      </c>
      <c r="C615">
        <v>80</v>
      </c>
      <c r="D615">
        <v>79.795227050999998</v>
      </c>
      <c r="E615">
        <v>50</v>
      </c>
      <c r="F615">
        <v>45.364105225000003</v>
      </c>
      <c r="G615">
        <v>1326.9555664</v>
      </c>
      <c r="H615">
        <v>1324.8566894999999</v>
      </c>
      <c r="I615">
        <v>1348.5250243999999</v>
      </c>
      <c r="J615">
        <v>1343.0255127</v>
      </c>
      <c r="K615">
        <v>0</v>
      </c>
      <c r="L615">
        <v>2400</v>
      </c>
      <c r="M615">
        <v>2400</v>
      </c>
      <c r="N615">
        <v>0</v>
      </c>
    </row>
    <row r="616" spans="1:14" x14ac:dyDescent="0.25">
      <c r="A616">
        <v>184.57296199999999</v>
      </c>
      <c r="B616" s="1">
        <f>DATE(2010,11,1) + TIME(13,45,3)</f>
        <v>40483.572951388887</v>
      </c>
      <c r="C616">
        <v>80</v>
      </c>
      <c r="D616">
        <v>79.783966063999998</v>
      </c>
      <c r="E616">
        <v>50</v>
      </c>
      <c r="F616">
        <v>45.672931671000001</v>
      </c>
      <c r="G616">
        <v>1326.9543457</v>
      </c>
      <c r="H616">
        <v>1324.8549805</v>
      </c>
      <c r="I616">
        <v>1348.4403076000001</v>
      </c>
      <c r="J616">
        <v>1342.9863281</v>
      </c>
      <c r="K616">
        <v>0</v>
      </c>
      <c r="L616">
        <v>2400</v>
      </c>
      <c r="M616">
        <v>2400</v>
      </c>
      <c r="N616">
        <v>0</v>
      </c>
    </row>
    <row r="617" spans="1:14" x14ac:dyDescent="0.25">
      <c r="A617">
        <v>184.62117599999999</v>
      </c>
      <c r="B617" s="1">
        <f>DATE(2010,11,1) + TIME(14,54,29)</f>
        <v>40483.621168981481</v>
      </c>
      <c r="C617">
        <v>80</v>
      </c>
      <c r="D617">
        <v>79.772323607999994</v>
      </c>
      <c r="E617">
        <v>50</v>
      </c>
      <c r="F617">
        <v>45.972389221</v>
      </c>
      <c r="G617">
        <v>1326.9528809000001</v>
      </c>
      <c r="H617">
        <v>1324.8531493999999</v>
      </c>
      <c r="I617">
        <v>1348.3599853999999</v>
      </c>
      <c r="J617">
        <v>1342.9493408000001</v>
      </c>
      <c r="K617">
        <v>0</v>
      </c>
      <c r="L617">
        <v>2400</v>
      </c>
      <c r="M617">
        <v>2400</v>
      </c>
      <c r="N617">
        <v>0</v>
      </c>
    </row>
    <row r="618" spans="1:14" x14ac:dyDescent="0.25">
      <c r="A618">
        <v>184.67173600000001</v>
      </c>
      <c r="B618" s="1">
        <f>DATE(2010,11,1) + TIME(16,7,18)</f>
        <v>40483.671736111108</v>
      </c>
      <c r="C618">
        <v>80</v>
      </c>
      <c r="D618">
        <v>79.760253906000003</v>
      </c>
      <c r="E618">
        <v>50</v>
      </c>
      <c r="F618">
        <v>46.262645720999998</v>
      </c>
      <c r="G618">
        <v>1326.9514160000001</v>
      </c>
      <c r="H618">
        <v>1324.8511963000001</v>
      </c>
      <c r="I618">
        <v>1348.2839355000001</v>
      </c>
      <c r="J618">
        <v>1342.9143065999999</v>
      </c>
      <c r="K618">
        <v>0</v>
      </c>
      <c r="L618">
        <v>2400</v>
      </c>
      <c r="M618">
        <v>2400</v>
      </c>
      <c r="N618">
        <v>0</v>
      </c>
    </row>
    <row r="619" spans="1:14" x14ac:dyDescent="0.25">
      <c r="A619">
        <v>184.72489999999999</v>
      </c>
      <c r="B619" s="1">
        <f>DATE(2010,11,1) + TIME(17,23,51)</f>
        <v>40483.724895833337</v>
      </c>
      <c r="C619">
        <v>80</v>
      </c>
      <c r="D619">
        <v>79.747711182000003</v>
      </c>
      <c r="E619">
        <v>50</v>
      </c>
      <c r="F619">
        <v>46.543777466000002</v>
      </c>
      <c r="G619">
        <v>1326.9498291</v>
      </c>
      <c r="H619">
        <v>1324.8491211</v>
      </c>
      <c r="I619">
        <v>1348.2116699000001</v>
      </c>
      <c r="J619">
        <v>1342.8809814000001</v>
      </c>
      <c r="K619">
        <v>0</v>
      </c>
      <c r="L619">
        <v>2400</v>
      </c>
      <c r="M619">
        <v>2400</v>
      </c>
      <c r="N619">
        <v>0</v>
      </c>
    </row>
    <row r="620" spans="1:14" x14ac:dyDescent="0.25">
      <c r="A620">
        <v>184.78096600000001</v>
      </c>
      <c r="B620" s="1">
        <f>DATE(2010,11,1) + TIME(18,44,35)</f>
        <v>40483.780960648146</v>
      </c>
      <c r="C620">
        <v>80</v>
      </c>
      <c r="D620">
        <v>79.734649657999995</v>
      </c>
      <c r="E620">
        <v>50</v>
      </c>
      <c r="F620">
        <v>46.815834045000003</v>
      </c>
      <c r="G620">
        <v>1326.9481201000001</v>
      </c>
      <c r="H620">
        <v>1324.8469238</v>
      </c>
      <c r="I620">
        <v>1348.1430664</v>
      </c>
      <c r="J620">
        <v>1342.8493652</v>
      </c>
      <c r="K620">
        <v>0</v>
      </c>
      <c r="L620">
        <v>2400</v>
      </c>
      <c r="M620">
        <v>2400</v>
      </c>
      <c r="N620">
        <v>0</v>
      </c>
    </row>
    <row r="621" spans="1:14" x14ac:dyDescent="0.25">
      <c r="A621">
        <v>184.84028699999999</v>
      </c>
      <c r="B621" s="1">
        <f>DATE(2010,11,1) + TIME(20,10,0)</f>
        <v>40483.840277777781</v>
      </c>
      <c r="C621">
        <v>80</v>
      </c>
      <c r="D621">
        <v>79.721000670999999</v>
      </c>
      <c r="E621">
        <v>50</v>
      </c>
      <c r="F621">
        <v>47.078834534000002</v>
      </c>
      <c r="G621">
        <v>1326.9464111</v>
      </c>
      <c r="H621">
        <v>1324.8444824000001</v>
      </c>
      <c r="I621">
        <v>1348.0778809000001</v>
      </c>
      <c r="J621">
        <v>1342.8192139</v>
      </c>
      <c r="K621">
        <v>0</v>
      </c>
      <c r="L621">
        <v>2400</v>
      </c>
      <c r="M621">
        <v>2400</v>
      </c>
      <c r="N621">
        <v>0</v>
      </c>
    </row>
    <row r="622" spans="1:14" x14ac:dyDescent="0.25">
      <c r="A622">
        <v>184.90328400000001</v>
      </c>
      <c r="B622" s="1">
        <f>DATE(2010,11,1) + TIME(21,40,43)</f>
        <v>40483.903275462966</v>
      </c>
      <c r="C622">
        <v>80</v>
      </c>
      <c r="D622">
        <v>79.706695557000003</v>
      </c>
      <c r="E622">
        <v>50</v>
      </c>
      <c r="F622">
        <v>47.332778931</v>
      </c>
      <c r="G622">
        <v>1326.9444579999999</v>
      </c>
      <c r="H622">
        <v>1324.8420410000001</v>
      </c>
      <c r="I622">
        <v>1348.0157471</v>
      </c>
      <c r="J622">
        <v>1342.7904053</v>
      </c>
      <c r="K622">
        <v>0</v>
      </c>
      <c r="L622">
        <v>2400</v>
      </c>
      <c r="M622">
        <v>2400</v>
      </c>
      <c r="N622">
        <v>0</v>
      </c>
    </row>
    <row r="623" spans="1:14" x14ac:dyDescent="0.25">
      <c r="A623">
        <v>184.97046</v>
      </c>
      <c r="B623" s="1">
        <f>DATE(2010,11,1) + TIME(23,17,27)</f>
        <v>40483.970451388886</v>
      </c>
      <c r="C623">
        <v>80</v>
      </c>
      <c r="D623">
        <v>79.691650390999996</v>
      </c>
      <c r="E623">
        <v>50</v>
      </c>
      <c r="F623">
        <v>47.577621460000003</v>
      </c>
      <c r="G623">
        <v>1326.9423827999999</v>
      </c>
      <c r="H623">
        <v>1324.8392334</v>
      </c>
      <c r="I623">
        <v>1347.9564209</v>
      </c>
      <c r="J623">
        <v>1342.7628173999999</v>
      </c>
      <c r="K623">
        <v>0</v>
      </c>
      <c r="L623">
        <v>2400</v>
      </c>
      <c r="M623">
        <v>2400</v>
      </c>
      <c r="N623">
        <v>0</v>
      </c>
    </row>
    <row r="624" spans="1:14" x14ac:dyDescent="0.25">
      <c r="A624">
        <v>185.04242600000001</v>
      </c>
      <c r="B624" s="1">
        <f>DATE(2010,11,2) + TIME(1,1,5)</f>
        <v>40484.04241898148</v>
      </c>
      <c r="C624">
        <v>80</v>
      </c>
      <c r="D624">
        <v>79.675758361999996</v>
      </c>
      <c r="E624">
        <v>50</v>
      </c>
      <c r="F624">
        <v>47.813282012999998</v>
      </c>
      <c r="G624">
        <v>1326.9401855000001</v>
      </c>
      <c r="H624">
        <v>1324.8363036999999</v>
      </c>
      <c r="I624">
        <v>1347.8996582</v>
      </c>
      <c r="J624">
        <v>1342.7360839999999</v>
      </c>
      <c r="K624">
        <v>0</v>
      </c>
      <c r="L624">
        <v>2400</v>
      </c>
      <c r="M624">
        <v>2400</v>
      </c>
      <c r="N624">
        <v>0</v>
      </c>
    </row>
    <row r="625" spans="1:14" x14ac:dyDescent="0.25">
      <c r="A625">
        <v>185.11988500000001</v>
      </c>
      <c r="B625" s="1">
        <f>DATE(2010,11,2) + TIME(2,52,38)</f>
        <v>40484.119884259257</v>
      </c>
      <c r="C625">
        <v>80</v>
      </c>
      <c r="D625">
        <v>79.658905028999996</v>
      </c>
      <c r="E625">
        <v>50</v>
      </c>
      <c r="F625">
        <v>48.039512633999998</v>
      </c>
      <c r="G625">
        <v>1326.9377440999999</v>
      </c>
      <c r="H625">
        <v>1324.8331298999999</v>
      </c>
      <c r="I625">
        <v>1347.8452147999999</v>
      </c>
      <c r="J625">
        <v>1342.7102050999999</v>
      </c>
      <c r="K625">
        <v>0</v>
      </c>
      <c r="L625">
        <v>2400</v>
      </c>
      <c r="M625">
        <v>2400</v>
      </c>
      <c r="N625">
        <v>0</v>
      </c>
    </row>
    <row r="626" spans="1:14" x14ac:dyDescent="0.25">
      <c r="A626">
        <v>185.20373499999999</v>
      </c>
      <c r="B626" s="1">
        <f>DATE(2010,11,2) + TIME(4,53,22)</f>
        <v>40484.203726851854</v>
      </c>
      <c r="C626">
        <v>80</v>
      </c>
      <c r="D626">
        <v>79.640937804999993</v>
      </c>
      <c r="E626">
        <v>50</v>
      </c>
      <c r="F626">
        <v>48.256107329999999</v>
      </c>
      <c r="G626">
        <v>1326.9351807</v>
      </c>
      <c r="H626">
        <v>1324.8295897999999</v>
      </c>
      <c r="I626">
        <v>1347.7927245999999</v>
      </c>
      <c r="J626">
        <v>1342.6848144999999</v>
      </c>
      <c r="K626">
        <v>0</v>
      </c>
      <c r="L626">
        <v>2400</v>
      </c>
      <c r="M626">
        <v>2400</v>
      </c>
      <c r="N626">
        <v>0</v>
      </c>
    </row>
    <row r="627" spans="1:14" x14ac:dyDescent="0.25">
      <c r="A627">
        <v>185.29510999999999</v>
      </c>
      <c r="B627" s="1">
        <f>DATE(2010,11,2) + TIME(7,4,57)</f>
        <v>40484.295104166667</v>
      </c>
      <c r="C627">
        <v>80</v>
      </c>
      <c r="D627">
        <v>79.621681213000002</v>
      </c>
      <c r="E627">
        <v>50</v>
      </c>
      <c r="F627">
        <v>48.462810515999998</v>
      </c>
      <c r="G627">
        <v>1326.932251</v>
      </c>
      <c r="H627">
        <v>1324.8258057</v>
      </c>
      <c r="I627">
        <v>1347.7418213000001</v>
      </c>
      <c r="J627">
        <v>1342.659668</v>
      </c>
      <c r="K627">
        <v>0</v>
      </c>
      <c r="L627">
        <v>2400</v>
      </c>
      <c r="M627">
        <v>2400</v>
      </c>
      <c r="N627">
        <v>0</v>
      </c>
    </row>
    <row r="628" spans="1:14" x14ac:dyDescent="0.25">
      <c r="A628">
        <v>185.395444</v>
      </c>
      <c r="B628" s="1">
        <f>DATE(2010,11,2) + TIME(9,29,26)</f>
        <v>40484.395439814813</v>
      </c>
      <c r="C628">
        <v>80</v>
      </c>
      <c r="D628">
        <v>79.600906371999997</v>
      </c>
      <c r="E628">
        <v>50</v>
      </c>
      <c r="F628">
        <v>48.659275055000002</v>
      </c>
      <c r="G628">
        <v>1326.9290771000001</v>
      </c>
      <c r="H628">
        <v>1324.8215332</v>
      </c>
      <c r="I628">
        <v>1347.6921387</v>
      </c>
      <c r="J628">
        <v>1342.6346435999999</v>
      </c>
      <c r="K628">
        <v>0</v>
      </c>
      <c r="L628">
        <v>2400</v>
      </c>
      <c r="M628">
        <v>2400</v>
      </c>
      <c r="N628">
        <v>0</v>
      </c>
    </row>
    <row r="629" spans="1:14" x14ac:dyDescent="0.25">
      <c r="A629">
        <v>185.50665799999999</v>
      </c>
      <c r="B629" s="1">
        <f>DATE(2010,11,2) + TIME(12,9,35)</f>
        <v>40484.506655092591</v>
      </c>
      <c r="C629">
        <v>80</v>
      </c>
      <c r="D629">
        <v>79.578308105000005</v>
      </c>
      <c r="E629">
        <v>50</v>
      </c>
      <c r="F629">
        <v>48.845161437999998</v>
      </c>
      <c r="G629">
        <v>1326.9255370999999</v>
      </c>
      <c r="H629">
        <v>1324.8167725000001</v>
      </c>
      <c r="I629">
        <v>1347.6433105000001</v>
      </c>
      <c r="J629">
        <v>1342.609375</v>
      </c>
      <c r="K629">
        <v>0</v>
      </c>
      <c r="L629">
        <v>2400</v>
      </c>
      <c r="M629">
        <v>2400</v>
      </c>
      <c r="N629">
        <v>0</v>
      </c>
    </row>
    <row r="630" spans="1:14" x14ac:dyDescent="0.25">
      <c r="A630">
        <v>185.622649</v>
      </c>
      <c r="B630" s="1">
        <f>DATE(2010,11,2) + TIME(14,56,36)</f>
        <v>40484.62263888889</v>
      </c>
      <c r="C630">
        <v>80</v>
      </c>
      <c r="D630">
        <v>79.555038452000005</v>
      </c>
      <c r="E630">
        <v>50</v>
      </c>
      <c r="F630">
        <v>49.009723663000003</v>
      </c>
      <c r="G630">
        <v>1326.9215088000001</v>
      </c>
      <c r="H630">
        <v>1324.8114014</v>
      </c>
      <c r="I630">
        <v>1347.5994873</v>
      </c>
      <c r="J630">
        <v>1342.5858154</v>
      </c>
      <c r="K630">
        <v>0</v>
      </c>
      <c r="L630">
        <v>2400</v>
      </c>
      <c r="M630">
        <v>2400</v>
      </c>
      <c r="N630">
        <v>0</v>
      </c>
    </row>
    <row r="631" spans="1:14" x14ac:dyDescent="0.25">
      <c r="A631">
        <v>185.740049</v>
      </c>
      <c r="B631" s="1">
        <f>DATE(2010,11,2) + TIME(17,45,40)</f>
        <v>40484.740046296298</v>
      </c>
      <c r="C631">
        <v>80</v>
      </c>
      <c r="D631">
        <v>79.531707764000004</v>
      </c>
      <c r="E631">
        <v>50</v>
      </c>
      <c r="F631">
        <v>49.150909423999998</v>
      </c>
      <c r="G631">
        <v>1326.9172363</v>
      </c>
      <c r="H631">
        <v>1324.8057861</v>
      </c>
      <c r="I631">
        <v>1347.5599365</v>
      </c>
      <c r="J631">
        <v>1342.5635986</v>
      </c>
      <c r="K631">
        <v>0</v>
      </c>
      <c r="L631">
        <v>2400</v>
      </c>
      <c r="M631">
        <v>2400</v>
      </c>
      <c r="N631">
        <v>0</v>
      </c>
    </row>
    <row r="632" spans="1:14" x14ac:dyDescent="0.25">
      <c r="A632">
        <v>185.85866200000001</v>
      </c>
      <c r="B632" s="1">
        <f>DATE(2010,11,2) + TIME(20,36,28)</f>
        <v>40484.858657407407</v>
      </c>
      <c r="C632">
        <v>80</v>
      </c>
      <c r="D632">
        <v>79.508338928000001</v>
      </c>
      <c r="E632">
        <v>50</v>
      </c>
      <c r="F632">
        <v>49.271678925000003</v>
      </c>
      <c r="G632">
        <v>1326.9128418</v>
      </c>
      <c r="H632">
        <v>1324.7999268000001</v>
      </c>
      <c r="I632">
        <v>1347.5229492000001</v>
      </c>
      <c r="J632">
        <v>1342.5421143000001</v>
      </c>
      <c r="K632">
        <v>0</v>
      </c>
      <c r="L632">
        <v>2400</v>
      </c>
      <c r="M632">
        <v>2400</v>
      </c>
      <c r="N632">
        <v>0</v>
      </c>
    </row>
    <row r="633" spans="1:14" x14ac:dyDescent="0.25">
      <c r="A633">
        <v>185.97902199999999</v>
      </c>
      <c r="B633" s="1">
        <f>DATE(2010,11,2) + TIME(23,29,47)</f>
        <v>40484.979016203702</v>
      </c>
      <c r="C633">
        <v>80</v>
      </c>
      <c r="D633">
        <v>79.484840392999999</v>
      </c>
      <c r="E633">
        <v>50</v>
      </c>
      <c r="F633">
        <v>49.375236510999997</v>
      </c>
      <c r="G633">
        <v>1326.9082031</v>
      </c>
      <c r="H633">
        <v>1324.7939452999999</v>
      </c>
      <c r="I633">
        <v>1347.4880370999999</v>
      </c>
      <c r="J633">
        <v>1342.5209961</v>
      </c>
      <c r="K633">
        <v>0</v>
      </c>
      <c r="L633">
        <v>2400</v>
      </c>
      <c r="M633">
        <v>2400</v>
      </c>
      <c r="N633">
        <v>0</v>
      </c>
    </row>
    <row r="634" spans="1:14" x14ac:dyDescent="0.25">
      <c r="A634">
        <v>186.101686</v>
      </c>
      <c r="B634" s="1">
        <f>DATE(2010,11,3) + TIME(2,26,25)</f>
        <v>40485.101678240739</v>
      </c>
      <c r="C634">
        <v>80</v>
      </c>
      <c r="D634">
        <v>79.461097717000001</v>
      </c>
      <c r="E634">
        <v>50</v>
      </c>
      <c r="F634">
        <v>49.464179993000002</v>
      </c>
      <c r="G634">
        <v>1326.9035644999999</v>
      </c>
      <c r="H634">
        <v>1324.7877197</v>
      </c>
      <c r="I634">
        <v>1347.4544678</v>
      </c>
      <c r="J634">
        <v>1342.5002440999999</v>
      </c>
      <c r="K634">
        <v>0</v>
      </c>
      <c r="L634">
        <v>2400</v>
      </c>
      <c r="M634">
        <v>2400</v>
      </c>
      <c r="N634">
        <v>0</v>
      </c>
    </row>
    <row r="635" spans="1:14" x14ac:dyDescent="0.25">
      <c r="A635">
        <v>186.22721200000001</v>
      </c>
      <c r="B635" s="1">
        <f>DATE(2010,11,3) + TIME(5,27,11)</f>
        <v>40485.227210648147</v>
      </c>
      <c r="C635">
        <v>80</v>
      </c>
      <c r="D635">
        <v>79.437034607000001</v>
      </c>
      <c r="E635">
        <v>50</v>
      </c>
      <c r="F635">
        <v>49.540641784999998</v>
      </c>
      <c r="G635">
        <v>1326.8986815999999</v>
      </c>
      <c r="H635">
        <v>1324.78125</v>
      </c>
      <c r="I635">
        <v>1347.421875</v>
      </c>
      <c r="J635">
        <v>1342.4793701000001</v>
      </c>
      <c r="K635">
        <v>0</v>
      </c>
      <c r="L635">
        <v>2400</v>
      </c>
      <c r="M635">
        <v>2400</v>
      </c>
      <c r="N635">
        <v>0</v>
      </c>
    </row>
    <row r="636" spans="1:14" x14ac:dyDescent="0.25">
      <c r="A636">
        <v>186.35615899999999</v>
      </c>
      <c r="B636" s="1">
        <f>DATE(2010,11,3) + TIME(8,32,52)</f>
        <v>40485.356157407405</v>
      </c>
      <c r="C636">
        <v>80</v>
      </c>
      <c r="D636">
        <v>79.412544249999996</v>
      </c>
      <c r="E636">
        <v>50</v>
      </c>
      <c r="F636">
        <v>49.606361389</v>
      </c>
      <c r="G636">
        <v>1326.8936768000001</v>
      </c>
      <c r="H636">
        <v>1324.7745361</v>
      </c>
      <c r="I636">
        <v>1347.3902588000001</v>
      </c>
      <c r="J636">
        <v>1342.4584961</v>
      </c>
      <c r="K636">
        <v>0</v>
      </c>
      <c r="L636">
        <v>2400</v>
      </c>
      <c r="M636">
        <v>2400</v>
      </c>
      <c r="N636">
        <v>0</v>
      </c>
    </row>
    <row r="637" spans="1:14" x14ac:dyDescent="0.25">
      <c r="A637">
        <v>186.48916299999999</v>
      </c>
      <c r="B637" s="1">
        <f>DATE(2010,11,3) + TIME(11,44,23)</f>
        <v>40485.489155092589</v>
      </c>
      <c r="C637">
        <v>80</v>
      </c>
      <c r="D637">
        <v>79.387527465999995</v>
      </c>
      <c r="E637">
        <v>50</v>
      </c>
      <c r="F637">
        <v>49.662815094000003</v>
      </c>
      <c r="G637">
        <v>1326.8884277</v>
      </c>
      <c r="H637">
        <v>1324.7675781</v>
      </c>
      <c r="I637">
        <v>1347.3590088000001</v>
      </c>
      <c r="J637">
        <v>1342.4375</v>
      </c>
      <c r="K637">
        <v>0</v>
      </c>
      <c r="L637">
        <v>2400</v>
      </c>
      <c r="M637">
        <v>2400</v>
      </c>
      <c r="N637">
        <v>0</v>
      </c>
    </row>
    <row r="638" spans="1:14" x14ac:dyDescent="0.25">
      <c r="A638">
        <v>186.62690499999999</v>
      </c>
      <c r="B638" s="1">
        <f>DATE(2010,11,3) + TIME(15,2,44)</f>
        <v>40485.626898148148</v>
      </c>
      <c r="C638">
        <v>80</v>
      </c>
      <c r="D638">
        <v>79.361877441000004</v>
      </c>
      <c r="E638">
        <v>50</v>
      </c>
      <c r="F638">
        <v>49.711238860999998</v>
      </c>
      <c r="G638">
        <v>1326.8829346</v>
      </c>
      <c r="H638">
        <v>1324.7602539</v>
      </c>
      <c r="I638">
        <v>1347.3280029</v>
      </c>
      <c r="J638">
        <v>1342.4161377</v>
      </c>
      <c r="K638">
        <v>0</v>
      </c>
      <c r="L638">
        <v>2400</v>
      </c>
      <c r="M638">
        <v>2400</v>
      </c>
      <c r="N638">
        <v>0</v>
      </c>
    </row>
    <row r="639" spans="1:14" x14ac:dyDescent="0.25">
      <c r="A639">
        <v>186.770139</v>
      </c>
      <c r="B639" s="1">
        <f>DATE(2010,11,3) + TIME(18,28,59)</f>
        <v>40485.770127314812</v>
      </c>
      <c r="C639">
        <v>80</v>
      </c>
      <c r="D639">
        <v>79.335472107000001</v>
      </c>
      <c r="E639">
        <v>50</v>
      </c>
      <c r="F639">
        <v>49.752685546999999</v>
      </c>
      <c r="G639">
        <v>1326.8771973</v>
      </c>
      <c r="H639">
        <v>1324.7525635</v>
      </c>
      <c r="I639">
        <v>1347.2971190999999</v>
      </c>
      <c r="J639">
        <v>1342.3945312000001</v>
      </c>
      <c r="K639">
        <v>0</v>
      </c>
      <c r="L639">
        <v>2400</v>
      </c>
      <c r="M639">
        <v>2400</v>
      </c>
      <c r="N639">
        <v>0</v>
      </c>
    </row>
    <row r="640" spans="1:14" x14ac:dyDescent="0.25">
      <c r="A640">
        <v>186.919714</v>
      </c>
      <c r="B640" s="1">
        <f>DATE(2010,11,3) + TIME(22,4,23)</f>
        <v>40485.919710648152</v>
      </c>
      <c r="C640">
        <v>80</v>
      </c>
      <c r="D640">
        <v>79.308189392000003</v>
      </c>
      <c r="E640">
        <v>50</v>
      </c>
      <c r="F640">
        <v>49.788059234999999</v>
      </c>
      <c r="G640">
        <v>1326.8710937999999</v>
      </c>
      <c r="H640">
        <v>1324.7445068</v>
      </c>
      <c r="I640">
        <v>1347.2662353999999</v>
      </c>
      <c r="J640">
        <v>1342.3725586</v>
      </c>
      <c r="K640">
        <v>0</v>
      </c>
      <c r="L640">
        <v>2400</v>
      </c>
      <c r="M640">
        <v>2400</v>
      </c>
      <c r="N640">
        <v>0</v>
      </c>
    </row>
    <row r="641" spans="1:14" x14ac:dyDescent="0.25">
      <c r="A641">
        <v>187.07599300000001</v>
      </c>
      <c r="B641" s="1">
        <f>DATE(2010,11,4) + TIME(1,49,25)</f>
        <v>40486.075983796298</v>
      </c>
      <c r="C641">
        <v>80</v>
      </c>
      <c r="D641">
        <v>79.279975891000007</v>
      </c>
      <c r="E641">
        <v>50</v>
      </c>
      <c r="F641">
        <v>49.818038940000001</v>
      </c>
      <c r="G641">
        <v>1326.864624</v>
      </c>
      <c r="H641">
        <v>1324.7359618999999</v>
      </c>
      <c r="I641">
        <v>1347.2351074000001</v>
      </c>
      <c r="J641">
        <v>1342.3499756000001</v>
      </c>
      <c r="K641">
        <v>0</v>
      </c>
      <c r="L641">
        <v>2400</v>
      </c>
      <c r="M641">
        <v>2400</v>
      </c>
      <c r="N641">
        <v>0</v>
      </c>
    </row>
    <row r="642" spans="1:14" x14ac:dyDescent="0.25">
      <c r="A642">
        <v>187.239992</v>
      </c>
      <c r="B642" s="1">
        <f>DATE(2010,11,4) + TIME(5,45,35)</f>
        <v>40486.239988425928</v>
      </c>
      <c r="C642">
        <v>80</v>
      </c>
      <c r="D642">
        <v>79.250679016000007</v>
      </c>
      <c r="E642">
        <v>50</v>
      </c>
      <c r="F642">
        <v>49.843345642000003</v>
      </c>
      <c r="G642">
        <v>1326.8579102000001</v>
      </c>
      <c r="H642">
        <v>1324.7269286999999</v>
      </c>
      <c r="I642">
        <v>1347.2037353999999</v>
      </c>
      <c r="J642">
        <v>1342.3270264</v>
      </c>
      <c r="K642">
        <v>0</v>
      </c>
      <c r="L642">
        <v>2400</v>
      </c>
      <c r="M642">
        <v>2400</v>
      </c>
      <c r="N642">
        <v>0</v>
      </c>
    </row>
    <row r="643" spans="1:14" x14ac:dyDescent="0.25">
      <c r="A643">
        <v>187.412893</v>
      </c>
      <c r="B643" s="1">
        <f>DATE(2010,11,4) + TIME(9,54,33)</f>
        <v>40486.412881944445</v>
      </c>
      <c r="C643">
        <v>80</v>
      </c>
      <c r="D643">
        <v>79.220138550000001</v>
      </c>
      <c r="E643">
        <v>50</v>
      </c>
      <c r="F643">
        <v>49.864601135000001</v>
      </c>
      <c r="G643">
        <v>1326.8507079999999</v>
      </c>
      <c r="H643">
        <v>1324.7172852000001</v>
      </c>
      <c r="I643">
        <v>1347.1719971</v>
      </c>
      <c r="J643">
        <v>1342.3034668</v>
      </c>
      <c r="K643">
        <v>0</v>
      </c>
      <c r="L643">
        <v>2400</v>
      </c>
      <c r="M643">
        <v>2400</v>
      </c>
      <c r="N643">
        <v>0</v>
      </c>
    </row>
    <row r="644" spans="1:14" x14ac:dyDescent="0.25">
      <c r="A644">
        <v>187.596092</v>
      </c>
      <c r="B644" s="1">
        <f>DATE(2010,11,4) + TIME(14,18,22)</f>
        <v>40486.596087962964</v>
      </c>
      <c r="C644">
        <v>80</v>
      </c>
      <c r="D644">
        <v>79.188156128000003</v>
      </c>
      <c r="E644">
        <v>50</v>
      </c>
      <c r="F644">
        <v>49.882354736000003</v>
      </c>
      <c r="G644">
        <v>1326.8431396000001</v>
      </c>
      <c r="H644">
        <v>1324.7070312000001</v>
      </c>
      <c r="I644">
        <v>1347.1396483999999</v>
      </c>
      <c r="J644">
        <v>1342.2794189000001</v>
      </c>
      <c r="K644">
        <v>0</v>
      </c>
      <c r="L644">
        <v>2400</v>
      </c>
      <c r="M644">
        <v>2400</v>
      </c>
      <c r="N644">
        <v>0</v>
      </c>
    </row>
    <row r="645" spans="1:14" x14ac:dyDescent="0.25">
      <c r="A645">
        <v>187.79127</v>
      </c>
      <c r="B645" s="1">
        <f>DATE(2010,11,4) + TIME(18,59,25)</f>
        <v>40486.791261574072</v>
      </c>
      <c r="C645">
        <v>80</v>
      </c>
      <c r="D645">
        <v>79.154502868999998</v>
      </c>
      <c r="E645">
        <v>50</v>
      </c>
      <c r="F645">
        <v>49.897083281999997</v>
      </c>
      <c r="G645">
        <v>1326.8349608999999</v>
      </c>
      <c r="H645">
        <v>1324.6961670000001</v>
      </c>
      <c r="I645">
        <v>1347.1065673999999</v>
      </c>
      <c r="J645">
        <v>1342.2545166</v>
      </c>
      <c r="K645">
        <v>0</v>
      </c>
      <c r="L645">
        <v>2400</v>
      </c>
      <c r="M645">
        <v>2400</v>
      </c>
      <c r="N645">
        <v>0</v>
      </c>
    </row>
    <row r="646" spans="1:14" x14ac:dyDescent="0.25">
      <c r="A646">
        <v>187.999686</v>
      </c>
      <c r="B646" s="1">
        <f>DATE(2010,11,4) + TIME(23,59,32)</f>
        <v>40486.999675925923</v>
      </c>
      <c r="C646">
        <v>80</v>
      </c>
      <c r="D646">
        <v>79.119003296000002</v>
      </c>
      <c r="E646">
        <v>50</v>
      </c>
      <c r="F646">
        <v>49.909172058000003</v>
      </c>
      <c r="G646">
        <v>1326.8261719</v>
      </c>
      <c r="H646">
        <v>1324.6843262</v>
      </c>
      <c r="I646">
        <v>1347.0727539</v>
      </c>
      <c r="J646">
        <v>1342.2288818</v>
      </c>
      <c r="K646">
        <v>0</v>
      </c>
      <c r="L646">
        <v>2400</v>
      </c>
      <c r="M646">
        <v>2400</v>
      </c>
      <c r="N646">
        <v>0</v>
      </c>
    </row>
    <row r="647" spans="1:14" x14ac:dyDescent="0.25">
      <c r="A647">
        <v>188.22054299999999</v>
      </c>
      <c r="B647" s="1">
        <f>DATE(2010,11,5) + TIME(5,17,34)</f>
        <v>40487.220532407409</v>
      </c>
      <c r="C647">
        <v>80</v>
      </c>
      <c r="D647">
        <v>79.081794739000003</v>
      </c>
      <c r="E647">
        <v>50</v>
      </c>
      <c r="F647">
        <v>49.918907165999997</v>
      </c>
      <c r="G647">
        <v>1326.8166504000001</v>
      </c>
      <c r="H647">
        <v>1324.6717529</v>
      </c>
      <c r="I647">
        <v>1347.0379639</v>
      </c>
      <c r="J647">
        <v>1342.2023925999999</v>
      </c>
      <c r="K647">
        <v>0</v>
      </c>
      <c r="L647">
        <v>2400</v>
      </c>
      <c r="M647">
        <v>2400</v>
      </c>
      <c r="N647">
        <v>0</v>
      </c>
    </row>
    <row r="648" spans="1:14" x14ac:dyDescent="0.25">
      <c r="A648">
        <v>188.44510700000001</v>
      </c>
      <c r="B648" s="1">
        <f>DATE(2010,11,5) + TIME(10,40,57)</f>
        <v>40487.445104166669</v>
      </c>
      <c r="C648">
        <v>80</v>
      </c>
      <c r="D648">
        <v>79.044059752999999</v>
      </c>
      <c r="E648">
        <v>50</v>
      </c>
      <c r="F648">
        <v>49.926418304000002</v>
      </c>
      <c r="G648">
        <v>1326.8066406</v>
      </c>
      <c r="H648">
        <v>1324.6583252</v>
      </c>
      <c r="I648">
        <v>1347.0028076000001</v>
      </c>
      <c r="J648">
        <v>1342.1755370999999</v>
      </c>
      <c r="K648">
        <v>0</v>
      </c>
      <c r="L648">
        <v>2400</v>
      </c>
      <c r="M648">
        <v>2400</v>
      </c>
      <c r="N648">
        <v>0</v>
      </c>
    </row>
    <row r="649" spans="1:14" x14ac:dyDescent="0.25">
      <c r="A649">
        <v>188.67389399999999</v>
      </c>
      <c r="B649" s="1">
        <f>DATE(2010,11,5) + TIME(16,10,24)</f>
        <v>40487.673888888887</v>
      </c>
      <c r="C649">
        <v>80</v>
      </c>
      <c r="D649">
        <v>79.005767821999996</v>
      </c>
      <c r="E649">
        <v>50</v>
      </c>
      <c r="F649">
        <v>49.932216644</v>
      </c>
      <c r="G649">
        <v>1326.7963867000001</v>
      </c>
      <c r="H649">
        <v>1324.6445312000001</v>
      </c>
      <c r="I649">
        <v>1346.9685059000001</v>
      </c>
      <c r="J649">
        <v>1342.1490478999999</v>
      </c>
      <c r="K649">
        <v>0</v>
      </c>
      <c r="L649">
        <v>2400</v>
      </c>
      <c r="M649">
        <v>2400</v>
      </c>
      <c r="N649">
        <v>0</v>
      </c>
    </row>
    <row r="650" spans="1:14" x14ac:dyDescent="0.25">
      <c r="A650">
        <v>188.90727899999999</v>
      </c>
      <c r="B650" s="1">
        <f>DATE(2010,11,5) + TIME(21,46,28)</f>
        <v>40487.907268518517</v>
      </c>
      <c r="C650">
        <v>80</v>
      </c>
      <c r="D650">
        <v>78.966888428000004</v>
      </c>
      <c r="E650">
        <v>50</v>
      </c>
      <c r="F650">
        <v>49.936695098999998</v>
      </c>
      <c r="G650">
        <v>1326.7857666</v>
      </c>
      <c r="H650">
        <v>1324.630249</v>
      </c>
      <c r="I650">
        <v>1346.9348144999999</v>
      </c>
      <c r="J650">
        <v>1342.1231689000001</v>
      </c>
      <c r="K650">
        <v>0</v>
      </c>
      <c r="L650">
        <v>2400</v>
      </c>
      <c r="M650">
        <v>2400</v>
      </c>
      <c r="N650">
        <v>0</v>
      </c>
    </row>
    <row r="651" spans="1:14" x14ac:dyDescent="0.25">
      <c r="A651">
        <v>189.145815</v>
      </c>
      <c r="B651" s="1">
        <f>DATE(2010,11,6) + TIME(3,29,58)</f>
        <v>40488.145810185182</v>
      </c>
      <c r="C651">
        <v>80</v>
      </c>
      <c r="D651">
        <v>78.927391052000004</v>
      </c>
      <c r="E651">
        <v>50</v>
      </c>
      <c r="F651">
        <v>49.940151215</v>
      </c>
      <c r="G651">
        <v>1326.7747803</v>
      </c>
      <c r="H651">
        <v>1324.6156006000001</v>
      </c>
      <c r="I651">
        <v>1346.9017334</v>
      </c>
      <c r="J651">
        <v>1342.0976562000001</v>
      </c>
      <c r="K651">
        <v>0</v>
      </c>
      <c r="L651">
        <v>2400</v>
      </c>
      <c r="M651">
        <v>2400</v>
      </c>
      <c r="N651">
        <v>0</v>
      </c>
    </row>
    <row r="652" spans="1:14" x14ac:dyDescent="0.25">
      <c r="A652">
        <v>189.38996599999999</v>
      </c>
      <c r="B652" s="1">
        <f>DATE(2010,11,6) + TIME(9,21,33)</f>
        <v>40488.389965277776</v>
      </c>
      <c r="C652">
        <v>80</v>
      </c>
      <c r="D652">
        <v>78.887222289999997</v>
      </c>
      <c r="E652">
        <v>50</v>
      </c>
      <c r="F652">
        <v>49.942825317</v>
      </c>
      <c r="G652">
        <v>1326.7635498</v>
      </c>
      <c r="H652">
        <v>1324.6004639</v>
      </c>
      <c r="I652">
        <v>1346.8691406</v>
      </c>
      <c r="J652">
        <v>1342.0725098</v>
      </c>
      <c r="K652">
        <v>0</v>
      </c>
      <c r="L652">
        <v>2400</v>
      </c>
      <c r="M652">
        <v>2400</v>
      </c>
      <c r="N652">
        <v>0</v>
      </c>
    </row>
    <row r="653" spans="1:14" x14ac:dyDescent="0.25">
      <c r="A653">
        <v>189.640221</v>
      </c>
      <c r="B653" s="1">
        <f>DATE(2010,11,6) + TIME(15,21,55)</f>
        <v>40488.640219907407</v>
      </c>
      <c r="C653">
        <v>80</v>
      </c>
      <c r="D653">
        <v>78.846336364999999</v>
      </c>
      <c r="E653">
        <v>50</v>
      </c>
      <c r="F653">
        <v>49.944892883000001</v>
      </c>
      <c r="G653">
        <v>1326.7519531</v>
      </c>
      <c r="H653">
        <v>1324.5848389</v>
      </c>
      <c r="I653">
        <v>1346.8371582</v>
      </c>
      <c r="J653">
        <v>1342.0478516000001</v>
      </c>
      <c r="K653">
        <v>0</v>
      </c>
      <c r="L653">
        <v>2400</v>
      </c>
      <c r="M653">
        <v>2400</v>
      </c>
      <c r="N653">
        <v>0</v>
      </c>
    </row>
    <row r="654" spans="1:14" x14ac:dyDescent="0.25">
      <c r="A654">
        <v>189.897086</v>
      </c>
      <c r="B654" s="1">
        <f>DATE(2010,11,6) + TIME(21,31,48)</f>
        <v>40488.897083333337</v>
      </c>
      <c r="C654">
        <v>80</v>
      </c>
      <c r="D654">
        <v>78.804695128999995</v>
      </c>
      <c r="E654">
        <v>50</v>
      </c>
      <c r="F654">
        <v>49.946495056000003</v>
      </c>
      <c r="G654">
        <v>1326.7401123</v>
      </c>
      <c r="H654">
        <v>1324.5688477000001</v>
      </c>
      <c r="I654">
        <v>1346.8055420000001</v>
      </c>
      <c r="J654">
        <v>1342.0234375</v>
      </c>
      <c r="K654">
        <v>0</v>
      </c>
      <c r="L654">
        <v>2400</v>
      </c>
      <c r="M654">
        <v>2400</v>
      </c>
      <c r="N654">
        <v>0</v>
      </c>
    </row>
    <row r="655" spans="1:14" x14ac:dyDescent="0.25">
      <c r="A655">
        <v>190.16109599999999</v>
      </c>
      <c r="B655" s="1">
        <f>DATE(2010,11,7) + TIME(3,51,58)</f>
        <v>40489.161087962966</v>
      </c>
      <c r="C655">
        <v>80</v>
      </c>
      <c r="D655">
        <v>78.762237549000005</v>
      </c>
      <c r="E655">
        <v>50</v>
      </c>
      <c r="F655">
        <v>49.947734832999998</v>
      </c>
      <c r="G655">
        <v>1326.7277832</v>
      </c>
      <c r="H655">
        <v>1324.552124</v>
      </c>
      <c r="I655">
        <v>1346.7744141000001</v>
      </c>
      <c r="J655">
        <v>1341.9993896000001</v>
      </c>
      <c r="K655">
        <v>0</v>
      </c>
      <c r="L655">
        <v>2400</v>
      </c>
      <c r="M655">
        <v>2400</v>
      </c>
      <c r="N655">
        <v>0</v>
      </c>
    </row>
    <row r="656" spans="1:14" x14ac:dyDescent="0.25">
      <c r="A656">
        <v>190.432817</v>
      </c>
      <c r="B656" s="1">
        <f>DATE(2010,11,7) + TIME(10,23,15)</f>
        <v>40489.432812500003</v>
      </c>
      <c r="C656">
        <v>80</v>
      </c>
      <c r="D656">
        <v>78.718902588000006</v>
      </c>
      <c r="E656">
        <v>50</v>
      </c>
      <c r="F656">
        <v>49.948703766000001</v>
      </c>
      <c r="G656">
        <v>1326.7149658000001</v>
      </c>
      <c r="H656">
        <v>1324.5349120999999</v>
      </c>
      <c r="I656">
        <v>1346.7435303</v>
      </c>
      <c r="J656">
        <v>1341.9755858999999</v>
      </c>
      <c r="K656">
        <v>0</v>
      </c>
      <c r="L656">
        <v>2400</v>
      </c>
      <c r="M656">
        <v>2400</v>
      </c>
      <c r="N656">
        <v>0</v>
      </c>
    </row>
    <row r="657" spans="1:14" x14ac:dyDescent="0.25">
      <c r="A657">
        <v>190.71285399999999</v>
      </c>
      <c r="B657" s="1">
        <f>DATE(2010,11,7) + TIME(17,6,30)</f>
        <v>40489.712847222225</v>
      </c>
      <c r="C657">
        <v>80</v>
      </c>
      <c r="D657">
        <v>78.674629210999996</v>
      </c>
      <c r="E657">
        <v>50</v>
      </c>
      <c r="F657">
        <v>49.949459075999997</v>
      </c>
      <c r="G657">
        <v>1326.7019043</v>
      </c>
      <c r="H657">
        <v>1324.5170897999999</v>
      </c>
      <c r="I657">
        <v>1346.7130127</v>
      </c>
      <c r="J657">
        <v>1341.9520264</v>
      </c>
      <c r="K657">
        <v>0</v>
      </c>
      <c r="L657">
        <v>2400</v>
      </c>
      <c r="M657">
        <v>2400</v>
      </c>
      <c r="N657">
        <v>0</v>
      </c>
    </row>
    <row r="658" spans="1:14" x14ac:dyDescent="0.25">
      <c r="A658">
        <v>191.00185400000001</v>
      </c>
      <c r="B658" s="1">
        <f>DATE(2010,11,8) + TIME(0,2,40)</f>
        <v>40490.001851851855</v>
      </c>
      <c r="C658">
        <v>80</v>
      </c>
      <c r="D658">
        <v>78.629348754999995</v>
      </c>
      <c r="E658">
        <v>50</v>
      </c>
      <c r="F658">
        <v>49.950046538999999</v>
      </c>
      <c r="G658">
        <v>1326.6882324000001</v>
      </c>
      <c r="H658">
        <v>1324.4986572</v>
      </c>
      <c r="I658">
        <v>1346.6828613</v>
      </c>
      <c r="J658">
        <v>1341.9287108999999</v>
      </c>
      <c r="K658">
        <v>0</v>
      </c>
      <c r="L658">
        <v>2400</v>
      </c>
      <c r="M658">
        <v>2400</v>
      </c>
      <c r="N658">
        <v>0</v>
      </c>
    </row>
    <row r="659" spans="1:14" x14ac:dyDescent="0.25">
      <c r="A659">
        <v>191.300513</v>
      </c>
      <c r="B659" s="1">
        <f>DATE(2010,11,8) + TIME(7,12,44)</f>
        <v>40490.300509259258</v>
      </c>
      <c r="C659">
        <v>80</v>
      </c>
      <c r="D659">
        <v>78.582992554</v>
      </c>
      <c r="E659">
        <v>50</v>
      </c>
      <c r="F659">
        <v>49.950511931999998</v>
      </c>
      <c r="G659">
        <v>1326.6740723</v>
      </c>
      <c r="H659">
        <v>1324.4796143000001</v>
      </c>
      <c r="I659">
        <v>1346.652832</v>
      </c>
      <c r="J659">
        <v>1341.9055175999999</v>
      </c>
      <c r="K659">
        <v>0</v>
      </c>
      <c r="L659">
        <v>2400</v>
      </c>
      <c r="M659">
        <v>2400</v>
      </c>
      <c r="N659">
        <v>0</v>
      </c>
    </row>
    <row r="660" spans="1:14" x14ac:dyDescent="0.25">
      <c r="A660">
        <v>191.609453</v>
      </c>
      <c r="B660" s="1">
        <f>DATE(2010,11,8) + TIME(14,37,36)</f>
        <v>40490.609444444446</v>
      </c>
      <c r="C660">
        <v>80</v>
      </c>
      <c r="D660">
        <v>78.535499572999996</v>
      </c>
      <c r="E660">
        <v>50</v>
      </c>
      <c r="F660">
        <v>49.950878142999997</v>
      </c>
      <c r="G660">
        <v>1326.6594238</v>
      </c>
      <c r="H660">
        <v>1324.4597168</v>
      </c>
      <c r="I660">
        <v>1346.6229248</v>
      </c>
      <c r="J660">
        <v>1341.8824463000001</v>
      </c>
      <c r="K660">
        <v>0</v>
      </c>
      <c r="L660">
        <v>2400</v>
      </c>
      <c r="M660">
        <v>2400</v>
      </c>
      <c r="N660">
        <v>0</v>
      </c>
    </row>
    <row r="661" spans="1:14" x14ac:dyDescent="0.25">
      <c r="A661">
        <v>191.92961700000001</v>
      </c>
      <c r="B661" s="1">
        <f>DATE(2010,11,8) + TIME(22,18,38)</f>
        <v>40490.929606481484</v>
      </c>
      <c r="C661">
        <v>80</v>
      </c>
      <c r="D661">
        <v>78.486755371000001</v>
      </c>
      <c r="E661">
        <v>50</v>
      </c>
      <c r="F661">
        <v>49.951168060000001</v>
      </c>
      <c r="G661">
        <v>1326.6441649999999</v>
      </c>
      <c r="H661">
        <v>1324.4390868999999</v>
      </c>
      <c r="I661">
        <v>1346.5932617000001</v>
      </c>
      <c r="J661">
        <v>1341.8596190999999</v>
      </c>
      <c r="K661">
        <v>0</v>
      </c>
      <c r="L661">
        <v>2400</v>
      </c>
      <c r="M661">
        <v>2400</v>
      </c>
      <c r="N661">
        <v>0</v>
      </c>
    </row>
    <row r="662" spans="1:14" x14ac:dyDescent="0.25">
      <c r="A662">
        <v>192.26190399999999</v>
      </c>
      <c r="B662" s="1">
        <f>DATE(2010,11,9) + TIME(6,17,8)</f>
        <v>40491.26189814815</v>
      </c>
      <c r="C662">
        <v>80</v>
      </c>
      <c r="D662">
        <v>78.436676024999997</v>
      </c>
      <c r="E662">
        <v>50</v>
      </c>
      <c r="F662">
        <v>49.951400757000002</v>
      </c>
      <c r="G662">
        <v>1326.628418</v>
      </c>
      <c r="H662">
        <v>1324.4176024999999</v>
      </c>
      <c r="I662">
        <v>1346.5637207</v>
      </c>
      <c r="J662">
        <v>1341.8367920000001</v>
      </c>
      <c r="K662">
        <v>0</v>
      </c>
      <c r="L662">
        <v>2400</v>
      </c>
      <c r="M662">
        <v>2400</v>
      </c>
      <c r="N662">
        <v>0</v>
      </c>
    </row>
    <row r="663" spans="1:14" x14ac:dyDescent="0.25">
      <c r="A663">
        <v>192.607302</v>
      </c>
      <c r="B663" s="1">
        <f>DATE(2010,11,9) + TIME(14,34,30)</f>
        <v>40491.607291666667</v>
      </c>
      <c r="C663">
        <v>80</v>
      </c>
      <c r="D663">
        <v>78.385162354000002</v>
      </c>
      <c r="E663">
        <v>50</v>
      </c>
      <c r="F663">
        <v>49.951583862</v>
      </c>
      <c r="G663">
        <v>1326.6119385</v>
      </c>
      <c r="H663">
        <v>1324.3952637</v>
      </c>
      <c r="I663">
        <v>1346.5341797000001</v>
      </c>
      <c r="J663">
        <v>1341.8140868999999</v>
      </c>
      <c r="K663">
        <v>0</v>
      </c>
      <c r="L663">
        <v>2400</v>
      </c>
      <c r="M663">
        <v>2400</v>
      </c>
      <c r="N663">
        <v>0</v>
      </c>
    </row>
    <row r="664" spans="1:14" x14ac:dyDescent="0.25">
      <c r="A664">
        <v>192.96690000000001</v>
      </c>
      <c r="B664" s="1">
        <f>DATE(2010,11,9) + TIME(23,12,20)</f>
        <v>40491.966898148145</v>
      </c>
      <c r="C664">
        <v>80</v>
      </c>
      <c r="D664">
        <v>78.332099915000001</v>
      </c>
      <c r="E664">
        <v>50</v>
      </c>
      <c r="F664">
        <v>49.951728821000003</v>
      </c>
      <c r="G664">
        <v>1326.5947266000001</v>
      </c>
      <c r="H664">
        <v>1324.3718262</v>
      </c>
      <c r="I664">
        <v>1346.5046387</v>
      </c>
      <c r="J664">
        <v>1341.7915039</v>
      </c>
      <c r="K664">
        <v>0</v>
      </c>
      <c r="L664">
        <v>2400</v>
      </c>
      <c r="M664">
        <v>2400</v>
      </c>
      <c r="N664">
        <v>0</v>
      </c>
    </row>
    <row r="665" spans="1:14" x14ac:dyDescent="0.25">
      <c r="A665">
        <v>193.34189900000001</v>
      </c>
      <c r="B665" s="1">
        <f>DATE(2010,11,10) + TIME(8,12,20)</f>
        <v>40492.341898148145</v>
      </c>
      <c r="C665">
        <v>80</v>
      </c>
      <c r="D665">
        <v>78.277366638000004</v>
      </c>
      <c r="E665">
        <v>50</v>
      </c>
      <c r="F665">
        <v>49.951843261999997</v>
      </c>
      <c r="G665">
        <v>1326.5767822</v>
      </c>
      <c r="H665">
        <v>1324.3475341999999</v>
      </c>
      <c r="I665">
        <v>1346.4750977000001</v>
      </c>
      <c r="J665">
        <v>1341.7687988</v>
      </c>
      <c r="K665">
        <v>0</v>
      </c>
      <c r="L665">
        <v>2400</v>
      </c>
      <c r="M665">
        <v>2400</v>
      </c>
      <c r="N665">
        <v>0</v>
      </c>
    </row>
    <row r="666" spans="1:14" x14ac:dyDescent="0.25">
      <c r="A666">
        <v>193.730467</v>
      </c>
      <c r="B666" s="1">
        <f>DATE(2010,11,10) + TIME(17,31,52)</f>
        <v>40492.730462962965</v>
      </c>
      <c r="C666">
        <v>80</v>
      </c>
      <c r="D666">
        <v>78.221160889000004</v>
      </c>
      <c r="E666">
        <v>50</v>
      </c>
      <c r="F666">
        <v>49.951934813999998</v>
      </c>
      <c r="G666">
        <v>1326.5579834</v>
      </c>
      <c r="H666">
        <v>1324.3220214999999</v>
      </c>
      <c r="I666">
        <v>1346.4455565999999</v>
      </c>
      <c r="J666">
        <v>1341.7460937999999</v>
      </c>
      <c r="K666">
        <v>0</v>
      </c>
      <c r="L666">
        <v>2400</v>
      </c>
      <c r="M666">
        <v>2400</v>
      </c>
      <c r="N666">
        <v>0</v>
      </c>
    </row>
    <row r="667" spans="1:14" x14ac:dyDescent="0.25">
      <c r="A667">
        <v>194.12349499999999</v>
      </c>
      <c r="B667" s="1">
        <f>DATE(2010,11,11) + TIME(2,57,49)</f>
        <v>40493.123483796298</v>
      </c>
      <c r="C667">
        <v>80</v>
      </c>
      <c r="D667">
        <v>78.164421082000004</v>
      </c>
      <c r="E667">
        <v>50</v>
      </c>
      <c r="F667">
        <v>49.952003478999998</v>
      </c>
      <c r="G667">
        <v>1326.5385742000001</v>
      </c>
      <c r="H667">
        <v>1324.2956543</v>
      </c>
      <c r="I667">
        <v>1346.4161377</v>
      </c>
      <c r="J667">
        <v>1341.7235106999999</v>
      </c>
      <c r="K667">
        <v>0</v>
      </c>
      <c r="L667">
        <v>2400</v>
      </c>
      <c r="M667">
        <v>2400</v>
      </c>
      <c r="N667">
        <v>0</v>
      </c>
    </row>
    <row r="668" spans="1:14" x14ac:dyDescent="0.25">
      <c r="A668">
        <v>194.5232</v>
      </c>
      <c r="B668" s="1">
        <f>DATE(2010,11,11) + TIME(12,33,24)</f>
        <v>40493.523194444446</v>
      </c>
      <c r="C668">
        <v>80</v>
      </c>
      <c r="D668">
        <v>78.107063292999996</v>
      </c>
      <c r="E668">
        <v>50</v>
      </c>
      <c r="F668">
        <v>49.952053069999998</v>
      </c>
      <c r="G668">
        <v>1326.5187988</v>
      </c>
      <c r="H668">
        <v>1324.2686768000001</v>
      </c>
      <c r="I668">
        <v>1346.3874512</v>
      </c>
      <c r="J668">
        <v>1341.7015381000001</v>
      </c>
      <c r="K668">
        <v>0</v>
      </c>
      <c r="L668">
        <v>2400</v>
      </c>
      <c r="M668">
        <v>2400</v>
      </c>
      <c r="N668">
        <v>0</v>
      </c>
    </row>
    <row r="669" spans="1:14" x14ac:dyDescent="0.25">
      <c r="A669">
        <v>194.93166400000001</v>
      </c>
      <c r="B669" s="1">
        <f>DATE(2010,11,11) + TIME(22,21,35)</f>
        <v>40493.931655092594</v>
      </c>
      <c r="C669">
        <v>80</v>
      </c>
      <c r="D669">
        <v>78.048950195000003</v>
      </c>
      <c r="E669">
        <v>50</v>
      </c>
      <c r="F669">
        <v>49.952091217000003</v>
      </c>
      <c r="G669">
        <v>1326.4985352000001</v>
      </c>
      <c r="H669">
        <v>1324.2412108999999</v>
      </c>
      <c r="I669">
        <v>1346.3594971</v>
      </c>
      <c r="J669">
        <v>1341.6800536999999</v>
      </c>
      <c r="K669">
        <v>0</v>
      </c>
      <c r="L669">
        <v>2400</v>
      </c>
      <c r="M669">
        <v>2400</v>
      </c>
      <c r="N669">
        <v>0</v>
      </c>
    </row>
    <row r="670" spans="1:14" x14ac:dyDescent="0.25">
      <c r="A670">
        <v>195.35107500000001</v>
      </c>
      <c r="B670" s="1">
        <f>DATE(2010,11,12) + TIME(8,25,32)</f>
        <v>40494.351064814815</v>
      </c>
      <c r="C670">
        <v>80</v>
      </c>
      <c r="D670">
        <v>77.989891052000004</v>
      </c>
      <c r="E670">
        <v>50</v>
      </c>
      <c r="F670">
        <v>49.952117919999999</v>
      </c>
      <c r="G670">
        <v>1326.4779053</v>
      </c>
      <c r="H670">
        <v>1324.2130127</v>
      </c>
      <c r="I670">
        <v>1346.3319091999999</v>
      </c>
      <c r="J670">
        <v>1341.6590576000001</v>
      </c>
      <c r="K670">
        <v>0</v>
      </c>
      <c r="L670">
        <v>2400</v>
      </c>
      <c r="M670">
        <v>2400</v>
      </c>
      <c r="N670">
        <v>0</v>
      </c>
    </row>
    <row r="671" spans="1:14" x14ac:dyDescent="0.25">
      <c r="A671">
        <v>195.78165799999999</v>
      </c>
      <c r="B671" s="1">
        <f>DATE(2010,11,12) + TIME(18,45,35)</f>
        <v>40494.781655092593</v>
      </c>
      <c r="C671">
        <v>80</v>
      </c>
      <c r="D671">
        <v>77.929893493999998</v>
      </c>
      <c r="E671">
        <v>50</v>
      </c>
      <c r="F671">
        <v>49.952133179</v>
      </c>
      <c r="G671">
        <v>1326.456543</v>
      </c>
      <c r="H671">
        <v>1324.1839600000001</v>
      </c>
      <c r="I671">
        <v>1346.3046875</v>
      </c>
      <c r="J671">
        <v>1341.6381836</v>
      </c>
      <c r="K671">
        <v>0</v>
      </c>
      <c r="L671">
        <v>2400</v>
      </c>
      <c r="M671">
        <v>2400</v>
      </c>
      <c r="N671">
        <v>0</v>
      </c>
    </row>
    <row r="672" spans="1:14" x14ac:dyDescent="0.25">
      <c r="A672">
        <v>196.22465399999999</v>
      </c>
      <c r="B672" s="1">
        <f>DATE(2010,11,13) + TIME(5,23,30)</f>
        <v>40495.224652777775</v>
      </c>
      <c r="C672">
        <v>80</v>
      </c>
      <c r="D672">
        <v>77.868835449000002</v>
      </c>
      <c r="E672">
        <v>50</v>
      </c>
      <c r="F672">
        <v>49.952144623000002</v>
      </c>
      <c r="G672">
        <v>1326.4346923999999</v>
      </c>
      <c r="H672">
        <v>1324.1540527</v>
      </c>
      <c r="I672">
        <v>1346.2777100000001</v>
      </c>
      <c r="J672">
        <v>1341.6176757999999</v>
      </c>
      <c r="K672">
        <v>0</v>
      </c>
      <c r="L672">
        <v>2400</v>
      </c>
      <c r="M672">
        <v>2400</v>
      </c>
      <c r="N672">
        <v>0</v>
      </c>
    </row>
    <row r="673" spans="1:14" x14ac:dyDescent="0.25">
      <c r="A673">
        <v>196.68257199999999</v>
      </c>
      <c r="B673" s="1">
        <f>DATE(2010,11,13) + TIME(16,22,54)</f>
        <v>40495.682569444441</v>
      </c>
      <c r="C673">
        <v>80</v>
      </c>
      <c r="D673">
        <v>77.806503296000002</v>
      </c>
      <c r="E673">
        <v>50</v>
      </c>
      <c r="F673">
        <v>49.952148438000002</v>
      </c>
      <c r="G673">
        <v>1326.4121094</v>
      </c>
      <c r="H673">
        <v>1324.1232910000001</v>
      </c>
      <c r="I673">
        <v>1346.2509766000001</v>
      </c>
      <c r="J673">
        <v>1341.5972899999999</v>
      </c>
      <c r="K673">
        <v>0</v>
      </c>
      <c r="L673">
        <v>2400</v>
      </c>
      <c r="M673">
        <v>2400</v>
      </c>
      <c r="N673">
        <v>0</v>
      </c>
    </row>
    <row r="674" spans="1:14" x14ac:dyDescent="0.25">
      <c r="A674">
        <v>197.158209</v>
      </c>
      <c r="B674" s="1">
        <f>DATE(2010,11,14) + TIME(3,47,49)</f>
        <v>40496.158206018517</v>
      </c>
      <c r="C674">
        <v>80</v>
      </c>
      <c r="D674">
        <v>77.742637634000005</v>
      </c>
      <c r="E674">
        <v>50</v>
      </c>
      <c r="F674">
        <v>49.952152251999998</v>
      </c>
      <c r="G674">
        <v>1326.3886719</v>
      </c>
      <c r="H674">
        <v>1324.0914307</v>
      </c>
      <c r="I674">
        <v>1346.2243652</v>
      </c>
      <c r="J674">
        <v>1341.5770264</v>
      </c>
      <c r="K674">
        <v>0</v>
      </c>
      <c r="L674">
        <v>2400</v>
      </c>
      <c r="M674">
        <v>2400</v>
      </c>
      <c r="N674">
        <v>0</v>
      </c>
    </row>
    <row r="675" spans="1:14" x14ac:dyDescent="0.25">
      <c r="A675">
        <v>197.651839</v>
      </c>
      <c r="B675" s="1">
        <f>DATE(2010,11,14) + TIME(15,38,38)</f>
        <v>40496.651828703703</v>
      </c>
      <c r="C675">
        <v>80</v>
      </c>
      <c r="D675">
        <v>77.677185058999996</v>
      </c>
      <c r="E675">
        <v>50</v>
      </c>
      <c r="F675">
        <v>49.952148438000002</v>
      </c>
      <c r="G675">
        <v>1326.3643798999999</v>
      </c>
      <c r="H675">
        <v>1324.0582274999999</v>
      </c>
      <c r="I675">
        <v>1346.1977539</v>
      </c>
      <c r="J675">
        <v>1341.5567627</v>
      </c>
      <c r="K675">
        <v>0</v>
      </c>
      <c r="L675">
        <v>2400</v>
      </c>
      <c r="M675">
        <v>2400</v>
      </c>
      <c r="N675">
        <v>0</v>
      </c>
    </row>
    <row r="676" spans="1:14" x14ac:dyDescent="0.25">
      <c r="A676">
        <v>198.16623200000001</v>
      </c>
      <c r="B676" s="1">
        <f>DATE(2010,11,15) + TIME(3,59,22)</f>
        <v>40497.166226851848</v>
      </c>
      <c r="C676">
        <v>80</v>
      </c>
      <c r="D676">
        <v>77.609909058</v>
      </c>
      <c r="E676">
        <v>50</v>
      </c>
      <c r="F676">
        <v>49.952140808000003</v>
      </c>
      <c r="G676">
        <v>1326.3392334</v>
      </c>
      <c r="H676">
        <v>1324.0239257999999</v>
      </c>
      <c r="I676">
        <v>1346.1711425999999</v>
      </c>
      <c r="J676">
        <v>1341.5366211</v>
      </c>
      <c r="K676">
        <v>0</v>
      </c>
      <c r="L676">
        <v>2400</v>
      </c>
      <c r="M676">
        <v>2400</v>
      </c>
      <c r="N676">
        <v>0</v>
      </c>
    </row>
    <row r="677" spans="1:14" x14ac:dyDescent="0.25">
      <c r="A677">
        <v>198.69286199999999</v>
      </c>
      <c r="B677" s="1">
        <f>DATE(2010,11,15) + TIME(16,37,43)</f>
        <v>40497.692858796298</v>
      </c>
      <c r="C677">
        <v>80</v>
      </c>
      <c r="D677">
        <v>77.541473389000004</v>
      </c>
      <c r="E677">
        <v>50</v>
      </c>
      <c r="F677">
        <v>49.952133179</v>
      </c>
      <c r="G677">
        <v>1326.3129882999999</v>
      </c>
      <c r="H677">
        <v>1323.9881591999999</v>
      </c>
      <c r="I677">
        <v>1346.1444091999999</v>
      </c>
      <c r="J677">
        <v>1341.5163574000001</v>
      </c>
      <c r="K677">
        <v>0</v>
      </c>
      <c r="L677">
        <v>2400</v>
      </c>
      <c r="M677">
        <v>2400</v>
      </c>
      <c r="N677">
        <v>0</v>
      </c>
    </row>
    <row r="678" spans="1:14" x14ac:dyDescent="0.25">
      <c r="A678">
        <v>199.225954</v>
      </c>
      <c r="B678" s="1">
        <f>DATE(2010,11,16) + TIME(5,25,22)</f>
        <v>40498.225949074076</v>
      </c>
      <c r="C678">
        <v>80</v>
      </c>
      <c r="D678">
        <v>77.472488403</v>
      </c>
      <c r="E678">
        <v>50</v>
      </c>
      <c r="F678">
        <v>49.952121734999999</v>
      </c>
      <c r="G678">
        <v>1326.2860106999999</v>
      </c>
      <c r="H678">
        <v>1323.9514160000001</v>
      </c>
      <c r="I678">
        <v>1346.1180420000001</v>
      </c>
      <c r="J678">
        <v>1341.4963379000001</v>
      </c>
      <c r="K678">
        <v>0</v>
      </c>
      <c r="L678">
        <v>2400</v>
      </c>
      <c r="M678">
        <v>2400</v>
      </c>
      <c r="N678">
        <v>0</v>
      </c>
    </row>
    <row r="679" spans="1:14" x14ac:dyDescent="0.25">
      <c r="A679">
        <v>199.764566</v>
      </c>
      <c r="B679" s="1">
        <f>DATE(2010,11,16) + TIME(18,20,58)</f>
        <v>40498.764560185184</v>
      </c>
      <c r="C679">
        <v>80</v>
      </c>
      <c r="D679">
        <v>77.403213500999996</v>
      </c>
      <c r="E679">
        <v>50</v>
      </c>
      <c r="F679">
        <v>49.952110290999997</v>
      </c>
      <c r="G679">
        <v>1326.2586670000001</v>
      </c>
      <c r="H679">
        <v>1323.9141846</v>
      </c>
      <c r="I679">
        <v>1346.0924072</v>
      </c>
      <c r="J679">
        <v>1341.4769286999999</v>
      </c>
      <c r="K679">
        <v>0</v>
      </c>
      <c r="L679">
        <v>2400</v>
      </c>
      <c r="M679">
        <v>2400</v>
      </c>
      <c r="N679">
        <v>0</v>
      </c>
    </row>
    <row r="680" spans="1:14" x14ac:dyDescent="0.25">
      <c r="A680">
        <v>200.310192</v>
      </c>
      <c r="B680" s="1">
        <f>DATE(2010,11,17) + TIME(7,26,40)</f>
        <v>40499.310185185182</v>
      </c>
      <c r="C680">
        <v>80</v>
      </c>
      <c r="D680">
        <v>77.333671570000007</v>
      </c>
      <c r="E680">
        <v>50</v>
      </c>
      <c r="F680">
        <v>49.952098845999998</v>
      </c>
      <c r="G680">
        <v>1326.2310791</v>
      </c>
      <c r="H680">
        <v>1323.8763428</v>
      </c>
      <c r="I680">
        <v>1346.0673827999999</v>
      </c>
      <c r="J680">
        <v>1341.4580077999999</v>
      </c>
      <c r="K680">
        <v>0</v>
      </c>
      <c r="L680">
        <v>2400</v>
      </c>
      <c r="M680">
        <v>2400</v>
      </c>
      <c r="N680">
        <v>0</v>
      </c>
    </row>
    <row r="681" spans="1:14" x14ac:dyDescent="0.25">
      <c r="A681">
        <v>200.865681</v>
      </c>
      <c r="B681" s="1">
        <f>DATE(2010,11,17) + TIME(20,46,34)</f>
        <v>40499.865671296298</v>
      </c>
      <c r="C681">
        <v>80</v>
      </c>
      <c r="D681">
        <v>77.263702393000003</v>
      </c>
      <c r="E681">
        <v>50</v>
      </c>
      <c r="F681">
        <v>49.952087401999997</v>
      </c>
      <c r="G681">
        <v>1326.2028809000001</v>
      </c>
      <c r="H681">
        <v>1323.8380127</v>
      </c>
      <c r="I681">
        <v>1346.0428466999999</v>
      </c>
      <c r="J681">
        <v>1341.4394531</v>
      </c>
      <c r="K681">
        <v>0</v>
      </c>
      <c r="L681">
        <v>2400</v>
      </c>
      <c r="M681">
        <v>2400</v>
      </c>
      <c r="N681">
        <v>0</v>
      </c>
    </row>
    <row r="682" spans="1:14" x14ac:dyDescent="0.25">
      <c r="A682">
        <v>201.43392800000001</v>
      </c>
      <c r="B682" s="1">
        <f>DATE(2010,11,18) + TIME(10,24,51)</f>
        <v>40500.433923611112</v>
      </c>
      <c r="C682">
        <v>80</v>
      </c>
      <c r="D682">
        <v>77.193092346</v>
      </c>
      <c r="E682">
        <v>50</v>
      </c>
      <c r="F682">
        <v>49.952075958000002</v>
      </c>
      <c r="G682">
        <v>1326.1743164</v>
      </c>
      <c r="H682">
        <v>1323.7988281</v>
      </c>
      <c r="I682">
        <v>1346.0187988</v>
      </c>
      <c r="J682">
        <v>1341.4213867000001</v>
      </c>
      <c r="K682">
        <v>0</v>
      </c>
      <c r="L682">
        <v>2400</v>
      </c>
      <c r="M682">
        <v>2400</v>
      </c>
      <c r="N682">
        <v>0</v>
      </c>
    </row>
    <row r="683" spans="1:14" x14ac:dyDescent="0.25">
      <c r="A683">
        <v>202.01803000000001</v>
      </c>
      <c r="B683" s="1">
        <f>DATE(2010,11,19) + TIME(0,25,57)</f>
        <v>40501.018020833333</v>
      </c>
      <c r="C683">
        <v>80</v>
      </c>
      <c r="D683">
        <v>77.121582031000003</v>
      </c>
      <c r="E683">
        <v>50</v>
      </c>
      <c r="F683">
        <v>49.952064514</v>
      </c>
      <c r="G683">
        <v>1326.1450195</v>
      </c>
      <c r="H683">
        <v>1323.7589111</v>
      </c>
      <c r="I683">
        <v>1345.9949951000001</v>
      </c>
      <c r="J683">
        <v>1341.4034423999999</v>
      </c>
      <c r="K683">
        <v>0</v>
      </c>
      <c r="L683">
        <v>2400</v>
      </c>
      <c r="M683">
        <v>2400</v>
      </c>
      <c r="N683">
        <v>0</v>
      </c>
    </row>
    <row r="684" spans="1:14" x14ac:dyDescent="0.25">
      <c r="A684">
        <v>202.61856700000001</v>
      </c>
      <c r="B684" s="1">
        <f>DATE(2010,11,19) + TIME(14,50,44)</f>
        <v>40501.618564814817</v>
      </c>
      <c r="C684">
        <v>80</v>
      </c>
      <c r="D684">
        <v>77.049079895000006</v>
      </c>
      <c r="E684">
        <v>50</v>
      </c>
      <c r="F684">
        <v>49.952053069999998</v>
      </c>
      <c r="G684">
        <v>1326.1149902</v>
      </c>
      <c r="H684">
        <v>1323.7177733999999</v>
      </c>
      <c r="I684">
        <v>1345.9713135</v>
      </c>
      <c r="J684">
        <v>1341.3856201000001</v>
      </c>
      <c r="K684">
        <v>0</v>
      </c>
      <c r="L684">
        <v>2400</v>
      </c>
      <c r="M684">
        <v>2400</v>
      </c>
      <c r="N684">
        <v>0</v>
      </c>
    </row>
    <row r="685" spans="1:14" x14ac:dyDescent="0.25">
      <c r="A685">
        <v>203.236988</v>
      </c>
      <c r="B685" s="1">
        <f>DATE(2010,11,20) + TIME(5,41,15)</f>
        <v>40502.236979166664</v>
      </c>
      <c r="C685">
        <v>80</v>
      </c>
      <c r="D685">
        <v>76.975456238000007</v>
      </c>
      <c r="E685">
        <v>50</v>
      </c>
      <c r="F685">
        <v>49.952045441000003</v>
      </c>
      <c r="G685">
        <v>1326.0841064000001</v>
      </c>
      <c r="H685">
        <v>1323.6756591999999</v>
      </c>
      <c r="I685">
        <v>1345.9477539</v>
      </c>
      <c r="J685">
        <v>1341.3680420000001</v>
      </c>
      <c r="K685">
        <v>0</v>
      </c>
      <c r="L685">
        <v>2400</v>
      </c>
      <c r="M685">
        <v>2400</v>
      </c>
      <c r="N685">
        <v>0</v>
      </c>
    </row>
    <row r="686" spans="1:14" x14ac:dyDescent="0.25">
      <c r="A686">
        <v>203.87699499999999</v>
      </c>
      <c r="B686" s="1">
        <f>DATE(2010,11,20) + TIME(21,2,52)</f>
        <v>40502.87699074074</v>
      </c>
      <c r="C686">
        <v>80</v>
      </c>
      <c r="D686">
        <v>76.900428771999998</v>
      </c>
      <c r="E686">
        <v>50</v>
      </c>
      <c r="F686">
        <v>49.952037810999997</v>
      </c>
      <c r="G686">
        <v>1326.0522461</v>
      </c>
      <c r="H686">
        <v>1323.6322021000001</v>
      </c>
      <c r="I686">
        <v>1345.9244385</v>
      </c>
      <c r="J686">
        <v>1341.3504639</v>
      </c>
      <c r="K686">
        <v>0</v>
      </c>
      <c r="L686">
        <v>2400</v>
      </c>
      <c r="M686">
        <v>2400</v>
      </c>
      <c r="N686">
        <v>0</v>
      </c>
    </row>
    <row r="687" spans="1:14" x14ac:dyDescent="0.25">
      <c r="A687">
        <v>204.539344</v>
      </c>
      <c r="B687" s="1">
        <f>DATE(2010,11,21) + TIME(12,56,39)</f>
        <v>40503.539340277777</v>
      </c>
      <c r="C687">
        <v>80</v>
      </c>
      <c r="D687">
        <v>76.823890685999999</v>
      </c>
      <c r="E687">
        <v>50</v>
      </c>
      <c r="F687">
        <v>49.952030182000001</v>
      </c>
      <c r="G687">
        <v>1326.0194091999999</v>
      </c>
      <c r="H687">
        <v>1323.5872803</v>
      </c>
      <c r="I687">
        <v>1345.901001</v>
      </c>
      <c r="J687">
        <v>1341.3328856999999</v>
      </c>
      <c r="K687">
        <v>0</v>
      </c>
      <c r="L687">
        <v>2400</v>
      </c>
      <c r="M687">
        <v>2400</v>
      </c>
      <c r="N687">
        <v>0</v>
      </c>
    </row>
    <row r="688" spans="1:14" x14ac:dyDescent="0.25">
      <c r="A688">
        <v>205.226677</v>
      </c>
      <c r="B688" s="1">
        <f>DATE(2010,11,22) + TIME(5,26,24)</f>
        <v>40504.226666666669</v>
      </c>
      <c r="C688">
        <v>80</v>
      </c>
      <c r="D688">
        <v>76.745658875000004</v>
      </c>
      <c r="E688">
        <v>50</v>
      </c>
      <c r="F688">
        <v>49.952026367000002</v>
      </c>
      <c r="G688">
        <v>1325.9854736</v>
      </c>
      <c r="H688">
        <v>1323.5408935999999</v>
      </c>
      <c r="I688">
        <v>1345.8775635</v>
      </c>
      <c r="J688">
        <v>1341.3154297000001</v>
      </c>
      <c r="K688">
        <v>0</v>
      </c>
      <c r="L688">
        <v>2400</v>
      </c>
      <c r="M688">
        <v>2400</v>
      </c>
      <c r="N688">
        <v>0</v>
      </c>
    </row>
    <row r="689" spans="1:14" x14ac:dyDescent="0.25">
      <c r="A689">
        <v>205.91817900000001</v>
      </c>
      <c r="B689" s="1">
        <f>DATE(2010,11,22) + TIME(22,2,10)</f>
        <v>40504.918171296296</v>
      </c>
      <c r="C689">
        <v>80</v>
      </c>
      <c r="D689">
        <v>76.666992187999995</v>
      </c>
      <c r="E689">
        <v>50</v>
      </c>
      <c r="F689">
        <v>49.952018738</v>
      </c>
      <c r="G689">
        <v>1325.9503173999999</v>
      </c>
      <c r="H689">
        <v>1323.4930420000001</v>
      </c>
      <c r="I689">
        <v>1345.854126</v>
      </c>
      <c r="J689">
        <v>1341.2978516000001</v>
      </c>
      <c r="K689">
        <v>0</v>
      </c>
      <c r="L689">
        <v>2400</v>
      </c>
      <c r="M689">
        <v>2400</v>
      </c>
      <c r="N689">
        <v>0</v>
      </c>
    </row>
    <row r="690" spans="1:14" x14ac:dyDescent="0.25">
      <c r="A690">
        <v>206.615115</v>
      </c>
      <c r="B690" s="1">
        <f>DATE(2010,11,23) + TIME(14,45,45)</f>
        <v>40505.615104166667</v>
      </c>
      <c r="C690">
        <v>80</v>
      </c>
      <c r="D690">
        <v>76.588249207000004</v>
      </c>
      <c r="E690">
        <v>50</v>
      </c>
      <c r="F690">
        <v>49.952018738</v>
      </c>
      <c r="G690">
        <v>1325.9149170000001</v>
      </c>
      <c r="H690">
        <v>1323.4445800999999</v>
      </c>
      <c r="I690">
        <v>1345.8311768000001</v>
      </c>
      <c r="J690">
        <v>1341.2808838000001</v>
      </c>
      <c r="K690">
        <v>0</v>
      </c>
      <c r="L690">
        <v>2400</v>
      </c>
      <c r="M690">
        <v>2400</v>
      </c>
      <c r="N690">
        <v>0</v>
      </c>
    </row>
    <row r="691" spans="1:14" x14ac:dyDescent="0.25">
      <c r="A691">
        <v>207.32136</v>
      </c>
      <c r="B691" s="1">
        <f>DATE(2010,11,24) + TIME(7,42,45)</f>
        <v>40506.32135416667</v>
      </c>
      <c r="C691">
        <v>80</v>
      </c>
      <c r="D691">
        <v>76.509399414000001</v>
      </c>
      <c r="E691">
        <v>50</v>
      </c>
      <c r="F691">
        <v>49.952014923</v>
      </c>
      <c r="G691">
        <v>1325.8790283000001</v>
      </c>
      <c r="H691">
        <v>1323.3956298999999</v>
      </c>
      <c r="I691">
        <v>1345.8089600000001</v>
      </c>
      <c r="J691">
        <v>1341.2642822</v>
      </c>
      <c r="K691">
        <v>0</v>
      </c>
      <c r="L691">
        <v>2400</v>
      </c>
      <c r="M691">
        <v>2400</v>
      </c>
      <c r="N691">
        <v>0</v>
      </c>
    </row>
    <row r="692" spans="1:14" x14ac:dyDescent="0.25">
      <c r="A692">
        <v>208.04070100000001</v>
      </c>
      <c r="B692" s="1">
        <f>DATE(2010,11,25) + TIME(0,58,36)</f>
        <v>40507.040694444448</v>
      </c>
      <c r="C692">
        <v>80</v>
      </c>
      <c r="D692">
        <v>76.430259704999997</v>
      </c>
      <c r="E692">
        <v>50</v>
      </c>
      <c r="F692">
        <v>49.952014923</v>
      </c>
      <c r="G692">
        <v>1325.8427733999999</v>
      </c>
      <c r="H692">
        <v>1323.3460693</v>
      </c>
      <c r="I692">
        <v>1345.7871094</v>
      </c>
      <c r="J692">
        <v>1341.2480469</v>
      </c>
      <c r="K692">
        <v>0</v>
      </c>
      <c r="L692">
        <v>2400</v>
      </c>
      <c r="M692">
        <v>2400</v>
      </c>
      <c r="N692">
        <v>0</v>
      </c>
    </row>
    <row r="693" spans="1:14" x14ac:dyDescent="0.25">
      <c r="A693">
        <v>208.77708799999999</v>
      </c>
      <c r="B693" s="1">
        <f>DATE(2010,11,25) + TIME(18,39,0)</f>
        <v>40507.777083333334</v>
      </c>
      <c r="C693">
        <v>80</v>
      </c>
      <c r="D693">
        <v>76.350563049000002</v>
      </c>
      <c r="E693">
        <v>50</v>
      </c>
      <c r="F693">
        <v>49.952014923</v>
      </c>
      <c r="G693">
        <v>1325.8059082</v>
      </c>
      <c r="H693">
        <v>1323.2955322</v>
      </c>
      <c r="I693">
        <v>1345.765625</v>
      </c>
      <c r="J693">
        <v>1341.2320557</v>
      </c>
      <c r="K693">
        <v>0</v>
      </c>
      <c r="L693">
        <v>2400</v>
      </c>
      <c r="M693">
        <v>2400</v>
      </c>
      <c r="N693">
        <v>0</v>
      </c>
    </row>
    <row r="694" spans="1:14" x14ac:dyDescent="0.25">
      <c r="A694">
        <v>209.52888899999999</v>
      </c>
      <c r="B694" s="1">
        <f>DATE(2010,11,26) + TIME(12,41,35)</f>
        <v>40508.528877314813</v>
      </c>
      <c r="C694">
        <v>80</v>
      </c>
      <c r="D694">
        <v>76.270301818999997</v>
      </c>
      <c r="E694">
        <v>50</v>
      </c>
      <c r="F694">
        <v>49.952018738</v>
      </c>
      <c r="G694">
        <v>1325.7681885</v>
      </c>
      <c r="H694">
        <v>1323.2440185999999</v>
      </c>
      <c r="I694">
        <v>1345.7442627</v>
      </c>
      <c r="J694">
        <v>1341.2163086</v>
      </c>
      <c r="K694">
        <v>0</v>
      </c>
      <c r="L694">
        <v>2400</v>
      </c>
      <c r="M694">
        <v>2400</v>
      </c>
      <c r="N694">
        <v>0</v>
      </c>
    </row>
    <row r="695" spans="1:14" x14ac:dyDescent="0.25">
      <c r="A695">
        <v>210.29916499999999</v>
      </c>
      <c r="B695" s="1">
        <f>DATE(2010,11,27) + TIME(7,10,47)</f>
        <v>40509.299155092594</v>
      </c>
      <c r="C695">
        <v>80</v>
      </c>
      <c r="D695">
        <v>76.189315796000002</v>
      </c>
      <c r="E695">
        <v>50</v>
      </c>
      <c r="F695">
        <v>49.952022552000003</v>
      </c>
      <c r="G695">
        <v>1325.7297363</v>
      </c>
      <c r="H695">
        <v>1323.1915283000001</v>
      </c>
      <c r="I695">
        <v>1345.7231445</v>
      </c>
      <c r="J695">
        <v>1341.2006836</v>
      </c>
      <c r="K695">
        <v>0</v>
      </c>
      <c r="L695">
        <v>2400</v>
      </c>
      <c r="M695">
        <v>2400</v>
      </c>
      <c r="N695">
        <v>0</v>
      </c>
    </row>
    <row r="696" spans="1:14" x14ac:dyDescent="0.25">
      <c r="A696">
        <v>211.09229099999999</v>
      </c>
      <c r="B696" s="1">
        <f>DATE(2010,11,28) + TIME(2,12,53)</f>
        <v>40510.092280092591</v>
      </c>
      <c r="C696">
        <v>80</v>
      </c>
      <c r="D696">
        <v>76.107307434000006</v>
      </c>
      <c r="E696">
        <v>50</v>
      </c>
      <c r="F696">
        <v>49.952030182000001</v>
      </c>
      <c r="G696">
        <v>1325.6904297000001</v>
      </c>
      <c r="H696">
        <v>1323.1376952999999</v>
      </c>
      <c r="I696">
        <v>1345.7021483999999</v>
      </c>
      <c r="J696">
        <v>1341.1851807</v>
      </c>
      <c r="K696">
        <v>0</v>
      </c>
      <c r="L696">
        <v>2400</v>
      </c>
      <c r="M696">
        <v>2400</v>
      </c>
      <c r="N696">
        <v>0</v>
      </c>
    </row>
    <row r="697" spans="1:14" x14ac:dyDescent="0.25">
      <c r="A697">
        <v>211.91018299999999</v>
      </c>
      <c r="B697" s="1">
        <f>DATE(2010,11,28) + TIME(21,50,39)</f>
        <v>40510.910173611112</v>
      </c>
      <c r="C697">
        <v>80</v>
      </c>
      <c r="D697">
        <v>76.024093628000003</v>
      </c>
      <c r="E697">
        <v>50</v>
      </c>
      <c r="F697">
        <v>49.952041626000003</v>
      </c>
      <c r="G697">
        <v>1325.6500243999999</v>
      </c>
      <c r="H697">
        <v>1323.0825195</v>
      </c>
      <c r="I697">
        <v>1345.6812743999999</v>
      </c>
      <c r="J697">
        <v>1341.1697998</v>
      </c>
      <c r="K697">
        <v>0</v>
      </c>
      <c r="L697">
        <v>2400</v>
      </c>
      <c r="M697">
        <v>2400</v>
      </c>
      <c r="N697">
        <v>0</v>
      </c>
    </row>
    <row r="698" spans="1:14" x14ac:dyDescent="0.25">
      <c r="A698">
        <v>212.75371999999999</v>
      </c>
      <c r="B698" s="1">
        <f>DATE(2010,11,29) + TIME(18,5,21)</f>
        <v>40511.75371527778</v>
      </c>
      <c r="C698">
        <v>80</v>
      </c>
      <c r="D698">
        <v>75.939552307</v>
      </c>
      <c r="E698">
        <v>50</v>
      </c>
      <c r="F698">
        <v>49.952049254999999</v>
      </c>
      <c r="G698">
        <v>1325.6083983999999</v>
      </c>
      <c r="H698">
        <v>1323.0257568</v>
      </c>
      <c r="I698">
        <v>1345.6604004000001</v>
      </c>
      <c r="J698">
        <v>1341.1544189000001</v>
      </c>
      <c r="K698">
        <v>0</v>
      </c>
      <c r="L698">
        <v>2400</v>
      </c>
      <c r="M698">
        <v>2400</v>
      </c>
      <c r="N698">
        <v>0</v>
      </c>
    </row>
    <row r="699" spans="1:14" x14ac:dyDescent="0.25">
      <c r="A699">
        <v>213.617243</v>
      </c>
      <c r="B699" s="1">
        <f>DATE(2010,11,30) + TIME(14,48,49)</f>
        <v>40512.6172337963</v>
      </c>
      <c r="C699">
        <v>80</v>
      </c>
      <c r="D699">
        <v>75.853935242000006</v>
      </c>
      <c r="E699">
        <v>50</v>
      </c>
      <c r="F699">
        <v>49.952064514</v>
      </c>
      <c r="G699">
        <v>1325.5656738</v>
      </c>
      <c r="H699">
        <v>1322.9672852000001</v>
      </c>
      <c r="I699">
        <v>1345.6395264</v>
      </c>
      <c r="J699">
        <v>1341.1391602000001</v>
      </c>
      <c r="K699">
        <v>0</v>
      </c>
      <c r="L699">
        <v>2400</v>
      </c>
      <c r="M699">
        <v>2400</v>
      </c>
      <c r="N699">
        <v>0</v>
      </c>
    </row>
    <row r="700" spans="1:14" x14ac:dyDescent="0.25">
      <c r="A700">
        <v>214</v>
      </c>
      <c r="B700" s="1">
        <f>DATE(2010,12,1) + TIME(0,0,0)</f>
        <v>40513</v>
      </c>
      <c r="C700">
        <v>80</v>
      </c>
      <c r="D700">
        <v>75.801010132000002</v>
      </c>
      <c r="E700">
        <v>50</v>
      </c>
      <c r="F700">
        <v>49.952056884999998</v>
      </c>
      <c r="G700">
        <v>1325.5246582</v>
      </c>
      <c r="H700">
        <v>1322.9130858999999</v>
      </c>
      <c r="I700">
        <v>1345.6185303</v>
      </c>
      <c r="J700">
        <v>1341.1236572</v>
      </c>
      <c r="K700">
        <v>0</v>
      </c>
      <c r="L700">
        <v>2400</v>
      </c>
      <c r="M700">
        <v>2400</v>
      </c>
      <c r="N700">
        <v>0</v>
      </c>
    </row>
    <row r="701" spans="1:14" x14ac:dyDescent="0.25">
      <c r="A701">
        <v>214.87453600000001</v>
      </c>
      <c r="B701" s="1">
        <f>DATE(2010,12,1) + TIME(20,59,19)</f>
        <v>40513.874525462961</v>
      </c>
      <c r="C701">
        <v>80</v>
      </c>
      <c r="D701">
        <v>75.722824097</v>
      </c>
      <c r="E701">
        <v>50</v>
      </c>
      <c r="F701">
        <v>49.952075958000002</v>
      </c>
      <c r="G701">
        <v>1325.4996338000001</v>
      </c>
      <c r="H701">
        <v>1322.8762207</v>
      </c>
      <c r="I701">
        <v>1345.6098632999999</v>
      </c>
      <c r="J701">
        <v>1341.1173096</v>
      </c>
      <c r="K701">
        <v>0</v>
      </c>
      <c r="L701">
        <v>2400</v>
      </c>
      <c r="M701">
        <v>2400</v>
      </c>
      <c r="N701">
        <v>0</v>
      </c>
    </row>
    <row r="702" spans="1:14" x14ac:dyDescent="0.25">
      <c r="A702">
        <v>215.76105200000001</v>
      </c>
      <c r="B702" s="1">
        <f>DATE(2010,12,2) + TIME(18,15,54)</f>
        <v>40514.761041666665</v>
      </c>
      <c r="C702">
        <v>80</v>
      </c>
      <c r="D702">
        <v>75.640609741000006</v>
      </c>
      <c r="E702">
        <v>50</v>
      </c>
      <c r="F702">
        <v>49.952095032000003</v>
      </c>
      <c r="G702">
        <v>1325.4567870999999</v>
      </c>
      <c r="H702">
        <v>1322.8182373</v>
      </c>
      <c r="I702">
        <v>1345.5898437999999</v>
      </c>
      <c r="J702">
        <v>1341.1026611</v>
      </c>
      <c r="K702">
        <v>0</v>
      </c>
      <c r="L702">
        <v>2400</v>
      </c>
      <c r="M702">
        <v>2400</v>
      </c>
      <c r="N702">
        <v>0</v>
      </c>
    </row>
    <row r="703" spans="1:14" x14ac:dyDescent="0.25">
      <c r="A703">
        <v>216.66128399999999</v>
      </c>
      <c r="B703" s="1">
        <f>DATE(2010,12,3) + TIME(15,52,14)</f>
        <v>40515.661273148151</v>
      </c>
      <c r="C703">
        <v>80</v>
      </c>
      <c r="D703">
        <v>75.556335449000002</v>
      </c>
      <c r="E703">
        <v>50</v>
      </c>
      <c r="F703">
        <v>49.952114105</v>
      </c>
      <c r="G703">
        <v>1325.4127197</v>
      </c>
      <c r="H703">
        <v>1322.7580565999999</v>
      </c>
      <c r="I703">
        <v>1345.5700684000001</v>
      </c>
      <c r="J703">
        <v>1341.0882568</v>
      </c>
      <c r="K703">
        <v>0</v>
      </c>
      <c r="L703">
        <v>2400</v>
      </c>
      <c r="M703">
        <v>2400</v>
      </c>
      <c r="N703">
        <v>0</v>
      </c>
    </row>
    <row r="704" spans="1:14" x14ac:dyDescent="0.25">
      <c r="A704">
        <v>217.58011200000001</v>
      </c>
      <c r="B704" s="1">
        <f>DATE(2010,12,4) + TIME(13,55,21)</f>
        <v>40516.580104166664</v>
      </c>
      <c r="C704">
        <v>80</v>
      </c>
      <c r="D704">
        <v>75.470756531000006</v>
      </c>
      <c r="E704">
        <v>50</v>
      </c>
      <c r="F704">
        <v>49.952133179</v>
      </c>
      <c r="G704">
        <v>1325.3675536999999</v>
      </c>
      <c r="H704">
        <v>1322.6964111</v>
      </c>
      <c r="I704">
        <v>1345.5506591999999</v>
      </c>
      <c r="J704">
        <v>1341.0740966999999</v>
      </c>
      <c r="K704">
        <v>0</v>
      </c>
      <c r="L704">
        <v>2400</v>
      </c>
      <c r="M704">
        <v>2400</v>
      </c>
      <c r="N704">
        <v>0</v>
      </c>
    </row>
    <row r="705" spans="1:14" x14ac:dyDescent="0.25">
      <c r="A705">
        <v>218.52266800000001</v>
      </c>
      <c r="B705" s="1">
        <f>DATE(2010,12,5) + TIME(12,32,38)</f>
        <v>40517.522662037038</v>
      </c>
      <c r="C705">
        <v>80</v>
      </c>
      <c r="D705">
        <v>75.384025574000006</v>
      </c>
      <c r="E705">
        <v>50</v>
      </c>
      <c r="F705">
        <v>49.952156066999997</v>
      </c>
      <c r="G705">
        <v>1325.3214111</v>
      </c>
      <c r="H705">
        <v>1322.6334228999999</v>
      </c>
      <c r="I705">
        <v>1345.5314940999999</v>
      </c>
      <c r="J705">
        <v>1341.0601807</v>
      </c>
      <c r="K705">
        <v>0</v>
      </c>
      <c r="L705">
        <v>2400</v>
      </c>
      <c r="M705">
        <v>2400</v>
      </c>
      <c r="N705">
        <v>0</v>
      </c>
    </row>
    <row r="706" spans="1:14" x14ac:dyDescent="0.25">
      <c r="A706">
        <v>219.48785100000001</v>
      </c>
      <c r="B706" s="1">
        <f>DATE(2010,12,6) + TIME(11,42,30)</f>
        <v>40518.487847222219</v>
      </c>
      <c r="C706">
        <v>80</v>
      </c>
      <c r="D706">
        <v>75.296257018999995</v>
      </c>
      <c r="E706">
        <v>50</v>
      </c>
      <c r="F706">
        <v>49.952178955000001</v>
      </c>
      <c r="G706">
        <v>1325.2741699000001</v>
      </c>
      <c r="H706">
        <v>1322.5688477000001</v>
      </c>
      <c r="I706">
        <v>1345.5123291</v>
      </c>
      <c r="J706">
        <v>1341.0462646000001</v>
      </c>
      <c r="K706">
        <v>0</v>
      </c>
      <c r="L706">
        <v>2400</v>
      </c>
      <c r="M706">
        <v>2400</v>
      </c>
      <c r="N706">
        <v>0</v>
      </c>
    </row>
    <row r="707" spans="1:14" x14ac:dyDescent="0.25">
      <c r="A707">
        <v>220.47890100000001</v>
      </c>
      <c r="B707" s="1">
        <f>DATE(2010,12,7) + TIME(11,29,37)</f>
        <v>40519.478900462964</v>
      </c>
      <c r="C707">
        <v>80</v>
      </c>
      <c r="D707">
        <v>75.207397460999999</v>
      </c>
      <c r="E707">
        <v>50</v>
      </c>
      <c r="F707">
        <v>49.952205657999997</v>
      </c>
      <c r="G707">
        <v>1325.2258300999999</v>
      </c>
      <c r="H707">
        <v>1322.5028076000001</v>
      </c>
      <c r="I707">
        <v>1345.4932861</v>
      </c>
      <c r="J707">
        <v>1341.0324707</v>
      </c>
      <c r="K707">
        <v>0</v>
      </c>
      <c r="L707">
        <v>2400</v>
      </c>
      <c r="M707">
        <v>2400</v>
      </c>
      <c r="N707">
        <v>0</v>
      </c>
    </row>
    <row r="708" spans="1:14" x14ac:dyDescent="0.25">
      <c r="A708">
        <v>221.500047</v>
      </c>
      <c r="B708" s="1">
        <f>DATE(2010,12,8) + TIME(12,0,4)</f>
        <v>40520.5000462963</v>
      </c>
      <c r="C708">
        <v>80</v>
      </c>
      <c r="D708">
        <v>75.117263793999996</v>
      </c>
      <c r="E708">
        <v>50</v>
      </c>
      <c r="F708">
        <v>49.952232361</v>
      </c>
      <c r="G708">
        <v>1325.1762695</v>
      </c>
      <c r="H708">
        <v>1322.4351807</v>
      </c>
      <c r="I708">
        <v>1345.4743652</v>
      </c>
      <c r="J708">
        <v>1341.0186768000001</v>
      </c>
      <c r="K708">
        <v>0</v>
      </c>
      <c r="L708">
        <v>2400</v>
      </c>
      <c r="M708">
        <v>2400</v>
      </c>
      <c r="N708">
        <v>0</v>
      </c>
    </row>
    <row r="709" spans="1:14" x14ac:dyDescent="0.25">
      <c r="A709">
        <v>222.540425</v>
      </c>
      <c r="B709" s="1">
        <f>DATE(2010,12,9) + TIME(12,58,12)</f>
        <v>40521.540416666663</v>
      </c>
      <c r="C709">
        <v>80</v>
      </c>
      <c r="D709">
        <v>75.026176453000005</v>
      </c>
      <c r="E709">
        <v>50</v>
      </c>
      <c r="F709">
        <v>49.952259064000003</v>
      </c>
      <c r="G709">
        <v>1325.1254882999999</v>
      </c>
      <c r="H709">
        <v>1322.3657227000001</v>
      </c>
      <c r="I709">
        <v>1345.4553223</v>
      </c>
      <c r="J709">
        <v>1341.0050048999999</v>
      </c>
      <c r="K709">
        <v>0</v>
      </c>
      <c r="L709">
        <v>2400</v>
      </c>
      <c r="M709">
        <v>2400</v>
      </c>
      <c r="N709">
        <v>0</v>
      </c>
    </row>
    <row r="710" spans="1:14" x14ac:dyDescent="0.25">
      <c r="A710">
        <v>223.58528200000001</v>
      </c>
      <c r="B710" s="1">
        <f>DATE(2010,12,10) + TIME(14,2,48)</f>
        <v>40522.585277777776</v>
      </c>
      <c r="C710">
        <v>80</v>
      </c>
      <c r="D710">
        <v>74.934875488000003</v>
      </c>
      <c r="E710">
        <v>50</v>
      </c>
      <c r="F710">
        <v>49.952289581000002</v>
      </c>
      <c r="G710">
        <v>1325.0738524999999</v>
      </c>
      <c r="H710">
        <v>1322.2951660000001</v>
      </c>
      <c r="I710">
        <v>1345.4365233999999</v>
      </c>
      <c r="J710">
        <v>1340.9914550999999</v>
      </c>
      <c r="K710">
        <v>0</v>
      </c>
      <c r="L710">
        <v>2400</v>
      </c>
      <c r="M710">
        <v>2400</v>
      </c>
      <c r="N710">
        <v>0</v>
      </c>
    </row>
    <row r="711" spans="1:14" x14ac:dyDescent="0.25">
      <c r="A711">
        <v>224.640592</v>
      </c>
      <c r="B711" s="1">
        <f>DATE(2010,12,11) + TIME(15,22,27)</f>
        <v>40523.640590277777</v>
      </c>
      <c r="C711">
        <v>80</v>
      </c>
      <c r="D711">
        <v>74.843658446999996</v>
      </c>
      <c r="E711">
        <v>50</v>
      </c>
      <c r="F711">
        <v>49.952320098999998</v>
      </c>
      <c r="G711">
        <v>1325.0218506000001</v>
      </c>
      <c r="H711">
        <v>1322.223999</v>
      </c>
      <c r="I711">
        <v>1345.4183350000001</v>
      </c>
      <c r="J711">
        <v>1340.9782714999999</v>
      </c>
      <c r="K711">
        <v>0</v>
      </c>
      <c r="L711">
        <v>2400</v>
      </c>
      <c r="M711">
        <v>2400</v>
      </c>
      <c r="N711">
        <v>0</v>
      </c>
    </row>
    <row r="712" spans="1:14" x14ac:dyDescent="0.25">
      <c r="A712">
        <v>225.712154</v>
      </c>
      <c r="B712" s="1">
        <f>DATE(2010,12,12) + TIME(17,5,30)</f>
        <v>40524.712152777778</v>
      </c>
      <c r="C712">
        <v>80</v>
      </c>
      <c r="D712">
        <v>74.752395629999995</v>
      </c>
      <c r="E712">
        <v>50</v>
      </c>
      <c r="F712">
        <v>49.952354431000003</v>
      </c>
      <c r="G712">
        <v>1324.9694824000001</v>
      </c>
      <c r="H712">
        <v>1322.1523437999999</v>
      </c>
      <c r="I712">
        <v>1345.4002685999999</v>
      </c>
      <c r="J712">
        <v>1340.965332</v>
      </c>
      <c r="K712">
        <v>0</v>
      </c>
      <c r="L712">
        <v>2400</v>
      </c>
      <c r="M712">
        <v>2400</v>
      </c>
      <c r="N712">
        <v>0</v>
      </c>
    </row>
    <row r="713" spans="1:14" x14ac:dyDescent="0.25">
      <c r="A713">
        <v>226.80592999999999</v>
      </c>
      <c r="B713" s="1">
        <f>DATE(2010,12,13) + TIME(19,20,32)</f>
        <v>40525.805925925924</v>
      </c>
      <c r="C713">
        <v>80</v>
      </c>
      <c r="D713">
        <v>74.660736084000007</v>
      </c>
      <c r="E713">
        <v>50</v>
      </c>
      <c r="F713">
        <v>49.952388763000002</v>
      </c>
      <c r="G713">
        <v>1324.9163818</v>
      </c>
      <c r="H713">
        <v>1322.0797118999999</v>
      </c>
      <c r="I713">
        <v>1345.3825684000001</v>
      </c>
      <c r="J713">
        <v>1340.9526367000001</v>
      </c>
      <c r="K713">
        <v>0</v>
      </c>
      <c r="L713">
        <v>2400</v>
      </c>
      <c r="M713">
        <v>2400</v>
      </c>
      <c r="N713">
        <v>0</v>
      </c>
    </row>
    <row r="714" spans="1:14" x14ac:dyDescent="0.25">
      <c r="A714">
        <v>227.92462800000001</v>
      </c>
      <c r="B714" s="1">
        <f>DATE(2010,12,14) + TIME(22,11,27)</f>
        <v>40526.924618055556</v>
      </c>
      <c r="C714">
        <v>80</v>
      </c>
      <c r="D714">
        <v>74.568336486999996</v>
      </c>
      <c r="E714">
        <v>50</v>
      </c>
      <c r="F714">
        <v>49.95242691</v>
      </c>
      <c r="G714">
        <v>1324.8625488</v>
      </c>
      <c r="H714">
        <v>1322.0059814000001</v>
      </c>
      <c r="I714">
        <v>1345.3649902</v>
      </c>
      <c r="J714">
        <v>1340.9400635</v>
      </c>
      <c r="K714">
        <v>0</v>
      </c>
      <c r="L714">
        <v>2400</v>
      </c>
      <c r="M714">
        <v>2400</v>
      </c>
      <c r="N714">
        <v>0</v>
      </c>
    </row>
    <row r="715" spans="1:14" x14ac:dyDescent="0.25">
      <c r="A715">
        <v>229.06637799999999</v>
      </c>
      <c r="B715" s="1">
        <f>DATE(2010,12,16) + TIME(1,35,35)</f>
        <v>40528.066377314812</v>
      </c>
      <c r="C715">
        <v>80</v>
      </c>
      <c r="D715">
        <v>74.475074767999999</v>
      </c>
      <c r="E715">
        <v>50</v>
      </c>
      <c r="F715">
        <v>49.952465056999998</v>
      </c>
      <c r="G715">
        <v>1324.8076172000001</v>
      </c>
      <c r="H715">
        <v>1321.9309082</v>
      </c>
      <c r="I715">
        <v>1345.3475341999999</v>
      </c>
      <c r="J715">
        <v>1340.9276123</v>
      </c>
      <c r="K715">
        <v>0</v>
      </c>
      <c r="L715">
        <v>2400</v>
      </c>
      <c r="M715">
        <v>2400</v>
      </c>
      <c r="N715">
        <v>0</v>
      </c>
    </row>
    <row r="716" spans="1:14" x14ac:dyDescent="0.25">
      <c r="A716">
        <v>230.237707</v>
      </c>
      <c r="B716" s="1">
        <f>DATE(2010,12,17) + TIME(5,42,17)</f>
        <v>40529.237696759257</v>
      </c>
      <c r="C716">
        <v>80</v>
      </c>
      <c r="D716">
        <v>74.380722046000002</v>
      </c>
      <c r="E716">
        <v>50</v>
      </c>
      <c r="F716">
        <v>49.952507019000002</v>
      </c>
      <c r="G716">
        <v>1324.7517089999999</v>
      </c>
      <c r="H716">
        <v>1321.8544922000001</v>
      </c>
      <c r="I716">
        <v>1345.3302002</v>
      </c>
      <c r="J716">
        <v>1340.9151611</v>
      </c>
      <c r="K716">
        <v>0</v>
      </c>
      <c r="L716">
        <v>2400</v>
      </c>
      <c r="M716">
        <v>2400</v>
      </c>
      <c r="N716">
        <v>0</v>
      </c>
    </row>
    <row r="717" spans="1:14" x14ac:dyDescent="0.25">
      <c r="A717">
        <v>231.441892</v>
      </c>
      <c r="B717" s="1">
        <f>DATE(2010,12,18) + TIME(10,36,19)</f>
        <v>40530.441886574074</v>
      </c>
      <c r="C717">
        <v>80</v>
      </c>
      <c r="D717">
        <v>74.284957886000001</v>
      </c>
      <c r="E717">
        <v>50</v>
      </c>
      <c r="F717">
        <v>49.952548981</v>
      </c>
      <c r="G717">
        <v>1324.6947021000001</v>
      </c>
      <c r="H717">
        <v>1321.7763672000001</v>
      </c>
      <c r="I717">
        <v>1345.3128661999999</v>
      </c>
      <c r="J717">
        <v>1340.902832</v>
      </c>
      <c r="K717">
        <v>0</v>
      </c>
      <c r="L717">
        <v>2400</v>
      </c>
      <c r="M717">
        <v>2400</v>
      </c>
      <c r="N717">
        <v>0</v>
      </c>
    </row>
    <row r="718" spans="1:14" x14ac:dyDescent="0.25">
      <c r="A718">
        <v>232.669859</v>
      </c>
      <c r="B718" s="1">
        <f>DATE(2010,12,19) + TIME(16,4,35)</f>
        <v>40531.669849537036</v>
      </c>
      <c r="C718">
        <v>80</v>
      </c>
      <c r="D718">
        <v>74.187881469999994</v>
      </c>
      <c r="E718">
        <v>50</v>
      </c>
      <c r="F718">
        <v>49.952594757</v>
      </c>
      <c r="G718">
        <v>1324.6362305</v>
      </c>
      <c r="H718">
        <v>1321.6965332</v>
      </c>
      <c r="I718">
        <v>1345.2955322</v>
      </c>
      <c r="J718">
        <v>1340.8905029</v>
      </c>
      <c r="K718">
        <v>0</v>
      </c>
      <c r="L718">
        <v>2400</v>
      </c>
      <c r="M718">
        <v>2400</v>
      </c>
      <c r="N718">
        <v>0</v>
      </c>
    </row>
    <row r="719" spans="1:14" x14ac:dyDescent="0.25">
      <c r="A719">
        <v>233.90558100000001</v>
      </c>
      <c r="B719" s="1">
        <f>DATE(2010,12,20) + TIME(21,44,2)</f>
        <v>40532.905578703707</v>
      </c>
      <c r="C719">
        <v>80</v>
      </c>
      <c r="D719">
        <v>74.090133667000003</v>
      </c>
      <c r="E719">
        <v>50</v>
      </c>
      <c r="F719">
        <v>49.952640533</v>
      </c>
      <c r="G719">
        <v>1324.5769043</v>
      </c>
      <c r="H719">
        <v>1321.6152344</v>
      </c>
      <c r="I719">
        <v>1345.2783202999999</v>
      </c>
      <c r="J719">
        <v>1340.8782959</v>
      </c>
      <c r="K719">
        <v>0</v>
      </c>
      <c r="L719">
        <v>2400</v>
      </c>
      <c r="M719">
        <v>2400</v>
      </c>
      <c r="N719">
        <v>0</v>
      </c>
    </row>
    <row r="720" spans="1:14" x14ac:dyDescent="0.25">
      <c r="A720">
        <v>235.15618900000001</v>
      </c>
      <c r="B720" s="1">
        <f>DATE(2010,12,22) + TIME(3,44,54)</f>
        <v>40534.156180555554</v>
      </c>
      <c r="C720">
        <v>80</v>
      </c>
      <c r="D720">
        <v>73.992042541999993</v>
      </c>
      <c r="E720">
        <v>50</v>
      </c>
      <c r="F720">
        <v>49.952686309999997</v>
      </c>
      <c r="G720">
        <v>1324.5170897999999</v>
      </c>
      <c r="H720">
        <v>1321.5334473</v>
      </c>
      <c r="I720">
        <v>1345.2614745999999</v>
      </c>
      <c r="J720">
        <v>1340.8664550999999</v>
      </c>
      <c r="K720">
        <v>0</v>
      </c>
      <c r="L720">
        <v>2400</v>
      </c>
      <c r="M720">
        <v>2400</v>
      </c>
      <c r="N720">
        <v>0</v>
      </c>
    </row>
    <row r="721" spans="1:14" x14ac:dyDescent="0.25">
      <c r="A721">
        <v>236.428853</v>
      </c>
      <c r="B721" s="1">
        <f>DATE(2010,12,23) + TIME(10,17,32)</f>
        <v>40535.428842592592</v>
      </c>
      <c r="C721">
        <v>80</v>
      </c>
      <c r="D721">
        <v>73.893348693999997</v>
      </c>
      <c r="E721">
        <v>50</v>
      </c>
      <c r="F721">
        <v>49.952735900999997</v>
      </c>
      <c r="G721">
        <v>1324.4569091999999</v>
      </c>
      <c r="H721">
        <v>1321.4509277</v>
      </c>
      <c r="I721">
        <v>1345.2448730000001</v>
      </c>
      <c r="J721">
        <v>1340.8546143000001</v>
      </c>
      <c r="K721">
        <v>0</v>
      </c>
      <c r="L721">
        <v>2400</v>
      </c>
      <c r="M721">
        <v>2400</v>
      </c>
      <c r="N721">
        <v>0</v>
      </c>
    </row>
    <row r="722" spans="1:14" x14ac:dyDescent="0.25">
      <c r="A722">
        <v>237.72532699999999</v>
      </c>
      <c r="B722" s="1">
        <f>DATE(2010,12,24) + TIME(17,24,28)</f>
        <v>40536.725324074076</v>
      </c>
      <c r="C722">
        <v>80</v>
      </c>
      <c r="D722">
        <v>73.793724060000002</v>
      </c>
      <c r="E722">
        <v>50</v>
      </c>
      <c r="F722">
        <v>49.952789307000003</v>
      </c>
      <c r="G722">
        <v>1324.395874</v>
      </c>
      <c r="H722">
        <v>1321.3673096</v>
      </c>
      <c r="I722">
        <v>1345.2285156</v>
      </c>
      <c r="J722">
        <v>1340.8430175999999</v>
      </c>
      <c r="K722">
        <v>0</v>
      </c>
      <c r="L722">
        <v>2400</v>
      </c>
      <c r="M722">
        <v>2400</v>
      </c>
      <c r="N722">
        <v>0</v>
      </c>
    </row>
    <row r="723" spans="1:14" x14ac:dyDescent="0.25">
      <c r="A723">
        <v>239.04585700000001</v>
      </c>
      <c r="B723" s="1">
        <f>DATE(2010,12,26) + TIME(1,6,2)</f>
        <v>40538.045856481483</v>
      </c>
      <c r="C723">
        <v>80</v>
      </c>
      <c r="D723">
        <v>73.692977905000006</v>
      </c>
      <c r="E723">
        <v>50</v>
      </c>
      <c r="F723">
        <v>49.952842711999999</v>
      </c>
      <c r="G723">
        <v>1324.3339844</v>
      </c>
      <c r="H723">
        <v>1321.2824707</v>
      </c>
      <c r="I723">
        <v>1345.2122803</v>
      </c>
      <c r="J723">
        <v>1340.831543</v>
      </c>
      <c r="K723">
        <v>0</v>
      </c>
      <c r="L723">
        <v>2400</v>
      </c>
      <c r="M723">
        <v>2400</v>
      </c>
      <c r="N723">
        <v>0</v>
      </c>
    </row>
    <row r="724" spans="1:14" x14ac:dyDescent="0.25">
      <c r="A724">
        <v>240.39514399999999</v>
      </c>
      <c r="B724" s="1">
        <f>DATE(2010,12,27) + TIME(9,29,0)</f>
        <v>40539.395138888889</v>
      </c>
      <c r="C724">
        <v>80</v>
      </c>
      <c r="D724">
        <v>73.590850829999994</v>
      </c>
      <c r="E724">
        <v>50</v>
      </c>
      <c r="F724">
        <v>49.952896117999998</v>
      </c>
      <c r="G724">
        <v>1324.2711182</v>
      </c>
      <c r="H724">
        <v>1321.1965332</v>
      </c>
      <c r="I724">
        <v>1345.1960449000001</v>
      </c>
      <c r="J724">
        <v>1340.8201904</v>
      </c>
      <c r="K724">
        <v>0</v>
      </c>
      <c r="L724">
        <v>2400</v>
      </c>
      <c r="M724">
        <v>2400</v>
      </c>
      <c r="N724">
        <v>0</v>
      </c>
    </row>
    <row r="725" spans="1:14" x14ac:dyDescent="0.25">
      <c r="A725">
        <v>241.775656</v>
      </c>
      <c r="B725" s="1">
        <f>DATE(2010,12,28) + TIME(18,36,56)</f>
        <v>40540.775648148148</v>
      </c>
      <c r="C725">
        <v>80</v>
      </c>
      <c r="D725">
        <v>73.487052917</v>
      </c>
      <c r="E725">
        <v>50</v>
      </c>
      <c r="F725">
        <v>49.952953338999997</v>
      </c>
      <c r="G725">
        <v>1324.2072754000001</v>
      </c>
      <c r="H725">
        <v>1321.1090088000001</v>
      </c>
      <c r="I725">
        <v>1345.1799315999999</v>
      </c>
      <c r="J725">
        <v>1340.8088379000001</v>
      </c>
      <c r="K725">
        <v>0</v>
      </c>
      <c r="L725">
        <v>2400</v>
      </c>
      <c r="M725">
        <v>2400</v>
      </c>
      <c r="N725">
        <v>0</v>
      </c>
    </row>
    <row r="726" spans="1:14" x14ac:dyDescent="0.25">
      <c r="A726">
        <v>243.17978199999999</v>
      </c>
      <c r="B726" s="1">
        <f>DATE(2010,12,30) + TIME(4,18,53)</f>
        <v>40542.179780092592</v>
      </c>
      <c r="C726">
        <v>80</v>
      </c>
      <c r="D726">
        <v>73.381561278999996</v>
      </c>
      <c r="E726">
        <v>50</v>
      </c>
      <c r="F726">
        <v>49.953014373999999</v>
      </c>
      <c r="G726">
        <v>1324.1423339999999</v>
      </c>
      <c r="H726">
        <v>1321.0200195</v>
      </c>
      <c r="I726">
        <v>1345.1639404</v>
      </c>
      <c r="J726">
        <v>1340.7976074000001</v>
      </c>
      <c r="K726">
        <v>0</v>
      </c>
      <c r="L726">
        <v>2400</v>
      </c>
      <c r="M726">
        <v>2400</v>
      </c>
      <c r="N726">
        <v>0</v>
      </c>
    </row>
    <row r="727" spans="1:14" x14ac:dyDescent="0.25">
      <c r="A727">
        <v>244.614</v>
      </c>
      <c r="B727" s="1">
        <f>DATE(2010,12,31) + TIME(14,44,9)</f>
        <v>40543.613993055558</v>
      </c>
      <c r="C727">
        <v>80</v>
      </c>
      <c r="D727">
        <v>73.274345397999994</v>
      </c>
      <c r="E727">
        <v>50</v>
      </c>
      <c r="F727">
        <v>49.953075409</v>
      </c>
      <c r="G727">
        <v>1324.0765381000001</v>
      </c>
      <c r="H727">
        <v>1320.9296875</v>
      </c>
      <c r="I727">
        <v>1345.1480713000001</v>
      </c>
      <c r="J727">
        <v>1340.786499</v>
      </c>
      <c r="K727">
        <v>0</v>
      </c>
      <c r="L727">
        <v>2400</v>
      </c>
      <c r="M727">
        <v>2400</v>
      </c>
      <c r="N727">
        <v>0</v>
      </c>
    </row>
    <row r="728" spans="1:14" x14ac:dyDescent="0.25">
      <c r="A728">
        <v>245</v>
      </c>
      <c r="B728" s="1">
        <f>DATE(2011,1,1) + TIME(0,0,0)</f>
        <v>40544</v>
      </c>
      <c r="C728">
        <v>80</v>
      </c>
      <c r="D728">
        <v>73.217369079999997</v>
      </c>
      <c r="E728">
        <v>50</v>
      </c>
      <c r="F728">
        <v>49.953079224</v>
      </c>
      <c r="G728">
        <v>1324.0147704999999</v>
      </c>
      <c r="H728">
        <v>1320.8488769999999</v>
      </c>
      <c r="I728">
        <v>1345.1319579999999</v>
      </c>
      <c r="J728">
        <v>1340.7751464999999</v>
      </c>
      <c r="K728">
        <v>0</v>
      </c>
      <c r="L728">
        <v>2400</v>
      </c>
      <c r="M728">
        <v>2400</v>
      </c>
      <c r="N728">
        <v>0</v>
      </c>
    </row>
    <row r="729" spans="1:14" x14ac:dyDescent="0.25">
      <c r="A729">
        <v>246.441622</v>
      </c>
      <c r="B729" s="1">
        <f>DATE(2011,1,2) + TIME(10,35,56)</f>
        <v>40545.441620370373</v>
      </c>
      <c r="C729">
        <v>80</v>
      </c>
      <c r="D729">
        <v>73.127258300999998</v>
      </c>
      <c r="E729">
        <v>50</v>
      </c>
      <c r="F729">
        <v>49.953147887999997</v>
      </c>
      <c r="G729">
        <v>1323.9859618999999</v>
      </c>
      <c r="H729">
        <v>1320.8034668</v>
      </c>
      <c r="I729">
        <v>1345.1280518000001</v>
      </c>
      <c r="J729">
        <v>1340.7724608999999</v>
      </c>
      <c r="K729">
        <v>0</v>
      </c>
      <c r="L729">
        <v>2400</v>
      </c>
      <c r="M729">
        <v>2400</v>
      </c>
      <c r="N729">
        <v>0</v>
      </c>
    </row>
    <row r="730" spans="1:14" x14ac:dyDescent="0.25">
      <c r="A730">
        <v>247.90489700000001</v>
      </c>
      <c r="B730" s="1">
        <f>DATE(2011,1,3) + TIME(21,43,3)</f>
        <v>40546.904895833337</v>
      </c>
      <c r="C730">
        <v>80</v>
      </c>
      <c r="D730">
        <v>73.023712157999995</v>
      </c>
      <c r="E730">
        <v>50</v>
      </c>
      <c r="F730">
        <v>49.953216552999997</v>
      </c>
      <c r="G730">
        <v>1323.9226074000001</v>
      </c>
      <c r="H730">
        <v>1320.7178954999999</v>
      </c>
      <c r="I730">
        <v>1345.1126709</v>
      </c>
      <c r="J730">
        <v>1340.7617187999999</v>
      </c>
      <c r="K730">
        <v>0</v>
      </c>
      <c r="L730">
        <v>2400</v>
      </c>
      <c r="M730">
        <v>2400</v>
      </c>
      <c r="N730">
        <v>0</v>
      </c>
    </row>
    <row r="731" spans="1:14" x14ac:dyDescent="0.25">
      <c r="A731">
        <v>249.39392900000001</v>
      </c>
      <c r="B731" s="1">
        <f>DATE(2011,1,5) + TIME(9,27,15)</f>
        <v>40548.393923611111</v>
      </c>
      <c r="C731">
        <v>80</v>
      </c>
      <c r="D731">
        <v>72.914413452000005</v>
      </c>
      <c r="E731">
        <v>50</v>
      </c>
      <c r="F731">
        <v>49.953281402999998</v>
      </c>
      <c r="G731">
        <v>1323.8562012</v>
      </c>
      <c r="H731">
        <v>1320.6271973</v>
      </c>
      <c r="I731">
        <v>1345.0974120999999</v>
      </c>
      <c r="J731">
        <v>1340.7510986</v>
      </c>
      <c r="K731">
        <v>0</v>
      </c>
      <c r="L731">
        <v>2400</v>
      </c>
      <c r="M731">
        <v>2400</v>
      </c>
      <c r="N731">
        <v>0</v>
      </c>
    </row>
    <row r="732" spans="1:14" x14ac:dyDescent="0.25">
      <c r="A732">
        <v>250.91744499999999</v>
      </c>
      <c r="B732" s="1">
        <f>DATE(2011,1,6) + TIME(22,1,7)</f>
        <v>40549.917442129627</v>
      </c>
      <c r="C732">
        <v>80</v>
      </c>
      <c r="D732">
        <v>72.801605225000003</v>
      </c>
      <c r="E732">
        <v>50</v>
      </c>
      <c r="F732">
        <v>49.953350067000002</v>
      </c>
      <c r="G732">
        <v>1323.7882079999999</v>
      </c>
      <c r="H732">
        <v>1320.5339355000001</v>
      </c>
      <c r="I732">
        <v>1345.0822754000001</v>
      </c>
      <c r="J732">
        <v>1340.7404785000001</v>
      </c>
      <c r="K732">
        <v>0</v>
      </c>
      <c r="L732">
        <v>2400</v>
      </c>
      <c r="M732">
        <v>2400</v>
      </c>
      <c r="N732">
        <v>0</v>
      </c>
    </row>
    <row r="733" spans="1:14" x14ac:dyDescent="0.25">
      <c r="A733">
        <v>252.47574</v>
      </c>
      <c r="B733" s="1">
        <f>DATE(2011,1,8) + TIME(11,25,3)</f>
        <v>40551.475729166668</v>
      </c>
      <c r="C733">
        <v>80</v>
      </c>
      <c r="D733">
        <v>72.685714722</v>
      </c>
      <c r="E733">
        <v>50</v>
      </c>
      <c r="F733">
        <v>49.953422545999999</v>
      </c>
      <c r="G733">
        <v>1323.71875</v>
      </c>
      <c r="H733">
        <v>1320.4387207</v>
      </c>
      <c r="I733">
        <v>1345.0671387</v>
      </c>
      <c r="J733">
        <v>1340.7299805</v>
      </c>
      <c r="K733">
        <v>0</v>
      </c>
      <c r="L733">
        <v>2400</v>
      </c>
      <c r="M733">
        <v>2400</v>
      </c>
      <c r="N733">
        <v>0</v>
      </c>
    </row>
    <row r="734" spans="1:14" x14ac:dyDescent="0.25">
      <c r="A734">
        <v>254.058628</v>
      </c>
      <c r="B734" s="1">
        <f>DATE(2011,1,10) + TIME(1,24,25)</f>
        <v>40553.058622685188</v>
      </c>
      <c r="C734">
        <v>80</v>
      </c>
      <c r="D734">
        <v>72.567024231000005</v>
      </c>
      <c r="E734">
        <v>50</v>
      </c>
      <c r="F734">
        <v>49.953495025999999</v>
      </c>
      <c r="G734">
        <v>1323.6481934000001</v>
      </c>
      <c r="H734">
        <v>1320.3417969</v>
      </c>
      <c r="I734">
        <v>1345.0520019999999</v>
      </c>
      <c r="J734">
        <v>1340.7194824000001</v>
      </c>
      <c r="K734">
        <v>0</v>
      </c>
      <c r="L734">
        <v>2400</v>
      </c>
      <c r="M734">
        <v>2400</v>
      </c>
      <c r="N734">
        <v>0</v>
      </c>
    </row>
    <row r="735" spans="1:14" x14ac:dyDescent="0.25">
      <c r="A735">
        <v>255.663443</v>
      </c>
      <c r="B735" s="1">
        <f>DATE(2011,1,11) + TIME(15,55,21)</f>
        <v>40554.663437499999</v>
      </c>
      <c r="C735">
        <v>80</v>
      </c>
      <c r="D735">
        <v>72.445907593000001</v>
      </c>
      <c r="E735">
        <v>50</v>
      </c>
      <c r="F735">
        <v>49.953567505000002</v>
      </c>
      <c r="G735">
        <v>1323.5766602000001</v>
      </c>
      <c r="H735">
        <v>1320.2436522999999</v>
      </c>
      <c r="I735">
        <v>1345.0369873</v>
      </c>
      <c r="J735">
        <v>1340.7091064000001</v>
      </c>
      <c r="K735">
        <v>0</v>
      </c>
      <c r="L735">
        <v>2400</v>
      </c>
      <c r="M735">
        <v>2400</v>
      </c>
      <c r="N735">
        <v>0</v>
      </c>
    </row>
    <row r="736" spans="1:14" x14ac:dyDescent="0.25">
      <c r="A736">
        <v>257.29620899999998</v>
      </c>
      <c r="B736" s="1">
        <f>DATE(2011,1,13) + TIME(7,6,32)</f>
        <v>40556.296203703707</v>
      </c>
      <c r="C736">
        <v>80</v>
      </c>
      <c r="D736">
        <v>72.322326660000002</v>
      </c>
      <c r="E736">
        <v>50</v>
      </c>
      <c r="F736">
        <v>49.953643798999998</v>
      </c>
      <c r="G736">
        <v>1323.5045166</v>
      </c>
      <c r="H736">
        <v>1320.1445312000001</v>
      </c>
      <c r="I736">
        <v>1345.0222168</v>
      </c>
      <c r="J736">
        <v>1340.6988524999999</v>
      </c>
      <c r="K736">
        <v>0</v>
      </c>
      <c r="L736">
        <v>2400</v>
      </c>
      <c r="M736">
        <v>2400</v>
      </c>
      <c r="N736">
        <v>0</v>
      </c>
    </row>
    <row r="737" spans="1:14" x14ac:dyDescent="0.25">
      <c r="A737">
        <v>258.94346000000002</v>
      </c>
      <c r="B737" s="1">
        <f>DATE(2011,1,14) + TIME(22,38,34)</f>
        <v>40557.943449074075</v>
      </c>
      <c r="C737">
        <v>80</v>
      </c>
      <c r="D737">
        <v>72.196296692000004</v>
      </c>
      <c r="E737">
        <v>50</v>
      </c>
      <c r="F737">
        <v>49.953720093000001</v>
      </c>
      <c r="G737">
        <v>1323.4316406</v>
      </c>
      <c r="H737">
        <v>1320.0443115</v>
      </c>
      <c r="I737">
        <v>1345.0074463000001</v>
      </c>
      <c r="J737">
        <v>1340.6885986</v>
      </c>
      <c r="K737">
        <v>0</v>
      </c>
      <c r="L737">
        <v>2400</v>
      </c>
      <c r="M737">
        <v>2400</v>
      </c>
      <c r="N737">
        <v>0</v>
      </c>
    </row>
    <row r="738" spans="1:14" x14ac:dyDescent="0.25">
      <c r="A738">
        <v>260.61485099999999</v>
      </c>
      <c r="B738" s="1">
        <f>DATE(2011,1,16) + TIME(14,45,23)</f>
        <v>40559.614849537036</v>
      </c>
      <c r="C738">
        <v>80</v>
      </c>
      <c r="D738">
        <v>72.067947387999993</v>
      </c>
      <c r="E738">
        <v>50</v>
      </c>
      <c r="F738">
        <v>49.953796386999997</v>
      </c>
      <c r="G738">
        <v>1323.3583983999999</v>
      </c>
      <c r="H738">
        <v>1319.9434814000001</v>
      </c>
      <c r="I738">
        <v>1344.9929199000001</v>
      </c>
      <c r="J738">
        <v>1340.6784668</v>
      </c>
      <c r="K738">
        <v>0</v>
      </c>
      <c r="L738">
        <v>2400</v>
      </c>
      <c r="M738">
        <v>2400</v>
      </c>
      <c r="N738">
        <v>0</v>
      </c>
    </row>
    <row r="739" spans="1:14" x14ac:dyDescent="0.25">
      <c r="A739">
        <v>262.32026200000001</v>
      </c>
      <c r="B739" s="1">
        <f>DATE(2011,1,18) + TIME(7,41,10)</f>
        <v>40561.320254629631</v>
      </c>
      <c r="C739">
        <v>80</v>
      </c>
      <c r="D739">
        <v>71.936691284000005</v>
      </c>
      <c r="E739">
        <v>50</v>
      </c>
      <c r="F739">
        <v>49.953880310000002</v>
      </c>
      <c r="G739">
        <v>1323.2845459</v>
      </c>
      <c r="H739">
        <v>1319.8419189000001</v>
      </c>
      <c r="I739">
        <v>1344.9785156</v>
      </c>
      <c r="J739">
        <v>1340.6685791</v>
      </c>
      <c r="K739">
        <v>0</v>
      </c>
      <c r="L739">
        <v>2400</v>
      </c>
      <c r="M739">
        <v>2400</v>
      </c>
      <c r="N739">
        <v>0</v>
      </c>
    </row>
    <row r="740" spans="1:14" x14ac:dyDescent="0.25">
      <c r="A740">
        <v>264.06315499999999</v>
      </c>
      <c r="B740" s="1">
        <f>DATE(2011,1,20) + TIME(1,30,56)</f>
        <v>40563.063148148147</v>
      </c>
      <c r="C740">
        <v>80</v>
      </c>
      <c r="D740">
        <v>71.801849364999995</v>
      </c>
      <c r="E740">
        <v>50</v>
      </c>
      <c r="F740">
        <v>49.953960418999998</v>
      </c>
      <c r="G740">
        <v>1323.2098389</v>
      </c>
      <c r="H740">
        <v>1319.7390137</v>
      </c>
      <c r="I740">
        <v>1344.9642334</v>
      </c>
      <c r="J740">
        <v>1340.6585693</v>
      </c>
      <c r="K740">
        <v>0</v>
      </c>
      <c r="L740">
        <v>2400</v>
      </c>
      <c r="M740">
        <v>2400</v>
      </c>
      <c r="N740">
        <v>0</v>
      </c>
    </row>
    <row r="741" spans="1:14" x14ac:dyDescent="0.25">
      <c r="A741">
        <v>265.837402</v>
      </c>
      <c r="B741" s="1">
        <f>DATE(2011,1,21) + TIME(20,5,51)</f>
        <v>40564.837395833332</v>
      </c>
      <c r="C741">
        <v>80</v>
      </c>
      <c r="D741">
        <v>71.663093567000004</v>
      </c>
      <c r="E741">
        <v>50</v>
      </c>
      <c r="F741">
        <v>49.954044342000003</v>
      </c>
      <c r="G741">
        <v>1323.1340332</v>
      </c>
      <c r="H741">
        <v>1319.6346435999999</v>
      </c>
      <c r="I741">
        <v>1344.9498291</v>
      </c>
      <c r="J741">
        <v>1340.6486815999999</v>
      </c>
      <c r="K741">
        <v>0</v>
      </c>
      <c r="L741">
        <v>2400</v>
      </c>
      <c r="M741">
        <v>2400</v>
      </c>
      <c r="N741">
        <v>0</v>
      </c>
    </row>
    <row r="742" spans="1:14" x14ac:dyDescent="0.25">
      <c r="A742">
        <v>267.62729300000001</v>
      </c>
      <c r="B742" s="1">
        <f>DATE(2011,1,23) + TIME(15,3,18)</f>
        <v>40566.627291666664</v>
      </c>
      <c r="C742">
        <v>80</v>
      </c>
      <c r="D742">
        <v>71.520782471000004</v>
      </c>
      <c r="E742">
        <v>50</v>
      </c>
      <c r="F742">
        <v>49.954132080000001</v>
      </c>
      <c r="G742">
        <v>1323.0574951000001</v>
      </c>
      <c r="H742">
        <v>1319.5290527</v>
      </c>
      <c r="I742">
        <v>1344.9355469</v>
      </c>
      <c r="J742">
        <v>1340.6387939000001</v>
      </c>
      <c r="K742">
        <v>0</v>
      </c>
      <c r="L742">
        <v>2400</v>
      </c>
      <c r="M742">
        <v>2400</v>
      </c>
      <c r="N742">
        <v>0</v>
      </c>
    </row>
    <row r="743" spans="1:14" x14ac:dyDescent="0.25">
      <c r="A743">
        <v>269.43929000000003</v>
      </c>
      <c r="B743" s="1">
        <f>DATE(2011,1,25) + TIME(10,32,34)</f>
        <v>40568.439282407409</v>
      </c>
      <c r="C743">
        <v>80</v>
      </c>
      <c r="D743">
        <v>71.375335692999997</v>
      </c>
      <c r="E743">
        <v>50</v>
      </c>
      <c r="F743">
        <v>49.954219817999999</v>
      </c>
      <c r="G743">
        <v>1322.9804687999999</v>
      </c>
      <c r="H743">
        <v>1319.4228516000001</v>
      </c>
      <c r="I743">
        <v>1344.9213867000001</v>
      </c>
      <c r="J743">
        <v>1340.6290283000001</v>
      </c>
      <c r="K743">
        <v>0</v>
      </c>
      <c r="L743">
        <v>2400</v>
      </c>
      <c r="M743">
        <v>2400</v>
      </c>
      <c r="N743">
        <v>0</v>
      </c>
    </row>
    <row r="744" spans="1:14" x14ac:dyDescent="0.25">
      <c r="A744">
        <v>271.28360199999997</v>
      </c>
      <c r="B744" s="1">
        <f>DATE(2011,1,27) + TIME(6,48,23)</f>
        <v>40570.283599537041</v>
      </c>
      <c r="C744">
        <v>80</v>
      </c>
      <c r="D744">
        <v>71.226333617999998</v>
      </c>
      <c r="E744">
        <v>50</v>
      </c>
      <c r="F744">
        <v>49.954307556000003</v>
      </c>
      <c r="G744">
        <v>1322.9030762</v>
      </c>
      <c r="H744">
        <v>1319.3160399999999</v>
      </c>
      <c r="I744">
        <v>1344.9074707</v>
      </c>
      <c r="J744">
        <v>1340.6193848</v>
      </c>
      <c r="K744">
        <v>0</v>
      </c>
      <c r="L744">
        <v>2400</v>
      </c>
      <c r="M744">
        <v>2400</v>
      </c>
      <c r="N744">
        <v>0</v>
      </c>
    </row>
    <row r="745" spans="1:14" x14ac:dyDescent="0.25">
      <c r="A745">
        <v>273.16285900000003</v>
      </c>
      <c r="B745" s="1">
        <f>DATE(2011,1,29) + TIME(3,54,30)</f>
        <v>40572.162847222222</v>
      </c>
      <c r="C745">
        <v>80</v>
      </c>
      <c r="D745">
        <v>71.073081970000004</v>
      </c>
      <c r="E745">
        <v>50</v>
      </c>
      <c r="F745">
        <v>49.954399109000001</v>
      </c>
      <c r="G745">
        <v>1322.8250731999999</v>
      </c>
      <c r="H745">
        <v>1319.2082519999999</v>
      </c>
      <c r="I745">
        <v>1344.8935547000001</v>
      </c>
      <c r="J745">
        <v>1340.6098632999999</v>
      </c>
      <c r="K745">
        <v>0</v>
      </c>
      <c r="L745">
        <v>2400</v>
      </c>
      <c r="M745">
        <v>2400</v>
      </c>
      <c r="N745">
        <v>0</v>
      </c>
    </row>
    <row r="746" spans="1:14" x14ac:dyDescent="0.25">
      <c r="A746">
        <v>275.06377700000002</v>
      </c>
      <c r="B746" s="1">
        <f>DATE(2011,1,31) + TIME(1,31,50)</f>
        <v>40574.063773148147</v>
      </c>
      <c r="C746">
        <v>80</v>
      </c>
      <c r="D746">
        <v>70.915420531999999</v>
      </c>
      <c r="E746">
        <v>50</v>
      </c>
      <c r="F746">
        <v>49.954490661999998</v>
      </c>
      <c r="G746">
        <v>1322.7462158000001</v>
      </c>
      <c r="H746">
        <v>1319.0993652</v>
      </c>
      <c r="I746">
        <v>1344.8796387</v>
      </c>
      <c r="J746">
        <v>1340.6002197</v>
      </c>
      <c r="K746">
        <v>0</v>
      </c>
      <c r="L746">
        <v>2400</v>
      </c>
      <c r="M746">
        <v>2400</v>
      </c>
      <c r="N746">
        <v>0</v>
      </c>
    </row>
    <row r="747" spans="1:14" x14ac:dyDescent="0.25">
      <c r="A747">
        <v>276</v>
      </c>
      <c r="B747" s="1">
        <f>DATE(2011,2,1) + TIME(0,0,0)</f>
        <v>40575</v>
      </c>
      <c r="C747">
        <v>80</v>
      </c>
      <c r="D747">
        <v>70.787330627000003</v>
      </c>
      <c r="E747">
        <v>50</v>
      </c>
      <c r="F747">
        <v>49.954521178999997</v>
      </c>
      <c r="G747">
        <v>1322.6695557</v>
      </c>
      <c r="H747">
        <v>1318.9960937999999</v>
      </c>
      <c r="I747">
        <v>1344.8657227000001</v>
      </c>
      <c r="J747">
        <v>1340.5905762</v>
      </c>
      <c r="K747">
        <v>0</v>
      </c>
      <c r="L747">
        <v>2400</v>
      </c>
      <c r="M747">
        <v>2400</v>
      </c>
      <c r="N747">
        <v>0</v>
      </c>
    </row>
    <row r="748" spans="1:14" x14ac:dyDescent="0.25">
      <c r="A748">
        <v>277.930409</v>
      </c>
      <c r="B748" s="1">
        <f>DATE(2011,2,2) + TIME(22,19,47)</f>
        <v>40576.930405092593</v>
      </c>
      <c r="C748">
        <v>80</v>
      </c>
      <c r="D748">
        <v>70.660911560000002</v>
      </c>
      <c r="E748">
        <v>50</v>
      </c>
      <c r="F748">
        <v>49.954627991000002</v>
      </c>
      <c r="G748">
        <v>1322.6207274999999</v>
      </c>
      <c r="H748">
        <v>1318.9229736</v>
      </c>
      <c r="I748">
        <v>1344.8592529</v>
      </c>
      <c r="J748">
        <v>1340.5860596</v>
      </c>
      <c r="K748">
        <v>0</v>
      </c>
      <c r="L748">
        <v>2400</v>
      </c>
      <c r="M748">
        <v>2400</v>
      </c>
      <c r="N748">
        <v>0</v>
      </c>
    </row>
    <row r="749" spans="1:14" x14ac:dyDescent="0.25">
      <c r="A749">
        <v>279.92300399999999</v>
      </c>
      <c r="B749" s="1">
        <f>DATE(2011,2,4) + TIME(22,9,7)</f>
        <v>40578.922997685186</v>
      </c>
      <c r="C749">
        <v>80</v>
      </c>
      <c r="D749">
        <v>70.502029418999996</v>
      </c>
      <c r="E749">
        <v>50</v>
      </c>
      <c r="F749">
        <v>49.954727173000002</v>
      </c>
      <c r="G749">
        <v>1322.5462646000001</v>
      </c>
      <c r="H749">
        <v>1318.8220214999999</v>
      </c>
      <c r="I749">
        <v>1344.8455810999999</v>
      </c>
      <c r="J749">
        <v>1340.5766602000001</v>
      </c>
      <c r="K749">
        <v>0</v>
      </c>
      <c r="L749">
        <v>2400</v>
      </c>
      <c r="M749">
        <v>2400</v>
      </c>
      <c r="N749">
        <v>0</v>
      </c>
    </row>
    <row r="750" spans="1:14" x14ac:dyDescent="0.25">
      <c r="A750">
        <v>281.92337700000002</v>
      </c>
      <c r="B750" s="1">
        <f>DATE(2011,2,6) + TIME(22,9,39)</f>
        <v>40580.923368055555</v>
      </c>
      <c r="C750">
        <v>80</v>
      </c>
      <c r="D750">
        <v>70.330055236999996</v>
      </c>
      <c r="E750">
        <v>50</v>
      </c>
      <c r="F750">
        <v>49.954826355000002</v>
      </c>
      <c r="G750">
        <v>1322.4665527</v>
      </c>
      <c r="H750">
        <v>1318.7124022999999</v>
      </c>
      <c r="I750">
        <v>1344.8319091999999</v>
      </c>
      <c r="J750">
        <v>1340.5672606999999</v>
      </c>
      <c r="K750">
        <v>0</v>
      </c>
      <c r="L750">
        <v>2400</v>
      </c>
      <c r="M750">
        <v>2400</v>
      </c>
      <c r="N750">
        <v>0</v>
      </c>
    </row>
    <row r="751" spans="1:14" x14ac:dyDescent="0.25">
      <c r="A751">
        <v>283.94358499999998</v>
      </c>
      <c r="B751" s="1">
        <f>DATE(2011,2,8) + TIME(22,38,45)</f>
        <v>40582.943576388891</v>
      </c>
      <c r="C751">
        <v>80</v>
      </c>
      <c r="D751">
        <v>70.152259826999995</v>
      </c>
      <c r="E751">
        <v>50</v>
      </c>
      <c r="F751">
        <v>49.954925537000001</v>
      </c>
      <c r="G751">
        <v>1322.3857422000001</v>
      </c>
      <c r="H751">
        <v>1318.6005858999999</v>
      </c>
      <c r="I751">
        <v>1344.8183594</v>
      </c>
      <c r="J751">
        <v>1340.5578613</v>
      </c>
      <c r="K751">
        <v>0</v>
      </c>
      <c r="L751">
        <v>2400</v>
      </c>
      <c r="M751">
        <v>2400</v>
      </c>
      <c r="N751">
        <v>0</v>
      </c>
    </row>
    <row r="752" spans="1:14" x14ac:dyDescent="0.25">
      <c r="A752">
        <v>285.99534399999999</v>
      </c>
      <c r="B752" s="1">
        <f>DATE(2011,2,10) + TIME(23,53,17)</f>
        <v>40584.995335648149</v>
      </c>
      <c r="C752">
        <v>80</v>
      </c>
      <c r="D752">
        <v>69.969467163000004</v>
      </c>
      <c r="E752">
        <v>50</v>
      </c>
      <c r="F752">
        <v>49.955024719000001</v>
      </c>
      <c r="G752">
        <v>1322.3045654</v>
      </c>
      <c r="H752">
        <v>1318.4879149999999</v>
      </c>
      <c r="I752">
        <v>1344.8050536999999</v>
      </c>
      <c r="J752">
        <v>1340.5485839999999</v>
      </c>
      <c r="K752">
        <v>0</v>
      </c>
      <c r="L752">
        <v>2400</v>
      </c>
      <c r="M752">
        <v>2400</v>
      </c>
      <c r="N752">
        <v>0</v>
      </c>
    </row>
    <row r="753" spans="1:14" x14ac:dyDescent="0.25">
      <c r="A753">
        <v>288.09061800000001</v>
      </c>
      <c r="B753" s="1">
        <f>DATE(2011,2,13) + TIME(2,10,29)</f>
        <v>40587.090613425928</v>
      </c>
      <c r="C753">
        <v>80</v>
      </c>
      <c r="D753">
        <v>69.780799865999995</v>
      </c>
      <c r="E753">
        <v>50</v>
      </c>
      <c r="F753">
        <v>49.955127716</v>
      </c>
      <c r="G753">
        <v>1322.2227783000001</v>
      </c>
      <c r="H753">
        <v>1318.3743896000001</v>
      </c>
      <c r="I753">
        <v>1344.791626</v>
      </c>
      <c r="J753">
        <v>1340.5394286999999</v>
      </c>
      <c r="K753">
        <v>0</v>
      </c>
      <c r="L753">
        <v>2400</v>
      </c>
      <c r="M753">
        <v>2400</v>
      </c>
      <c r="N753">
        <v>0</v>
      </c>
    </row>
    <row r="754" spans="1:14" x14ac:dyDescent="0.25">
      <c r="A754">
        <v>290.21589399999999</v>
      </c>
      <c r="B754" s="1">
        <f>DATE(2011,2,15) + TIME(5,10,53)</f>
        <v>40589.215891203705</v>
      </c>
      <c r="C754">
        <v>80</v>
      </c>
      <c r="D754">
        <v>69.585723877000007</v>
      </c>
      <c r="E754">
        <v>50</v>
      </c>
      <c r="F754">
        <v>49.955230712999999</v>
      </c>
      <c r="G754">
        <v>1322.1401367000001</v>
      </c>
      <c r="H754">
        <v>1318.2595214999999</v>
      </c>
      <c r="I754">
        <v>1344.7783202999999</v>
      </c>
      <c r="J754">
        <v>1340.5301514</v>
      </c>
      <c r="K754">
        <v>0</v>
      </c>
      <c r="L754">
        <v>2400</v>
      </c>
      <c r="M754">
        <v>2400</v>
      </c>
      <c r="N754">
        <v>0</v>
      </c>
    </row>
    <row r="755" spans="1:14" x14ac:dyDescent="0.25">
      <c r="A755">
        <v>292.38273700000002</v>
      </c>
      <c r="B755" s="1">
        <f>DATE(2011,2,17) + TIME(9,11,8)</f>
        <v>40591.382731481484</v>
      </c>
      <c r="C755">
        <v>80</v>
      </c>
      <c r="D755">
        <v>69.384391785000005</v>
      </c>
      <c r="E755">
        <v>50</v>
      </c>
      <c r="F755">
        <v>49.955337524000001</v>
      </c>
      <c r="G755">
        <v>1322.0568848</v>
      </c>
      <c r="H755">
        <v>1318.1437988</v>
      </c>
      <c r="I755">
        <v>1344.7650146000001</v>
      </c>
      <c r="J755">
        <v>1340.520874</v>
      </c>
      <c r="K755">
        <v>0</v>
      </c>
      <c r="L755">
        <v>2400</v>
      </c>
      <c r="M755">
        <v>2400</v>
      </c>
      <c r="N755">
        <v>0</v>
      </c>
    </row>
    <row r="756" spans="1:14" x14ac:dyDescent="0.25">
      <c r="A756">
        <v>294.59530000000001</v>
      </c>
      <c r="B756" s="1">
        <f>DATE(2011,2,19) + TIME(14,17,13)</f>
        <v>40593.595289351855</v>
      </c>
      <c r="C756">
        <v>80</v>
      </c>
      <c r="D756">
        <v>69.176048279</v>
      </c>
      <c r="E756">
        <v>50</v>
      </c>
      <c r="F756">
        <v>49.955448150999999</v>
      </c>
      <c r="G756">
        <v>1321.9729004000001</v>
      </c>
      <c r="H756">
        <v>1318.0269774999999</v>
      </c>
      <c r="I756">
        <v>1344.7517089999999</v>
      </c>
      <c r="J756">
        <v>1340.5115966999999</v>
      </c>
      <c r="K756">
        <v>0</v>
      </c>
      <c r="L756">
        <v>2400</v>
      </c>
      <c r="M756">
        <v>2400</v>
      </c>
      <c r="N756">
        <v>0</v>
      </c>
    </row>
    <row r="757" spans="1:14" x14ac:dyDescent="0.25">
      <c r="A757">
        <v>296.80918700000001</v>
      </c>
      <c r="B757" s="1">
        <f>DATE(2011,2,21) + TIME(19,25,13)</f>
        <v>40595.809178240743</v>
      </c>
      <c r="C757">
        <v>80</v>
      </c>
      <c r="D757">
        <v>68.960922241000006</v>
      </c>
      <c r="E757">
        <v>50</v>
      </c>
      <c r="F757">
        <v>49.955554962000001</v>
      </c>
      <c r="G757">
        <v>1321.8880615</v>
      </c>
      <c r="H757">
        <v>1317.9088135</v>
      </c>
      <c r="I757">
        <v>1344.7382812000001</v>
      </c>
      <c r="J757">
        <v>1340.5023193</v>
      </c>
      <c r="K757">
        <v>0</v>
      </c>
      <c r="L757">
        <v>2400</v>
      </c>
      <c r="M757">
        <v>2400</v>
      </c>
      <c r="N757">
        <v>0</v>
      </c>
    </row>
    <row r="758" spans="1:14" x14ac:dyDescent="0.25">
      <c r="A758">
        <v>299.03771899999998</v>
      </c>
      <c r="B758" s="1">
        <f>DATE(2011,2,24) + TIME(0,54,18)</f>
        <v>40598.037708333337</v>
      </c>
      <c r="C758">
        <v>80</v>
      </c>
      <c r="D758">
        <v>68.741165160999998</v>
      </c>
      <c r="E758">
        <v>50</v>
      </c>
      <c r="F758">
        <v>49.955665588000002</v>
      </c>
      <c r="G758">
        <v>1321.8035889</v>
      </c>
      <c r="H758">
        <v>1317.7908935999999</v>
      </c>
      <c r="I758">
        <v>1344.7250977000001</v>
      </c>
      <c r="J758">
        <v>1340.4931641000001</v>
      </c>
      <c r="K758">
        <v>0</v>
      </c>
      <c r="L758">
        <v>2400</v>
      </c>
      <c r="M758">
        <v>2400</v>
      </c>
      <c r="N758">
        <v>0</v>
      </c>
    </row>
    <row r="759" spans="1:14" x14ac:dyDescent="0.25">
      <c r="A759">
        <v>301.29468100000003</v>
      </c>
      <c r="B759" s="1">
        <f>DATE(2011,2,26) + TIME(7,4,20)</f>
        <v>40600.294675925928</v>
      </c>
      <c r="C759">
        <v>80</v>
      </c>
      <c r="D759">
        <v>68.516120911000002</v>
      </c>
      <c r="E759">
        <v>50</v>
      </c>
      <c r="F759">
        <v>49.955776215</v>
      </c>
      <c r="G759">
        <v>1321.7192382999999</v>
      </c>
      <c r="H759">
        <v>1317.6730957</v>
      </c>
      <c r="I759">
        <v>1344.7121582</v>
      </c>
      <c r="J759">
        <v>1340.4841309000001</v>
      </c>
      <c r="K759">
        <v>0</v>
      </c>
      <c r="L759">
        <v>2400</v>
      </c>
      <c r="M759">
        <v>2400</v>
      </c>
      <c r="N759">
        <v>0</v>
      </c>
    </row>
    <row r="760" spans="1:14" x14ac:dyDescent="0.25">
      <c r="A760">
        <v>303.59362199999998</v>
      </c>
      <c r="B760" s="1">
        <f>DATE(2011,2,28) + TIME(14,14,48)</f>
        <v>40602.593611111108</v>
      </c>
      <c r="C760">
        <v>80</v>
      </c>
      <c r="D760">
        <v>68.284446716000005</v>
      </c>
      <c r="E760">
        <v>50</v>
      </c>
      <c r="F760">
        <v>49.955886841000002</v>
      </c>
      <c r="G760">
        <v>1321.6348877</v>
      </c>
      <c r="H760">
        <v>1317.5551757999999</v>
      </c>
      <c r="I760">
        <v>1344.6992187999999</v>
      </c>
      <c r="J760">
        <v>1340.4750977000001</v>
      </c>
      <c r="K760">
        <v>0</v>
      </c>
      <c r="L760">
        <v>2400</v>
      </c>
      <c r="M760">
        <v>2400</v>
      </c>
      <c r="N760">
        <v>0</v>
      </c>
    </row>
    <row r="761" spans="1:14" x14ac:dyDescent="0.25">
      <c r="A761">
        <v>304</v>
      </c>
      <c r="B761" s="1">
        <f>DATE(2011,3,1) + TIME(0,0,0)</f>
        <v>40603</v>
      </c>
      <c r="C761">
        <v>80</v>
      </c>
      <c r="D761">
        <v>68.162094116000006</v>
      </c>
      <c r="E761">
        <v>50</v>
      </c>
      <c r="F761">
        <v>49.955894469999997</v>
      </c>
      <c r="G761">
        <v>1321.5551757999999</v>
      </c>
      <c r="H761">
        <v>1317.4525146000001</v>
      </c>
      <c r="I761">
        <v>1344.6859131000001</v>
      </c>
      <c r="J761">
        <v>1340.4656981999999</v>
      </c>
      <c r="K761">
        <v>0</v>
      </c>
      <c r="L761">
        <v>2400</v>
      </c>
      <c r="M761">
        <v>2400</v>
      </c>
      <c r="N761">
        <v>0</v>
      </c>
    </row>
    <row r="762" spans="1:14" x14ac:dyDescent="0.25">
      <c r="A762">
        <v>306.35462799999999</v>
      </c>
      <c r="B762" s="1">
        <f>DATE(2011,3,3) + TIME(8,30,39)</f>
        <v>40605.354618055557</v>
      </c>
      <c r="C762">
        <v>80</v>
      </c>
      <c r="D762">
        <v>67.985519409000005</v>
      </c>
      <c r="E762">
        <v>50</v>
      </c>
      <c r="F762">
        <v>49.956020355</v>
      </c>
      <c r="G762">
        <v>1321.5275879000001</v>
      </c>
      <c r="H762">
        <v>1317.4012451000001</v>
      </c>
      <c r="I762">
        <v>1344.6839600000001</v>
      </c>
      <c r="J762">
        <v>1340.4643555</v>
      </c>
      <c r="K762">
        <v>0</v>
      </c>
      <c r="L762">
        <v>2400</v>
      </c>
      <c r="M762">
        <v>2400</v>
      </c>
      <c r="N762">
        <v>0</v>
      </c>
    </row>
    <row r="763" spans="1:14" x14ac:dyDescent="0.25">
      <c r="A763">
        <v>308.76349399999998</v>
      </c>
      <c r="B763" s="1">
        <f>DATE(2011,3,5) + TIME(18,19,25)</f>
        <v>40607.763483796298</v>
      </c>
      <c r="C763">
        <v>80</v>
      </c>
      <c r="D763">
        <v>67.748344420999999</v>
      </c>
      <c r="E763">
        <v>50</v>
      </c>
      <c r="F763">
        <v>49.956142426</v>
      </c>
      <c r="G763">
        <v>1321.4475098</v>
      </c>
      <c r="H763">
        <v>1317.2917480000001</v>
      </c>
      <c r="I763">
        <v>1344.6708983999999</v>
      </c>
      <c r="J763">
        <v>1340.4552002</v>
      </c>
      <c r="K763">
        <v>0</v>
      </c>
      <c r="L763">
        <v>2400</v>
      </c>
      <c r="M763">
        <v>2400</v>
      </c>
      <c r="N763">
        <v>0</v>
      </c>
    </row>
    <row r="764" spans="1:14" x14ac:dyDescent="0.25">
      <c r="A764">
        <v>311.19683400000002</v>
      </c>
      <c r="B764" s="1">
        <f>DATE(2011,3,8) + TIME(4,43,26)</f>
        <v>40610.196828703702</v>
      </c>
      <c r="C764">
        <v>80</v>
      </c>
      <c r="D764">
        <v>67.491104125999996</v>
      </c>
      <c r="E764">
        <v>50</v>
      </c>
      <c r="F764">
        <v>49.956260681000003</v>
      </c>
      <c r="G764">
        <v>1321.3619385</v>
      </c>
      <c r="H764">
        <v>1317.1723632999999</v>
      </c>
      <c r="I764">
        <v>1344.6577147999999</v>
      </c>
      <c r="J764">
        <v>1340.4459228999999</v>
      </c>
      <c r="K764">
        <v>0</v>
      </c>
      <c r="L764">
        <v>2400</v>
      </c>
      <c r="M764">
        <v>2400</v>
      </c>
      <c r="N764">
        <v>0</v>
      </c>
    </row>
    <row r="765" spans="1:14" x14ac:dyDescent="0.25">
      <c r="A765">
        <v>313.63136600000001</v>
      </c>
      <c r="B765" s="1">
        <f>DATE(2011,3,10) + TIME(15,9,10)</f>
        <v>40612.631365740737</v>
      </c>
      <c r="C765">
        <v>80</v>
      </c>
      <c r="D765">
        <v>67.224739075000002</v>
      </c>
      <c r="E765">
        <v>50</v>
      </c>
      <c r="F765">
        <v>49.956378936999997</v>
      </c>
      <c r="G765">
        <v>1321.2752685999999</v>
      </c>
      <c r="H765">
        <v>1317.0507812000001</v>
      </c>
      <c r="I765">
        <v>1344.6446533000001</v>
      </c>
      <c r="J765">
        <v>1340.4366454999999</v>
      </c>
      <c r="K765">
        <v>0</v>
      </c>
      <c r="L765">
        <v>2400</v>
      </c>
      <c r="M765">
        <v>2400</v>
      </c>
      <c r="N765">
        <v>0</v>
      </c>
    </row>
    <row r="766" spans="1:14" x14ac:dyDescent="0.25">
      <c r="A766">
        <v>316.08146599999998</v>
      </c>
      <c r="B766" s="1">
        <f>DATE(2011,3,13) + TIME(1,57,18)</f>
        <v>40615.081458333334</v>
      </c>
      <c r="C766">
        <v>80</v>
      </c>
      <c r="D766">
        <v>66.952491760000001</v>
      </c>
      <c r="E766">
        <v>50</v>
      </c>
      <c r="F766">
        <v>49.956497192</v>
      </c>
      <c r="G766">
        <v>1321.1890868999999</v>
      </c>
      <c r="H766">
        <v>1316.9294434000001</v>
      </c>
      <c r="I766">
        <v>1344.6317139</v>
      </c>
      <c r="J766">
        <v>1340.4276123</v>
      </c>
      <c r="K766">
        <v>0</v>
      </c>
      <c r="L766">
        <v>2400</v>
      </c>
      <c r="M766">
        <v>2400</v>
      </c>
      <c r="N766">
        <v>0</v>
      </c>
    </row>
    <row r="767" spans="1:14" x14ac:dyDescent="0.25">
      <c r="A767">
        <v>318.56249700000001</v>
      </c>
      <c r="B767" s="1">
        <f>DATE(2011,3,15) + TIME(13,29,59)</f>
        <v>40617.562488425923</v>
      </c>
      <c r="C767">
        <v>80</v>
      </c>
      <c r="D767">
        <v>66.673675536999994</v>
      </c>
      <c r="E767">
        <v>50</v>
      </c>
      <c r="F767">
        <v>49.956619263</v>
      </c>
      <c r="G767">
        <v>1321.1033935999999</v>
      </c>
      <c r="H767">
        <v>1316.8083495999999</v>
      </c>
      <c r="I767">
        <v>1344.6188964999999</v>
      </c>
      <c r="J767">
        <v>1340.418457</v>
      </c>
      <c r="K767">
        <v>0</v>
      </c>
      <c r="L767">
        <v>2400</v>
      </c>
      <c r="M767">
        <v>2400</v>
      </c>
      <c r="N767">
        <v>0</v>
      </c>
    </row>
    <row r="768" spans="1:14" x14ac:dyDescent="0.25">
      <c r="A768">
        <v>321.090147</v>
      </c>
      <c r="B768" s="1">
        <f>DATE(2011,3,18) + TIME(2,9,48)</f>
        <v>40620.090138888889</v>
      </c>
      <c r="C768">
        <v>80</v>
      </c>
      <c r="D768">
        <v>66.386589049999998</v>
      </c>
      <c r="E768">
        <v>50</v>
      </c>
      <c r="F768">
        <v>49.956741332999997</v>
      </c>
      <c r="G768">
        <v>1321.0177002</v>
      </c>
      <c r="H768">
        <v>1316.6872559000001</v>
      </c>
      <c r="I768">
        <v>1344.6062012</v>
      </c>
      <c r="J768">
        <v>1340.4094238</v>
      </c>
      <c r="K768">
        <v>0</v>
      </c>
      <c r="L768">
        <v>2400</v>
      </c>
      <c r="M768">
        <v>2400</v>
      </c>
      <c r="N768">
        <v>0</v>
      </c>
    </row>
    <row r="769" spans="1:14" x14ac:dyDescent="0.25">
      <c r="A769">
        <v>323.68049500000001</v>
      </c>
      <c r="B769" s="1">
        <f>DATE(2011,3,20) + TIME(16,19,54)</f>
        <v>40622.680486111109</v>
      </c>
      <c r="C769">
        <v>80</v>
      </c>
      <c r="D769">
        <v>66.089256286999998</v>
      </c>
      <c r="E769">
        <v>50</v>
      </c>
      <c r="F769">
        <v>49.956867217999999</v>
      </c>
      <c r="G769">
        <v>1320.9316406</v>
      </c>
      <c r="H769">
        <v>1316.5654297000001</v>
      </c>
      <c r="I769">
        <v>1344.5932617000001</v>
      </c>
      <c r="J769">
        <v>1340.4002685999999</v>
      </c>
      <c r="K769">
        <v>0</v>
      </c>
      <c r="L769">
        <v>2400</v>
      </c>
      <c r="M769">
        <v>2400</v>
      </c>
      <c r="N769">
        <v>0</v>
      </c>
    </row>
    <row r="770" spans="1:14" x14ac:dyDescent="0.25">
      <c r="A770">
        <v>326.33305100000001</v>
      </c>
      <c r="B770" s="1">
        <f>DATE(2011,3,23) + TIME(7,59,35)</f>
        <v>40625.333043981482</v>
      </c>
      <c r="C770">
        <v>80</v>
      </c>
      <c r="D770">
        <v>65.779930114999999</v>
      </c>
      <c r="E770">
        <v>50</v>
      </c>
      <c r="F770">
        <v>49.956993103000002</v>
      </c>
      <c r="G770">
        <v>1320.8447266000001</v>
      </c>
      <c r="H770">
        <v>1316.4421387</v>
      </c>
      <c r="I770">
        <v>1344.5803223</v>
      </c>
      <c r="J770">
        <v>1340.3909911999999</v>
      </c>
      <c r="K770">
        <v>0</v>
      </c>
      <c r="L770">
        <v>2400</v>
      </c>
      <c r="M770">
        <v>2400</v>
      </c>
      <c r="N770">
        <v>0</v>
      </c>
    </row>
    <row r="771" spans="1:14" x14ac:dyDescent="0.25">
      <c r="A771">
        <v>328.99649399999998</v>
      </c>
      <c r="B771" s="1">
        <f>DATE(2011,3,25) + TIME(23,54,57)</f>
        <v>40627.996493055558</v>
      </c>
      <c r="C771">
        <v>80</v>
      </c>
      <c r="D771">
        <v>65.459114075000002</v>
      </c>
      <c r="E771">
        <v>50</v>
      </c>
      <c r="F771">
        <v>49.957122802999997</v>
      </c>
      <c r="G771">
        <v>1320.7568358999999</v>
      </c>
      <c r="H771">
        <v>1316.3175048999999</v>
      </c>
      <c r="I771">
        <v>1344.5672606999999</v>
      </c>
      <c r="J771">
        <v>1340.3815918</v>
      </c>
      <c r="K771">
        <v>0</v>
      </c>
      <c r="L771">
        <v>2400</v>
      </c>
      <c r="M771">
        <v>2400</v>
      </c>
      <c r="N771">
        <v>0</v>
      </c>
    </row>
    <row r="772" spans="1:14" x14ac:dyDescent="0.25">
      <c r="A772">
        <v>331.66220900000002</v>
      </c>
      <c r="B772" s="1">
        <f>DATE(2011,3,28) + TIME(15,53,34)</f>
        <v>40630.662199074075</v>
      </c>
      <c r="C772">
        <v>80</v>
      </c>
      <c r="D772">
        <v>65.131034850999995</v>
      </c>
      <c r="E772">
        <v>50</v>
      </c>
      <c r="F772">
        <v>49.957248688</v>
      </c>
      <c r="G772">
        <v>1320.6695557</v>
      </c>
      <c r="H772">
        <v>1316.1931152</v>
      </c>
      <c r="I772">
        <v>1344.5541992000001</v>
      </c>
      <c r="J772">
        <v>1340.3721923999999</v>
      </c>
      <c r="K772">
        <v>0</v>
      </c>
      <c r="L772">
        <v>2400</v>
      </c>
      <c r="M772">
        <v>2400</v>
      </c>
      <c r="N772">
        <v>0</v>
      </c>
    </row>
    <row r="773" spans="1:14" x14ac:dyDescent="0.25">
      <c r="A773">
        <v>334.34591899999998</v>
      </c>
      <c r="B773" s="1">
        <f>DATE(2011,3,31) + TIME(8,18,7)</f>
        <v>40633.345914351848</v>
      </c>
      <c r="C773">
        <v>80</v>
      </c>
      <c r="D773">
        <v>64.796966553000004</v>
      </c>
      <c r="E773">
        <v>50</v>
      </c>
      <c r="F773">
        <v>49.957378386999999</v>
      </c>
      <c r="G773">
        <v>1320.5832519999999</v>
      </c>
      <c r="H773">
        <v>1316.0699463000001</v>
      </c>
      <c r="I773">
        <v>1344.5413818</v>
      </c>
      <c r="J773">
        <v>1340.3629149999999</v>
      </c>
      <c r="K773">
        <v>0</v>
      </c>
      <c r="L773">
        <v>2400</v>
      </c>
      <c r="M773">
        <v>2400</v>
      </c>
      <c r="N773">
        <v>0</v>
      </c>
    </row>
    <row r="774" spans="1:14" x14ac:dyDescent="0.25">
      <c r="A774">
        <v>335</v>
      </c>
      <c r="B774" s="1">
        <f>DATE(2011,4,1) + TIME(0,0,0)</f>
        <v>40634</v>
      </c>
      <c r="C774">
        <v>80</v>
      </c>
      <c r="D774">
        <v>64.575103760000005</v>
      </c>
      <c r="E774">
        <v>50</v>
      </c>
      <c r="F774">
        <v>49.957393646</v>
      </c>
      <c r="G774">
        <v>1320.5006103999999</v>
      </c>
      <c r="H774">
        <v>1315.9605713000001</v>
      </c>
      <c r="I774">
        <v>1344.5283202999999</v>
      </c>
      <c r="J774">
        <v>1340.3533935999999</v>
      </c>
      <c r="K774">
        <v>0</v>
      </c>
      <c r="L774">
        <v>2400</v>
      </c>
      <c r="M774">
        <v>2400</v>
      </c>
      <c r="N774">
        <v>0</v>
      </c>
    </row>
    <row r="775" spans="1:14" x14ac:dyDescent="0.25">
      <c r="A775">
        <v>337.71792900000003</v>
      </c>
      <c r="B775" s="1">
        <f>DATE(2011,4,3) + TIME(17,13,49)</f>
        <v>40636.717928240738</v>
      </c>
      <c r="C775">
        <v>80</v>
      </c>
      <c r="D775">
        <v>64.347251892000003</v>
      </c>
      <c r="E775">
        <v>50</v>
      </c>
      <c r="F775">
        <v>49.957534789999997</v>
      </c>
      <c r="G775">
        <v>1320.4688721</v>
      </c>
      <c r="H775">
        <v>1315.9014893000001</v>
      </c>
      <c r="I775">
        <v>1344.5253906</v>
      </c>
      <c r="J775">
        <v>1340.3513184000001</v>
      </c>
      <c r="K775">
        <v>0</v>
      </c>
      <c r="L775">
        <v>2400</v>
      </c>
      <c r="M775">
        <v>2400</v>
      </c>
      <c r="N775">
        <v>0</v>
      </c>
    </row>
    <row r="776" spans="1:14" x14ac:dyDescent="0.25">
      <c r="A776">
        <v>340.50451600000002</v>
      </c>
      <c r="B776" s="1">
        <f>DATE(2011,4,6) + TIME(12,6,30)</f>
        <v>40639.504513888889</v>
      </c>
      <c r="C776">
        <v>80</v>
      </c>
      <c r="D776">
        <v>64.014411925999994</v>
      </c>
      <c r="E776">
        <v>50</v>
      </c>
      <c r="F776">
        <v>49.957668304000002</v>
      </c>
      <c r="G776">
        <v>1320.390625</v>
      </c>
      <c r="H776">
        <v>1315.7928466999999</v>
      </c>
      <c r="I776">
        <v>1344.5126952999999</v>
      </c>
      <c r="J776">
        <v>1340.3420410000001</v>
      </c>
      <c r="K776">
        <v>0</v>
      </c>
      <c r="L776">
        <v>2400</v>
      </c>
      <c r="M776">
        <v>2400</v>
      </c>
      <c r="N776">
        <v>0</v>
      </c>
    </row>
    <row r="777" spans="1:14" x14ac:dyDescent="0.25">
      <c r="A777">
        <v>343.36288200000001</v>
      </c>
      <c r="B777" s="1">
        <f>DATE(2011,4,9) + TIME(8,42,32)</f>
        <v>40642.362870370373</v>
      </c>
      <c r="C777">
        <v>80</v>
      </c>
      <c r="D777">
        <v>63.651844025000003</v>
      </c>
      <c r="E777">
        <v>50</v>
      </c>
      <c r="F777">
        <v>49.957805634000003</v>
      </c>
      <c r="G777">
        <v>1320.3066406</v>
      </c>
      <c r="H777">
        <v>1315.6727295000001</v>
      </c>
      <c r="I777">
        <v>1344.4997559000001</v>
      </c>
      <c r="J777">
        <v>1340.3325195</v>
      </c>
      <c r="K777">
        <v>0</v>
      </c>
      <c r="L777">
        <v>2400</v>
      </c>
      <c r="M777">
        <v>2400</v>
      </c>
      <c r="N777">
        <v>0</v>
      </c>
    </row>
    <row r="778" spans="1:14" x14ac:dyDescent="0.25">
      <c r="A778">
        <v>344.81005299999998</v>
      </c>
      <c r="B778" s="1">
        <f>DATE(2011,4,10) + TIME(19,26,28)</f>
        <v>40643.810046296298</v>
      </c>
      <c r="C778">
        <v>80</v>
      </c>
      <c r="D778">
        <v>63.325775145999998</v>
      </c>
      <c r="E778">
        <v>50</v>
      </c>
      <c r="F778">
        <v>49.957859038999999</v>
      </c>
      <c r="G778">
        <v>1320.222168</v>
      </c>
      <c r="H778">
        <v>1315.5551757999999</v>
      </c>
      <c r="I778">
        <v>1344.4864502</v>
      </c>
      <c r="J778">
        <v>1340.3227539</v>
      </c>
      <c r="K778">
        <v>0</v>
      </c>
      <c r="L778">
        <v>2400</v>
      </c>
      <c r="M778">
        <v>2400</v>
      </c>
      <c r="N778">
        <v>0</v>
      </c>
    </row>
    <row r="779" spans="1:14" x14ac:dyDescent="0.25">
      <c r="A779">
        <v>347.34947099999999</v>
      </c>
      <c r="B779" s="1">
        <f>DATE(2011,4,13) + TIME(8,23,14)</f>
        <v>40646.34946759259</v>
      </c>
      <c r="C779">
        <v>80</v>
      </c>
      <c r="D779">
        <v>63.062469481999997</v>
      </c>
      <c r="E779">
        <v>50</v>
      </c>
      <c r="F779">
        <v>49.957984924000002</v>
      </c>
      <c r="G779">
        <v>1320.1708983999999</v>
      </c>
      <c r="H779">
        <v>1315.4733887</v>
      </c>
      <c r="I779">
        <v>1344.4799805</v>
      </c>
      <c r="J779">
        <v>1340.3179932</v>
      </c>
      <c r="K779">
        <v>0</v>
      </c>
      <c r="L779">
        <v>2400</v>
      </c>
      <c r="M779">
        <v>2400</v>
      </c>
      <c r="N779">
        <v>0</v>
      </c>
    </row>
    <row r="780" spans="1:14" x14ac:dyDescent="0.25">
      <c r="A780">
        <v>350.22829100000001</v>
      </c>
      <c r="B780" s="1">
        <f>DATE(2011,4,16) + TIME(5,28,44)</f>
        <v>40649.22828703704</v>
      </c>
      <c r="C780">
        <v>80</v>
      </c>
      <c r="D780">
        <v>62.725070952999999</v>
      </c>
      <c r="E780">
        <v>50</v>
      </c>
      <c r="F780">
        <v>49.958122252999999</v>
      </c>
      <c r="G780">
        <v>1320.1000977000001</v>
      </c>
      <c r="H780">
        <v>1315.3725586</v>
      </c>
      <c r="I780">
        <v>1344.4683838000001</v>
      </c>
      <c r="J780">
        <v>1340.3094481999999</v>
      </c>
      <c r="K780">
        <v>0</v>
      </c>
      <c r="L780">
        <v>2400</v>
      </c>
      <c r="M780">
        <v>2400</v>
      </c>
      <c r="N780">
        <v>0</v>
      </c>
    </row>
    <row r="781" spans="1:14" x14ac:dyDescent="0.25">
      <c r="A781">
        <v>353.12971299999998</v>
      </c>
      <c r="B781" s="1">
        <f>DATE(2011,4,19) + TIME(3,6,47)</f>
        <v>40652.129710648151</v>
      </c>
      <c r="C781">
        <v>80</v>
      </c>
      <c r="D781">
        <v>62.339229584000002</v>
      </c>
      <c r="E781">
        <v>50</v>
      </c>
      <c r="F781">
        <v>49.958259583</v>
      </c>
      <c r="G781">
        <v>1320.0198975000001</v>
      </c>
      <c r="H781">
        <v>1315.2575684000001</v>
      </c>
      <c r="I781">
        <v>1344.4555664</v>
      </c>
      <c r="J781">
        <v>1340.2999268000001</v>
      </c>
      <c r="K781">
        <v>0</v>
      </c>
      <c r="L781">
        <v>2400</v>
      </c>
      <c r="M781">
        <v>2400</v>
      </c>
      <c r="N781">
        <v>0</v>
      </c>
    </row>
    <row r="782" spans="1:14" x14ac:dyDescent="0.25">
      <c r="A782">
        <v>356.07048300000002</v>
      </c>
      <c r="B782" s="1">
        <f>DATE(2011,4,22) + TIME(1,41,29)</f>
        <v>40655.070474537039</v>
      </c>
      <c r="C782">
        <v>80</v>
      </c>
      <c r="D782">
        <v>61.939319611000002</v>
      </c>
      <c r="E782">
        <v>50</v>
      </c>
      <c r="F782">
        <v>49.958393096999998</v>
      </c>
      <c r="G782">
        <v>1319.9384766000001</v>
      </c>
      <c r="H782">
        <v>1315.1392822</v>
      </c>
      <c r="I782">
        <v>1344.4426269999999</v>
      </c>
      <c r="J782">
        <v>1340.2902832</v>
      </c>
      <c r="K782">
        <v>0</v>
      </c>
      <c r="L782">
        <v>2400</v>
      </c>
      <c r="M782">
        <v>2400</v>
      </c>
      <c r="N782">
        <v>0</v>
      </c>
    </row>
    <row r="783" spans="1:14" x14ac:dyDescent="0.25">
      <c r="A783">
        <v>359.06825500000002</v>
      </c>
      <c r="B783" s="1">
        <f>DATE(2011,4,25) + TIME(1,38,17)</f>
        <v>40658.068252314813</v>
      </c>
      <c r="C783">
        <v>80</v>
      </c>
      <c r="D783">
        <v>61.529029846</v>
      </c>
      <c r="E783">
        <v>50</v>
      </c>
      <c r="F783">
        <v>49.958534241000002</v>
      </c>
      <c r="G783">
        <v>1319.8575439000001</v>
      </c>
      <c r="H783">
        <v>1315.0209961</v>
      </c>
      <c r="I783">
        <v>1344.4296875</v>
      </c>
      <c r="J783">
        <v>1340.2805175999999</v>
      </c>
      <c r="K783">
        <v>0</v>
      </c>
      <c r="L783">
        <v>2400</v>
      </c>
      <c r="M783">
        <v>2400</v>
      </c>
      <c r="N783">
        <v>0</v>
      </c>
    </row>
    <row r="784" spans="1:14" x14ac:dyDescent="0.25">
      <c r="A784">
        <v>362.14405099999999</v>
      </c>
      <c r="B784" s="1">
        <f>DATE(2011,4,28) + TIME(3,27,25)</f>
        <v>40661.14403935185</v>
      </c>
      <c r="C784">
        <v>80</v>
      </c>
      <c r="D784">
        <v>61.107196807999998</v>
      </c>
      <c r="E784">
        <v>50</v>
      </c>
      <c r="F784">
        <v>49.958675384999999</v>
      </c>
      <c r="G784">
        <v>1319.7768555</v>
      </c>
      <c r="H784">
        <v>1314.902832</v>
      </c>
      <c r="I784">
        <v>1344.4165039</v>
      </c>
      <c r="J784">
        <v>1340.2707519999999</v>
      </c>
      <c r="K784">
        <v>0</v>
      </c>
      <c r="L784">
        <v>2400</v>
      </c>
      <c r="M784">
        <v>2400</v>
      </c>
      <c r="N784">
        <v>0</v>
      </c>
    </row>
    <row r="785" spans="1:14" x14ac:dyDescent="0.25">
      <c r="A785">
        <v>365</v>
      </c>
      <c r="B785" s="1">
        <f>DATE(2011,5,1) + TIME(0,0,0)</f>
        <v>40664</v>
      </c>
      <c r="C785">
        <v>80</v>
      </c>
      <c r="D785">
        <v>60.678508759000003</v>
      </c>
      <c r="E785">
        <v>50</v>
      </c>
      <c r="F785">
        <v>49.958801270000002</v>
      </c>
      <c r="G785">
        <v>1319.6962891000001</v>
      </c>
      <c r="H785">
        <v>1314.7850341999999</v>
      </c>
      <c r="I785">
        <v>1344.4031981999999</v>
      </c>
      <c r="J785">
        <v>1340.2606201000001</v>
      </c>
      <c r="K785">
        <v>0</v>
      </c>
      <c r="L785">
        <v>2400</v>
      </c>
      <c r="M785">
        <v>2400</v>
      </c>
      <c r="N785">
        <v>0</v>
      </c>
    </row>
    <row r="786" spans="1:14" x14ac:dyDescent="0.25">
      <c r="A786">
        <v>365.000001</v>
      </c>
      <c r="B786" s="1">
        <f>DATE(2011,5,1) + TIME(0,0,0)</f>
        <v>40664</v>
      </c>
      <c r="C786">
        <v>80</v>
      </c>
      <c r="D786">
        <v>60.678691864000001</v>
      </c>
      <c r="E786">
        <v>50</v>
      </c>
      <c r="F786">
        <v>49.958705901999998</v>
      </c>
      <c r="G786">
        <v>1325.7802733999999</v>
      </c>
      <c r="H786">
        <v>1320.8178711</v>
      </c>
      <c r="I786">
        <v>1339.5043945</v>
      </c>
      <c r="J786">
        <v>1335.9772949000001</v>
      </c>
      <c r="K786">
        <v>2400</v>
      </c>
      <c r="L786">
        <v>0</v>
      </c>
      <c r="M786">
        <v>0</v>
      </c>
      <c r="N786">
        <v>2400</v>
      </c>
    </row>
    <row r="787" spans="1:14" x14ac:dyDescent="0.25">
      <c r="A787">
        <v>365.00000399999999</v>
      </c>
      <c r="B787" s="1">
        <f>DATE(2011,5,1) + TIME(0,0,0)</f>
        <v>40664</v>
      </c>
      <c r="C787">
        <v>80</v>
      </c>
      <c r="D787">
        <v>60.679058075</v>
      </c>
      <c r="E787">
        <v>50</v>
      </c>
      <c r="F787">
        <v>49.958518982000001</v>
      </c>
      <c r="G787">
        <v>1327.4962158000001</v>
      </c>
      <c r="H787">
        <v>1322.8331298999999</v>
      </c>
      <c r="I787">
        <v>1338.0225829999999</v>
      </c>
      <c r="J787">
        <v>1334.4953613</v>
      </c>
      <c r="K787">
        <v>2400</v>
      </c>
      <c r="L787">
        <v>0</v>
      </c>
      <c r="M787">
        <v>0</v>
      </c>
      <c r="N787">
        <v>2400</v>
      </c>
    </row>
    <row r="788" spans="1:14" x14ac:dyDescent="0.25">
      <c r="A788">
        <v>365.00001300000002</v>
      </c>
      <c r="B788" s="1">
        <f>DATE(2011,5,1) + TIME(0,0,1)</f>
        <v>40664.000011574077</v>
      </c>
      <c r="C788">
        <v>80</v>
      </c>
      <c r="D788">
        <v>60.679702759000001</v>
      </c>
      <c r="E788">
        <v>50</v>
      </c>
      <c r="F788">
        <v>49.958255768000001</v>
      </c>
      <c r="G788">
        <v>1330.0655518000001</v>
      </c>
      <c r="H788">
        <v>1325.4776611</v>
      </c>
      <c r="I788">
        <v>1335.940918</v>
      </c>
      <c r="J788">
        <v>1332.4145507999999</v>
      </c>
      <c r="K788">
        <v>2400</v>
      </c>
      <c r="L788">
        <v>0</v>
      </c>
      <c r="M788">
        <v>0</v>
      </c>
      <c r="N788">
        <v>2400</v>
      </c>
    </row>
    <row r="789" spans="1:14" x14ac:dyDescent="0.25">
      <c r="A789">
        <v>365.00004000000001</v>
      </c>
      <c r="B789" s="1">
        <f>DATE(2011,5,1) + TIME(0,0,3)</f>
        <v>40664.000034722223</v>
      </c>
      <c r="C789">
        <v>80</v>
      </c>
      <c r="D789">
        <v>60.680984496999997</v>
      </c>
      <c r="E789">
        <v>50</v>
      </c>
      <c r="F789">
        <v>49.957969665999997</v>
      </c>
      <c r="G789">
        <v>1333.0070800999999</v>
      </c>
      <c r="H789">
        <v>1328.3192139</v>
      </c>
      <c r="I789">
        <v>1333.6976318</v>
      </c>
      <c r="J789">
        <v>1330.1734618999999</v>
      </c>
      <c r="K789">
        <v>2400</v>
      </c>
      <c r="L789">
        <v>0</v>
      </c>
      <c r="M789">
        <v>0</v>
      </c>
      <c r="N789">
        <v>2400</v>
      </c>
    </row>
    <row r="790" spans="1:14" x14ac:dyDescent="0.25">
      <c r="A790">
        <v>365.00012099999998</v>
      </c>
      <c r="B790" s="1">
        <f>DATE(2011,5,1) + TIME(0,0,10)</f>
        <v>40664.000115740739</v>
      </c>
      <c r="C790">
        <v>80</v>
      </c>
      <c r="D790">
        <v>60.684154509999999</v>
      </c>
      <c r="E790">
        <v>50</v>
      </c>
      <c r="F790">
        <v>49.957675934000001</v>
      </c>
      <c r="G790">
        <v>1335.9854736</v>
      </c>
      <c r="H790">
        <v>1331.1811522999999</v>
      </c>
      <c r="I790">
        <v>1331.4760742000001</v>
      </c>
      <c r="J790">
        <v>1327.9541016000001</v>
      </c>
      <c r="K790">
        <v>2400</v>
      </c>
      <c r="L790">
        <v>0</v>
      </c>
      <c r="M790">
        <v>0</v>
      </c>
      <c r="N790">
        <v>2400</v>
      </c>
    </row>
    <row r="791" spans="1:14" x14ac:dyDescent="0.25">
      <c r="A791">
        <v>365.00036399999999</v>
      </c>
      <c r="B791" s="1">
        <f>DATE(2011,5,1) + TIME(0,0,31)</f>
        <v>40664.000358796293</v>
      </c>
      <c r="C791">
        <v>80</v>
      </c>
      <c r="D791">
        <v>60.693099975999999</v>
      </c>
      <c r="E791">
        <v>50</v>
      </c>
      <c r="F791">
        <v>49.95734787</v>
      </c>
      <c r="G791">
        <v>1338.9764404</v>
      </c>
      <c r="H791">
        <v>1334.059082</v>
      </c>
      <c r="I791">
        <v>1329.2464600000001</v>
      </c>
      <c r="J791">
        <v>1325.7172852000001</v>
      </c>
      <c r="K791">
        <v>2400</v>
      </c>
      <c r="L791">
        <v>0</v>
      </c>
      <c r="M791">
        <v>0</v>
      </c>
      <c r="N791">
        <v>2400</v>
      </c>
    </row>
    <row r="792" spans="1:14" x14ac:dyDescent="0.25">
      <c r="A792">
        <v>365.00109300000003</v>
      </c>
      <c r="B792" s="1">
        <f>DATE(2011,5,1) + TIME(0,1,34)</f>
        <v>40664.001087962963</v>
      </c>
      <c r="C792">
        <v>80</v>
      </c>
      <c r="D792">
        <v>60.719730376999998</v>
      </c>
      <c r="E792">
        <v>50</v>
      </c>
      <c r="F792">
        <v>49.956920623999999</v>
      </c>
      <c r="G792">
        <v>1341.9630127</v>
      </c>
      <c r="H792">
        <v>1336.9359131000001</v>
      </c>
      <c r="I792">
        <v>1326.9310303</v>
      </c>
      <c r="J792">
        <v>1323.3687743999999</v>
      </c>
      <c r="K792">
        <v>2400</v>
      </c>
      <c r="L792">
        <v>0</v>
      </c>
      <c r="M792">
        <v>0</v>
      </c>
      <c r="N792">
        <v>2400</v>
      </c>
    </row>
    <row r="793" spans="1:14" x14ac:dyDescent="0.25">
      <c r="A793">
        <v>365.00328000000002</v>
      </c>
      <c r="B793" s="1">
        <f>DATE(2011,5,1) + TIME(0,4,43)</f>
        <v>40664.003275462965</v>
      </c>
      <c r="C793">
        <v>80</v>
      </c>
      <c r="D793">
        <v>60.799907683999997</v>
      </c>
      <c r="E793">
        <v>50</v>
      </c>
      <c r="F793">
        <v>49.956226348999998</v>
      </c>
      <c r="G793">
        <v>1344.6228027</v>
      </c>
      <c r="H793">
        <v>1339.5111084</v>
      </c>
      <c r="I793">
        <v>1324.6750488</v>
      </c>
      <c r="J793">
        <v>1321.0722656</v>
      </c>
      <c r="K793">
        <v>2400</v>
      </c>
      <c r="L793">
        <v>0</v>
      </c>
      <c r="M793">
        <v>0</v>
      </c>
      <c r="N793">
        <v>2400</v>
      </c>
    </row>
    <row r="794" spans="1:14" x14ac:dyDescent="0.25">
      <c r="A794">
        <v>365.00984099999999</v>
      </c>
      <c r="B794" s="1">
        <f>DATE(2011,5,1) + TIME(0,14,10)</f>
        <v>40664.009837962964</v>
      </c>
      <c r="C794">
        <v>80</v>
      </c>
      <c r="D794">
        <v>61.038722991999997</v>
      </c>
      <c r="E794">
        <v>50</v>
      </c>
      <c r="F794">
        <v>49.954795836999999</v>
      </c>
      <c r="G794">
        <v>1346.3665771000001</v>
      </c>
      <c r="H794">
        <v>1341.2285156</v>
      </c>
      <c r="I794">
        <v>1323.1273193</v>
      </c>
      <c r="J794">
        <v>1319.5028076000001</v>
      </c>
      <c r="K794">
        <v>2400</v>
      </c>
      <c r="L794">
        <v>0</v>
      </c>
      <c r="M794">
        <v>0</v>
      </c>
      <c r="N794">
        <v>2400</v>
      </c>
    </row>
    <row r="795" spans="1:14" x14ac:dyDescent="0.25">
      <c r="A795">
        <v>365.02891199999999</v>
      </c>
      <c r="B795" s="1">
        <f>DATE(2011,5,1) + TIME(0,41,37)</f>
        <v>40664.028900462959</v>
      </c>
      <c r="C795">
        <v>80</v>
      </c>
      <c r="D795">
        <v>61.708023071</v>
      </c>
      <c r="E795">
        <v>50</v>
      </c>
      <c r="F795">
        <v>49.951190947999997</v>
      </c>
      <c r="G795">
        <v>1346.9592285000001</v>
      </c>
      <c r="H795">
        <v>1341.8696289</v>
      </c>
      <c r="I795">
        <v>1322.6232910000001</v>
      </c>
      <c r="J795">
        <v>1318.9925536999999</v>
      </c>
      <c r="K795">
        <v>2400</v>
      </c>
      <c r="L795">
        <v>0</v>
      </c>
      <c r="M795">
        <v>0</v>
      </c>
      <c r="N795">
        <v>2400</v>
      </c>
    </row>
    <row r="796" spans="1:14" x14ac:dyDescent="0.25">
      <c r="A796">
        <v>365.04832900000002</v>
      </c>
      <c r="B796" s="1">
        <f>DATE(2011,5,1) + TIME(1,9,35)</f>
        <v>40664.048321759263</v>
      </c>
      <c r="C796">
        <v>80</v>
      </c>
      <c r="D796">
        <v>62.365818023999999</v>
      </c>
      <c r="E796">
        <v>50</v>
      </c>
      <c r="F796">
        <v>49.947601317999997</v>
      </c>
      <c r="G796">
        <v>1347.0119629000001</v>
      </c>
      <c r="H796">
        <v>1341.9650879000001</v>
      </c>
      <c r="I796">
        <v>1322.5726318</v>
      </c>
      <c r="J796">
        <v>1318.9411620999999</v>
      </c>
      <c r="K796">
        <v>2400</v>
      </c>
      <c r="L796">
        <v>0</v>
      </c>
      <c r="M796">
        <v>0</v>
      </c>
      <c r="N796">
        <v>2400</v>
      </c>
    </row>
    <row r="797" spans="1:14" x14ac:dyDescent="0.25">
      <c r="A797">
        <v>365.06810200000001</v>
      </c>
      <c r="B797" s="1">
        <f>DATE(2011,5,1) + TIME(1,38,4)</f>
        <v>40664.068101851852</v>
      </c>
      <c r="C797">
        <v>80</v>
      </c>
      <c r="D797">
        <v>63.011833191000001</v>
      </c>
      <c r="E797">
        <v>50</v>
      </c>
      <c r="F797">
        <v>49.943981170999997</v>
      </c>
      <c r="G797">
        <v>1346.9733887</v>
      </c>
      <c r="H797">
        <v>1341.9686279</v>
      </c>
      <c r="I797">
        <v>1322.5712891000001</v>
      </c>
      <c r="J797">
        <v>1318.9396973</v>
      </c>
      <c r="K797">
        <v>2400</v>
      </c>
      <c r="L797">
        <v>0</v>
      </c>
      <c r="M797">
        <v>0</v>
      </c>
      <c r="N797">
        <v>2400</v>
      </c>
    </row>
    <row r="798" spans="1:14" x14ac:dyDescent="0.25">
      <c r="A798">
        <v>365.08824399999997</v>
      </c>
      <c r="B798" s="1">
        <f>DATE(2011,5,1) + TIME(2,7,4)</f>
        <v>40664.088240740741</v>
      </c>
      <c r="C798">
        <v>80</v>
      </c>
      <c r="D798">
        <v>63.646125793000003</v>
      </c>
      <c r="E798">
        <v>50</v>
      </c>
      <c r="F798">
        <v>49.940319060999997</v>
      </c>
      <c r="G798">
        <v>1346.9206543</v>
      </c>
      <c r="H798">
        <v>1341.9560547000001</v>
      </c>
      <c r="I798">
        <v>1322.572876</v>
      </c>
      <c r="J798">
        <v>1318.9411620999999</v>
      </c>
      <c r="K798">
        <v>2400</v>
      </c>
      <c r="L798">
        <v>0</v>
      </c>
      <c r="M798">
        <v>0</v>
      </c>
      <c r="N798">
        <v>2400</v>
      </c>
    </row>
    <row r="799" spans="1:14" x14ac:dyDescent="0.25">
      <c r="A799">
        <v>365.10877199999999</v>
      </c>
      <c r="B799" s="1">
        <f>DATE(2011,5,1) + TIME(2,36,37)</f>
        <v>40664.108761574076</v>
      </c>
      <c r="C799">
        <v>80</v>
      </c>
      <c r="D799">
        <v>64.268806458</v>
      </c>
      <c r="E799">
        <v>50</v>
      </c>
      <c r="F799">
        <v>49.936614990000002</v>
      </c>
      <c r="G799">
        <v>1346.8682861</v>
      </c>
      <c r="H799">
        <v>1341.9416504000001</v>
      </c>
      <c r="I799">
        <v>1322.5737305</v>
      </c>
      <c r="J799">
        <v>1318.9417725000001</v>
      </c>
      <c r="K799">
        <v>2400</v>
      </c>
      <c r="L799">
        <v>0</v>
      </c>
      <c r="M799">
        <v>0</v>
      </c>
      <c r="N799">
        <v>2400</v>
      </c>
    </row>
    <row r="800" spans="1:14" x14ac:dyDescent="0.25">
      <c r="A800">
        <v>365.129704</v>
      </c>
      <c r="B800" s="1">
        <f>DATE(2011,5,1) + TIME(3,6,46)</f>
        <v>40664.129699074074</v>
      </c>
      <c r="C800">
        <v>80</v>
      </c>
      <c r="D800">
        <v>64.879981994999994</v>
      </c>
      <c r="E800">
        <v>50</v>
      </c>
      <c r="F800">
        <v>49.932865143000001</v>
      </c>
      <c r="G800">
        <v>1346.8187256000001</v>
      </c>
      <c r="H800">
        <v>1341.9279785000001</v>
      </c>
      <c r="I800">
        <v>1322.5740966999999</v>
      </c>
      <c r="J800">
        <v>1318.9421387</v>
      </c>
      <c r="K800">
        <v>2400</v>
      </c>
      <c r="L800">
        <v>0</v>
      </c>
      <c r="M800">
        <v>0</v>
      </c>
      <c r="N800">
        <v>2400</v>
      </c>
    </row>
    <row r="801" spans="1:14" x14ac:dyDescent="0.25">
      <c r="A801">
        <v>365.15105899999998</v>
      </c>
      <c r="B801" s="1">
        <f>DATE(2011,5,1) + TIME(3,37,31)</f>
        <v>40664.151053240741</v>
      </c>
      <c r="C801">
        <v>80</v>
      </c>
      <c r="D801">
        <v>65.479850768999995</v>
      </c>
      <c r="E801">
        <v>50</v>
      </c>
      <c r="F801">
        <v>49.929069519000002</v>
      </c>
      <c r="G801">
        <v>1346.7727050999999</v>
      </c>
      <c r="H801">
        <v>1341.9158935999999</v>
      </c>
      <c r="I801">
        <v>1322.5743408000001</v>
      </c>
      <c r="J801">
        <v>1318.9421387</v>
      </c>
      <c r="K801">
        <v>2400</v>
      </c>
      <c r="L801">
        <v>0</v>
      </c>
      <c r="M801">
        <v>0</v>
      </c>
      <c r="N801">
        <v>2400</v>
      </c>
    </row>
    <row r="802" spans="1:14" x14ac:dyDescent="0.25">
      <c r="A802">
        <v>365.17285600000002</v>
      </c>
      <c r="B802" s="1">
        <f>DATE(2011,5,1) + TIME(4,8,54)</f>
        <v>40664.172847222224</v>
      </c>
      <c r="C802">
        <v>80</v>
      </c>
      <c r="D802">
        <v>66.068405150999993</v>
      </c>
      <c r="E802">
        <v>50</v>
      </c>
      <c r="F802">
        <v>49.925220490000001</v>
      </c>
      <c r="G802">
        <v>1346.7302245999999</v>
      </c>
      <c r="H802">
        <v>1341.9053954999999</v>
      </c>
      <c r="I802">
        <v>1322.5744629000001</v>
      </c>
      <c r="J802">
        <v>1318.9422606999999</v>
      </c>
      <c r="K802">
        <v>2400</v>
      </c>
      <c r="L802">
        <v>0</v>
      </c>
      <c r="M802">
        <v>0</v>
      </c>
      <c r="N802">
        <v>2400</v>
      </c>
    </row>
    <row r="803" spans="1:14" x14ac:dyDescent="0.25">
      <c r="A803">
        <v>365.19511799999998</v>
      </c>
      <c r="B803" s="1">
        <f>DATE(2011,5,1) + TIME(4,40,58)</f>
        <v>40664.195115740738</v>
      </c>
      <c r="C803">
        <v>80</v>
      </c>
      <c r="D803">
        <v>66.645668029999996</v>
      </c>
      <c r="E803">
        <v>50</v>
      </c>
      <c r="F803">
        <v>49.921321869000003</v>
      </c>
      <c r="G803">
        <v>1346.6910399999999</v>
      </c>
      <c r="H803">
        <v>1341.8964844</v>
      </c>
      <c r="I803">
        <v>1322.5745850000001</v>
      </c>
      <c r="J803">
        <v>1318.9422606999999</v>
      </c>
      <c r="K803">
        <v>2400</v>
      </c>
      <c r="L803">
        <v>0</v>
      </c>
      <c r="M803">
        <v>0</v>
      </c>
      <c r="N803">
        <v>2400</v>
      </c>
    </row>
    <row r="804" spans="1:14" x14ac:dyDescent="0.25">
      <c r="A804">
        <v>365.21786600000001</v>
      </c>
      <c r="B804" s="1">
        <f>DATE(2011,5,1) + TIME(5,13,43)</f>
        <v>40664.217858796299</v>
      </c>
      <c r="C804">
        <v>80</v>
      </c>
      <c r="D804">
        <v>67.211677550999994</v>
      </c>
      <c r="E804">
        <v>50</v>
      </c>
      <c r="F804">
        <v>49.917369843000003</v>
      </c>
      <c r="G804">
        <v>1346.6552733999999</v>
      </c>
      <c r="H804">
        <v>1341.8890381000001</v>
      </c>
      <c r="I804">
        <v>1322.5745850000001</v>
      </c>
      <c r="J804">
        <v>1318.9421387</v>
      </c>
      <c r="K804">
        <v>2400</v>
      </c>
      <c r="L804">
        <v>0</v>
      </c>
      <c r="M804">
        <v>0</v>
      </c>
      <c r="N804">
        <v>2400</v>
      </c>
    </row>
    <row r="805" spans="1:14" x14ac:dyDescent="0.25">
      <c r="A805">
        <v>365.24112300000002</v>
      </c>
      <c r="B805" s="1">
        <f>DATE(2011,5,1) + TIME(5,47,13)</f>
        <v>40664.241122685184</v>
      </c>
      <c r="C805">
        <v>80</v>
      </c>
      <c r="D805">
        <v>67.766387938999998</v>
      </c>
      <c r="E805">
        <v>50</v>
      </c>
      <c r="F805">
        <v>49.913356780999997</v>
      </c>
      <c r="G805">
        <v>1346.6225586</v>
      </c>
      <c r="H805">
        <v>1341.8831786999999</v>
      </c>
      <c r="I805">
        <v>1322.574707</v>
      </c>
      <c r="J805">
        <v>1318.9421387</v>
      </c>
      <c r="K805">
        <v>2400</v>
      </c>
      <c r="L805">
        <v>0</v>
      </c>
      <c r="M805">
        <v>0</v>
      </c>
      <c r="N805">
        <v>2400</v>
      </c>
    </row>
    <row r="806" spans="1:14" x14ac:dyDescent="0.25">
      <c r="A806">
        <v>365.26491499999997</v>
      </c>
      <c r="B806" s="1">
        <f>DATE(2011,5,1) + TIME(6,21,28)</f>
        <v>40664.264907407407</v>
      </c>
      <c r="C806">
        <v>80</v>
      </c>
      <c r="D806">
        <v>68.309822083</v>
      </c>
      <c r="E806">
        <v>50</v>
      </c>
      <c r="F806">
        <v>49.909282683999997</v>
      </c>
      <c r="G806">
        <v>1346.5928954999999</v>
      </c>
      <c r="H806">
        <v>1341.8785399999999</v>
      </c>
      <c r="I806">
        <v>1322.574707</v>
      </c>
      <c r="J806">
        <v>1318.9420166</v>
      </c>
      <c r="K806">
        <v>2400</v>
      </c>
      <c r="L806">
        <v>0</v>
      </c>
      <c r="M806">
        <v>0</v>
      </c>
      <c r="N806">
        <v>2400</v>
      </c>
    </row>
    <row r="807" spans="1:14" x14ac:dyDescent="0.25">
      <c r="A807">
        <v>365.289222</v>
      </c>
      <c r="B807" s="1">
        <f>DATE(2011,5,1) + TIME(6,56,28)</f>
        <v>40664.289212962962</v>
      </c>
      <c r="C807">
        <v>80</v>
      </c>
      <c r="D807">
        <v>68.840995789000004</v>
      </c>
      <c r="E807">
        <v>50</v>
      </c>
      <c r="F807">
        <v>49.905155182000001</v>
      </c>
      <c r="G807">
        <v>1346.5661620999999</v>
      </c>
      <c r="H807">
        <v>1341.8754882999999</v>
      </c>
      <c r="I807">
        <v>1322.5748291</v>
      </c>
      <c r="J807">
        <v>1318.9420166</v>
      </c>
      <c r="K807">
        <v>2400</v>
      </c>
      <c r="L807">
        <v>0</v>
      </c>
      <c r="M807">
        <v>0</v>
      </c>
      <c r="N807">
        <v>2400</v>
      </c>
    </row>
    <row r="808" spans="1:14" x14ac:dyDescent="0.25">
      <c r="A808">
        <v>365.314054</v>
      </c>
      <c r="B808" s="1">
        <f>DATE(2011,5,1) + TIME(7,32,14)</f>
        <v>40664.314050925925</v>
      </c>
      <c r="C808">
        <v>80</v>
      </c>
      <c r="D808">
        <v>69.359649657999995</v>
      </c>
      <c r="E808">
        <v>50</v>
      </c>
      <c r="F808">
        <v>49.900970459</v>
      </c>
      <c r="G808">
        <v>1346.5424805</v>
      </c>
      <c r="H808">
        <v>1341.8736572</v>
      </c>
      <c r="I808">
        <v>1322.5748291</v>
      </c>
      <c r="J808">
        <v>1318.9418945</v>
      </c>
      <c r="K808">
        <v>2400</v>
      </c>
      <c r="L808">
        <v>0</v>
      </c>
      <c r="M808">
        <v>0</v>
      </c>
      <c r="N808">
        <v>2400</v>
      </c>
    </row>
    <row r="809" spans="1:14" x14ac:dyDescent="0.25">
      <c r="A809">
        <v>365.33943799999997</v>
      </c>
      <c r="B809" s="1">
        <f>DATE(2011,5,1) + TIME(8,8,47)</f>
        <v>40664.339432870373</v>
      </c>
      <c r="C809">
        <v>80</v>
      </c>
      <c r="D809">
        <v>69.865829468000001</v>
      </c>
      <c r="E809">
        <v>50</v>
      </c>
      <c r="F809">
        <v>49.896724700999997</v>
      </c>
      <c r="G809">
        <v>1346.5213623</v>
      </c>
      <c r="H809">
        <v>1341.8730469</v>
      </c>
      <c r="I809">
        <v>1322.5748291</v>
      </c>
      <c r="J809">
        <v>1318.9417725000001</v>
      </c>
      <c r="K809">
        <v>2400</v>
      </c>
      <c r="L809">
        <v>0</v>
      </c>
      <c r="M809">
        <v>0</v>
      </c>
      <c r="N809">
        <v>2400</v>
      </c>
    </row>
    <row r="810" spans="1:14" x14ac:dyDescent="0.25">
      <c r="A810">
        <v>365.36540200000002</v>
      </c>
      <c r="B810" s="1">
        <f>DATE(2011,5,1) + TIME(8,46,10)</f>
        <v>40664.365393518521</v>
      </c>
      <c r="C810">
        <v>80</v>
      </c>
      <c r="D810">
        <v>70.359306334999999</v>
      </c>
      <c r="E810">
        <v>50</v>
      </c>
      <c r="F810">
        <v>49.892414092999999</v>
      </c>
      <c r="G810">
        <v>1346.5028076000001</v>
      </c>
      <c r="H810">
        <v>1341.8735352000001</v>
      </c>
      <c r="I810">
        <v>1322.5748291</v>
      </c>
      <c r="J810">
        <v>1318.9416504000001</v>
      </c>
      <c r="K810">
        <v>2400</v>
      </c>
      <c r="L810">
        <v>0</v>
      </c>
      <c r="M810">
        <v>0</v>
      </c>
      <c r="N810">
        <v>2400</v>
      </c>
    </row>
    <row r="811" spans="1:14" x14ac:dyDescent="0.25">
      <c r="A811">
        <v>365.391974</v>
      </c>
      <c r="B811" s="1">
        <f>DATE(2011,5,1) + TIME(9,24,26)</f>
        <v>40664.391967592594</v>
      </c>
      <c r="C811">
        <v>80</v>
      </c>
      <c r="D811">
        <v>70.840217589999995</v>
      </c>
      <c r="E811">
        <v>50</v>
      </c>
      <c r="F811">
        <v>49.888038635000001</v>
      </c>
      <c r="G811">
        <v>1346.4866943</v>
      </c>
      <c r="H811">
        <v>1341.8752440999999</v>
      </c>
      <c r="I811">
        <v>1322.5748291</v>
      </c>
      <c r="J811">
        <v>1318.9414062000001</v>
      </c>
      <c r="K811">
        <v>2400</v>
      </c>
      <c r="L811">
        <v>0</v>
      </c>
      <c r="M811">
        <v>0</v>
      </c>
      <c r="N811">
        <v>2400</v>
      </c>
    </row>
    <row r="812" spans="1:14" x14ac:dyDescent="0.25">
      <c r="A812">
        <v>365.41918199999998</v>
      </c>
      <c r="B812" s="1">
        <f>DATE(2011,5,1) + TIME(10,3,37)</f>
        <v>40664.419178240743</v>
      </c>
      <c r="C812">
        <v>80</v>
      </c>
      <c r="D812">
        <v>71.308624268000003</v>
      </c>
      <c r="E812">
        <v>50</v>
      </c>
      <c r="F812">
        <v>49.883594512999998</v>
      </c>
      <c r="G812">
        <v>1346.4729004000001</v>
      </c>
      <c r="H812">
        <v>1341.8778076000001</v>
      </c>
      <c r="I812">
        <v>1322.574707</v>
      </c>
      <c r="J812">
        <v>1318.9412841999999</v>
      </c>
      <c r="K812">
        <v>2400</v>
      </c>
      <c r="L812">
        <v>0</v>
      </c>
      <c r="M812">
        <v>0</v>
      </c>
      <c r="N812">
        <v>2400</v>
      </c>
    </row>
    <row r="813" spans="1:14" x14ac:dyDescent="0.25">
      <c r="A813">
        <v>365.44706400000001</v>
      </c>
      <c r="B813" s="1">
        <f>DATE(2011,5,1) + TIME(10,43,46)</f>
        <v>40664.447060185186</v>
      </c>
      <c r="C813">
        <v>80</v>
      </c>
      <c r="D813">
        <v>71.764610290999997</v>
      </c>
      <c r="E813">
        <v>50</v>
      </c>
      <c r="F813">
        <v>49.879077911000003</v>
      </c>
      <c r="G813">
        <v>1346.4613036999999</v>
      </c>
      <c r="H813">
        <v>1341.8814697</v>
      </c>
      <c r="I813">
        <v>1322.574707</v>
      </c>
      <c r="J813">
        <v>1318.9410399999999</v>
      </c>
      <c r="K813">
        <v>2400</v>
      </c>
      <c r="L813">
        <v>0</v>
      </c>
      <c r="M813">
        <v>0</v>
      </c>
      <c r="N813">
        <v>2400</v>
      </c>
    </row>
    <row r="814" spans="1:14" x14ac:dyDescent="0.25">
      <c r="A814">
        <v>365.47565800000001</v>
      </c>
      <c r="B814" s="1">
        <f>DATE(2011,5,1) + TIME(11,24,56)</f>
        <v>40664.475648148145</v>
      </c>
      <c r="C814">
        <v>80</v>
      </c>
      <c r="D814">
        <v>72.208152771000002</v>
      </c>
      <c r="E814">
        <v>50</v>
      </c>
      <c r="F814">
        <v>49.874481201000002</v>
      </c>
      <c r="G814">
        <v>1346.4517822</v>
      </c>
      <c r="H814">
        <v>1341.8861084</v>
      </c>
      <c r="I814">
        <v>1322.574707</v>
      </c>
      <c r="J814">
        <v>1318.940918</v>
      </c>
      <c r="K814">
        <v>2400</v>
      </c>
      <c r="L814">
        <v>0</v>
      </c>
      <c r="M814">
        <v>0</v>
      </c>
      <c r="N814">
        <v>2400</v>
      </c>
    </row>
    <row r="815" spans="1:14" x14ac:dyDescent="0.25">
      <c r="A815">
        <v>365.50500099999999</v>
      </c>
      <c r="B815" s="1">
        <f>DATE(2011,5,1) + TIME(12,7,12)</f>
        <v>40664.504999999997</v>
      </c>
      <c r="C815">
        <v>80</v>
      </c>
      <c r="D815">
        <v>72.639244079999997</v>
      </c>
      <c r="E815">
        <v>50</v>
      </c>
      <c r="F815">
        <v>49.869804381999998</v>
      </c>
      <c r="G815">
        <v>1346.4440918</v>
      </c>
      <c r="H815">
        <v>1341.8914795000001</v>
      </c>
      <c r="I815">
        <v>1322.5745850000001</v>
      </c>
      <c r="J815">
        <v>1318.9406738</v>
      </c>
      <c r="K815">
        <v>2400</v>
      </c>
      <c r="L815">
        <v>0</v>
      </c>
      <c r="M815">
        <v>0</v>
      </c>
      <c r="N815">
        <v>2400</v>
      </c>
    </row>
    <row r="816" spans="1:14" x14ac:dyDescent="0.25">
      <c r="A816">
        <v>365.53513700000002</v>
      </c>
      <c r="B816" s="1">
        <f>DATE(2011,5,1) + TIME(12,50,35)</f>
        <v>40664.535127314812</v>
      </c>
      <c r="C816">
        <v>80</v>
      </c>
      <c r="D816">
        <v>73.057853699000006</v>
      </c>
      <c r="E816">
        <v>50</v>
      </c>
      <c r="F816">
        <v>49.865039824999997</v>
      </c>
      <c r="G816">
        <v>1346.4384766000001</v>
      </c>
      <c r="H816">
        <v>1341.8977050999999</v>
      </c>
      <c r="I816">
        <v>1322.5744629000001</v>
      </c>
      <c r="J816">
        <v>1318.9404297000001</v>
      </c>
      <c r="K816">
        <v>2400</v>
      </c>
      <c r="L816">
        <v>0</v>
      </c>
      <c r="M816">
        <v>0</v>
      </c>
      <c r="N816">
        <v>2400</v>
      </c>
    </row>
    <row r="817" spans="1:14" x14ac:dyDescent="0.25">
      <c r="A817">
        <v>365.56611099999998</v>
      </c>
      <c r="B817" s="1">
        <f>DATE(2011,5,1) + TIME(13,35,12)</f>
        <v>40664.566111111111</v>
      </c>
      <c r="C817">
        <v>80</v>
      </c>
      <c r="D817">
        <v>73.463958739999995</v>
      </c>
      <c r="E817">
        <v>50</v>
      </c>
      <c r="F817">
        <v>49.860183716000002</v>
      </c>
      <c r="G817">
        <v>1346.4344481999999</v>
      </c>
      <c r="H817">
        <v>1341.9046631000001</v>
      </c>
      <c r="I817">
        <v>1322.5743408000001</v>
      </c>
      <c r="J817">
        <v>1318.9401855000001</v>
      </c>
      <c r="K817">
        <v>2400</v>
      </c>
      <c r="L817">
        <v>0</v>
      </c>
      <c r="M817">
        <v>0</v>
      </c>
      <c r="N817">
        <v>2400</v>
      </c>
    </row>
    <row r="818" spans="1:14" x14ac:dyDescent="0.25">
      <c r="A818">
        <v>365.59797300000002</v>
      </c>
      <c r="B818" s="1">
        <f>DATE(2011,5,1) + TIME(14,21,4)</f>
        <v>40664.597962962966</v>
      </c>
      <c r="C818">
        <v>80</v>
      </c>
      <c r="D818">
        <v>73.857528686999999</v>
      </c>
      <c r="E818">
        <v>50</v>
      </c>
      <c r="F818">
        <v>49.855228424000003</v>
      </c>
      <c r="G818">
        <v>1346.4321289</v>
      </c>
      <c r="H818">
        <v>1341.9123535000001</v>
      </c>
      <c r="I818">
        <v>1322.5743408000001</v>
      </c>
      <c r="J818">
        <v>1318.9399414</v>
      </c>
      <c r="K818">
        <v>2400</v>
      </c>
      <c r="L818">
        <v>0</v>
      </c>
      <c r="M818">
        <v>0</v>
      </c>
      <c r="N818">
        <v>2400</v>
      </c>
    </row>
    <row r="819" spans="1:14" x14ac:dyDescent="0.25">
      <c r="A819">
        <v>365.63077500000003</v>
      </c>
      <c r="B819" s="1">
        <f>DATE(2011,5,1) + TIME(15,8,18)</f>
        <v>40664.63076388889</v>
      </c>
      <c r="C819">
        <v>80</v>
      </c>
      <c r="D819">
        <v>74.238533020000006</v>
      </c>
      <c r="E819">
        <v>50</v>
      </c>
      <c r="F819">
        <v>49.850170134999999</v>
      </c>
      <c r="G819">
        <v>1346.4313964999999</v>
      </c>
      <c r="H819">
        <v>1341.9206543</v>
      </c>
      <c r="I819">
        <v>1322.5742187999999</v>
      </c>
      <c r="J819">
        <v>1318.9395752</v>
      </c>
      <c r="K819">
        <v>2400</v>
      </c>
      <c r="L819">
        <v>0</v>
      </c>
      <c r="M819">
        <v>0</v>
      </c>
      <c r="N819">
        <v>2400</v>
      </c>
    </row>
    <row r="820" spans="1:14" x14ac:dyDescent="0.25">
      <c r="A820">
        <v>365.66453200000001</v>
      </c>
      <c r="B820" s="1">
        <f>DATE(2011,5,1) + TIME(15,56,55)</f>
        <v>40664.664525462962</v>
      </c>
      <c r="C820">
        <v>80</v>
      </c>
      <c r="D820">
        <v>74.606460571</v>
      </c>
      <c r="E820">
        <v>50</v>
      </c>
      <c r="F820">
        <v>49.845005035</v>
      </c>
      <c r="G820">
        <v>1346.432251</v>
      </c>
      <c r="H820">
        <v>1341.9294434000001</v>
      </c>
      <c r="I820">
        <v>1322.5739745999999</v>
      </c>
      <c r="J820">
        <v>1318.9393310999999</v>
      </c>
      <c r="K820">
        <v>2400</v>
      </c>
      <c r="L820">
        <v>0</v>
      </c>
      <c r="M820">
        <v>0</v>
      </c>
      <c r="N820">
        <v>2400</v>
      </c>
    </row>
    <row r="821" spans="1:14" x14ac:dyDescent="0.25">
      <c r="A821">
        <v>365.69928900000002</v>
      </c>
      <c r="B821" s="1">
        <f>DATE(2011,5,1) + TIME(16,46,58)</f>
        <v>40664.699282407404</v>
      </c>
      <c r="C821">
        <v>80</v>
      </c>
      <c r="D821">
        <v>74.961219787999994</v>
      </c>
      <c r="E821">
        <v>50</v>
      </c>
      <c r="F821">
        <v>49.839736938000001</v>
      </c>
      <c r="G821">
        <v>1346.4343262</v>
      </c>
      <c r="H821">
        <v>1341.9388428</v>
      </c>
      <c r="I821">
        <v>1322.5738524999999</v>
      </c>
      <c r="J821">
        <v>1318.9389647999999</v>
      </c>
      <c r="K821">
        <v>2400</v>
      </c>
      <c r="L821">
        <v>0</v>
      </c>
      <c r="M821">
        <v>0</v>
      </c>
      <c r="N821">
        <v>2400</v>
      </c>
    </row>
    <row r="822" spans="1:14" x14ac:dyDescent="0.25">
      <c r="A822">
        <v>365.73510599999997</v>
      </c>
      <c r="B822" s="1">
        <f>DATE(2011,5,1) + TIME(17,38,33)</f>
        <v>40664.73510416667</v>
      </c>
      <c r="C822">
        <v>80</v>
      </c>
      <c r="D822">
        <v>75.302574157999999</v>
      </c>
      <c r="E822">
        <v>50</v>
      </c>
      <c r="F822">
        <v>49.834350585999999</v>
      </c>
      <c r="G822">
        <v>1346.4377440999999</v>
      </c>
      <c r="H822">
        <v>1341.9487305</v>
      </c>
      <c r="I822">
        <v>1322.5737305</v>
      </c>
      <c r="J822">
        <v>1318.9387207</v>
      </c>
      <c r="K822">
        <v>2400</v>
      </c>
      <c r="L822">
        <v>0</v>
      </c>
      <c r="M822">
        <v>0</v>
      </c>
      <c r="N822">
        <v>2400</v>
      </c>
    </row>
    <row r="823" spans="1:14" x14ac:dyDescent="0.25">
      <c r="A823">
        <v>365.77204999999998</v>
      </c>
      <c r="B823" s="1">
        <f>DATE(2011,5,1) + TIME(18,31,45)</f>
        <v>40664.772048611114</v>
      </c>
      <c r="C823">
        <v>80</v>
      </c>
      <c r="D823">
        <v>75.630722046000002</v>
      </c>
      <c r="E823">
        <v>50</v>
      </c>
      <c r="F823">
        <v>49.828845977999997</v>
      </c>
      <c r="G823">
        <v>1346.4423827999999</v>
      </c>
      <c r="H823">
        <v>1341.9589844</v>
      </c>
      <c r="I823">
        <v>1322.5736084</v>
      </c>
      <c r="J823">
        <v>1318.9383545000001</v>
      </c>
      <c r="K823">
        <v>2400</v>
      </c>
      <c r="L823">
        <v>0</v>
      </c>
      <c r="M823">
        <v>0</v>
      </c>
      <c r="N823">
        <v>2400</v>
      </c>
    </row>
    <row r="824" spans="1:14" x14ac:dyDescent="0.25">
      <c r="A824">
        <v>365.81019099999997</v>
      </c>
      <c r="B824" s="1">
        <f>DATE(2011,5,1) + TIME(19,26,40)</f>
        <v>40664.810185185182</v>
      </c>
      <c r="C824">
        <v>80</v>
      </c>
      <c r="D824">
        <v>75.945693969999994</v>
      </c>
      <c r="E824">
        <v>50</v>
      </c>
      <c r="F824">
        <v>49.823207855</v>
      </c>
      <c r="G824">
        <v>1346.4479980000001</v>
      </c>
      <c r="H824">
        <v>1341.9696045000001</v>
      </c>
      <c r="I824">
        <v>1322.5733643000001</v>
      </c>
      <c r="J824">
        <v>1318.9379882999999</v>
      </c>
      <c r="K824">
        <v>2400</v>
      </c>
      <c r="L824">
        <v>0</v>
      </c>
      <c r="M824">
        <v>0</v>
      </c>
      <c r="N824">
        <v>2400</v>
      </c>
    </row>
    <row r="825" spans="1:14" x14ac:dyDescent="0.25">
      <c r="A825">
        <v>365.84960599999999</v>
      </c>
      <c r="B825" s="1">
        <f>DATE(2011,5,1) + TIME(20,23,25)</f>
        <v>40664.849594907406</v>
      </c>
      <c r="C825">
        <v>80</v>
      </c>
      <c r="D825">
        <v>76.247505188000005</v>
      </c>
      <c r="E825">
        <v>50</v>
      </c>
      <c r="F825">
        <v>49.817436217999997</v>
      </c>
      <c r="G825">
        <v>1346.4545897999999</v>
      </c>
      <c r="H825">
        <v>1341.9804687999999</v>
      </c>
      <c r="I825">
        <v>1322.5731201000001</v>
      </c>
      <c r="J825">
        <v>1318.9376221</v>
      </c>
      <c r="K825">
        <v>2400</v>
      </c>
      <c r="L825">
        <v>0</v>
      </c>
      <c r="M825">
        <v>0</v>
      </c>
      <c r="N825">
        <v>2400</v>
      </c>
    </row>
    <row r="826" spans="1:14" x14ac:dyDescent="0.25">
      <c r="A826">
        <v>365.89038799999997</v>
      </c>
      <c r="B826" s="1">
        <f>DATE(2011,5,1) + TIME(21,22,9)</f>
        <v>40664.890381944446</v>
      </c>
      <c r="C826">
        <v>80</v>
      </c>
      <c r="D826">
        <v>76.536231994999994</v>
      </c>
      <c r="E826">
        <v>50</v>
      </c>
      <c r="F826">
        <v>49.811515808000003</v>
      </c>
      <c r="G826">
        <v>1346.4620361</v>
      </c>
      <c r="H826">
        <v>1341.9914550999999</v>
      </c>
      <c r="I826">
        <v>1322.5729980000001</v>
      </c>
      <c r="J826">
        <v>1318.9372559000001</v>
      </c>
      <c r="K826">
        <v>2400</v>
      </c>
      <c r="L826">
        <v>0</v>
      </c>
      <c r="M826">
        <v>0</v>
      </c>
      <c r="N826">
        <v>2400</v>
      </c>
    </row>
    <row r="827" spans="1:14" x14ac:dyDescent="0.25">
      <c r="A827">
        <v>365.93263200000001</v>
      </c>
      <c r="B827" s="1">
        <f>DATE(2011,5,1) + TIME(22,22,59)</f>
        <v>40664.932627314818</v>
      </c>
      <c r="C827">
        <v>80</v>
      </c>
      <c r="D827">
        <v>76.811920165999993</v>
      </c>
      <c r="E827">
        <v>50</v>
      </c>
      <c r="F827">
        <v>49.805435181</v>
      </c>
      <c r="G827">
        <v>1346.4703368999999</v>
      </c>
      <c r="H827">
        <v>1342.0028076000001</v>
      </c>
      <c r="I827">
        <v>1322.5727539</v>
      </c>
      <c r="J827">
        <v>1318.9367675999999</v>
      </c>
      <c r="K827">
        <v>2400</v>
      </c>
      <c r="L827">
        <v>0</v>
      </c>
      <c r="M827">
        <v>0</v>
      </c>
      <c r="N827">
        <v>2400</v>
      </c>
    </row>
    <row r="828" spans="1:14" x14ac:dyDescent="0.25">
      <c r="A828">
        <v>365.97642999999999</v>
      </c>
      <c r="B828" s="1">
        <f>DATE(2011,5,1) + TIME(23,26,3)</f>
        <v>40664.976423611108</v>
      </c>
      <c r="C828">
        <v>80</v>
      </c>
      <c r="D828">
        <v>77.074523925999998</v>
      </c>
      <c r="E828">
        <v>50</v>
      </c>
      <c r="F828">
        <v>49.799190521</v>
      </c>
      <c r="G828">
        <v>1346.4792480000001</v>
      </c>
      <c r="H828">
        <v>1342.0141602000001</v>
      </c>
      <c r="I828">
        <v>1322.5725098</v>
      </c>
      <c r="J828">
        <v>1318.9364014</v>
      </c>
      <c r="K828">
        <v>2400</v>
      </c>
      <c r="L828">
        <v>0</v>
      </c>
      <c r="M828">
        <v>0</v>
      </c>
      <c r="N828">
        <v>2400</v>
      </c>
    </row>
    <row r="829" spans="1:14" x14ac:dyDescent="0.25">
      <c r="A829">
        <v>366.02189399999997</v>
      </c>
      <c r="B829" s="1">
        <f>DATE(2011,5,2) + TIME(0,31,31)</f>
        <v>40665.021886574075</v>
      </c>
      <c r="C829">
        <v>80</v>
      </c>
      <c r="D829">
        <v>77.324119568</v>
      </c>
      <c r="E829">
        <v>50</v>
      </c>
      <c r="F829">
        <v>49.792766571000001</v>
      </c>
      <c r="G829">
        <v>1346.4887695</v>
      </c>
      <c r="H829">
        <v>1342.0256348</v>
      </c>
      <c r="I829">
        <v>1322.5722656</v>
      </c>
      <c r="J829">
        <v>1318.9359131000001</v>
      </c>
      <c r="K829">
        <v>2400</v>
      </c>
      <c r="L829">
        <v>0</v>
      </c>
      <c r="M829">
        <v>0</v>
      </c>
      <c r="N829">
        <v>2400</v>
      </c>
    </row>
    <row r="830" spans="1:14" x14ac:dyDescent="0.25">
      <c r="A830">
        <v>366.06914899999998</v>
      </c>
      <c r="B830" s="1">
        <f>DATE(2011,5,2) + TIME(1,39,34)</f>
        <v>40665.069143518522</v>
      </c>
      <c r="C830">
        <v>80</v>
      </c>
      <c r="D830">
        <v>77.560760497999993</v>
      </c>
      <c r="E830">
        <v>50</v>
      </c>
      <c r="F830">
        <v>49.786148071</v>
      </c>
      <c r="G830">
        <v>1346.4987793</v>
      </c>
      <c r="H830">
        <v>1342.0371094</v>
      </c>
      <c r="I830">
        <v>1322.5720214999999</v>
      </c>
      <c r="J830">
        <v>1318.9354248</v>
      </c>
      <c r="K830">
        <v>2400</v>
      </c>
      <c r="L830">
        <v>0</v>
      </c>
      <c r="M830">
        <v>0</v>
      </c>
      <c r="N830">
        <v>2400</v>
      </c>
    </row>
    <row r="831" spans="1:14" x14ac:dyDescent="0.25">
      <c r="A831">
        <v>366.11833100000001</v>
      </c>
      <c r="B831" s="1">
        <f>DATE(2011,5,2) + TIME(2,50,23)</f>
        <v>40665.118321759262</v>
      </c>
      <c r="C831">
        <v>80</v>
      </c>
      <c r="D831">
        <v>77.784553528000004</v>
      </c>
      <c r="E831">
        <v>50</v>
      </c>
      <c r="F831">
        <v>49.779327393000003</v>
      </c>
      <c r="G831">
        <v>1346.5092772999999</v>
      </c>
      <c r="H831">
        <v>1342.0484618999999</v>
      </c>
      <c r="I831">
        <v>1322.5717772999999</v>
      </c>
      <c r="J831">
        <v>1318.9349365</v>
      </c>
      <c r="K831">
        <v>2400</v>
      </c>
      <c r="L831">
        <v>0</v>
      </c>
      <c r="M831">
        <v>0</v>
      </c>
      <c r="N831">
        <v>2400</v>
      </c>
    </row>
    <row r="832" spans="1:14" x14ac:dyDescent="0.25">
      <c r="A832">
        <v>366.16959300000002</v>
      </c>
      <c r="B832" s="1">
        <f>DATE(2011,5,2) + TIME(4,4,12)</f>
        <v>40665.169583333336</v>
      </c>
      <c r="C832">
        <v>80</v>
      </c>
      <c r="D832">
        <v>77.995582580999994</v>
      </c>
      <c r="E832">
        <v>50</v>
      </c>
      <c r="F832">
        <v>49.772281647</v>
      </c>
      <c r="G832">
        <v>1346.5200195</v>
      </c>
      <c r="H832">
        <v>1342.0598144999999</v>
      </c>
      <c r="I832">
        <v>1322.5714111</v>
      </c>
      <c r="J832">
        <v>1318.9344481999999</v>
      </c>
      <c r="K832">
        <v>2400</v>
      </c>
      <c r="L832">
        <v>0</v>
      </c>
      <c r="M832">
        <v>0</v>
      </c>
      <c r="N832">
        <v>2400</v>
      </c>
    </row>
    <row r="833" spans="1:14" x14ac:dyDescent="0.25">
      <c r="A833">
        <v>366.22310700000003</v>
      </c>
      <c r="B833" s="1">
        <f>DATE(2011,5,2) + TIME(5,21,16)</f>
        <v>40665.223101851851</v>
      </c>
      <c r="C833">
        <v>80</v>
      </c>
      <c r="D833">
        <v>78.193992614999999</v>
      </c>
      <c r="E833">
        <v>50</v>
      </c>
      <c r="F833">
        <v>49.76499939</v>
      </c>
      <c r="G833">
        <v>1346.5310059000001</v>
      </c>
      <c r="H833">
        <v>1342.0709228999999</v>
      </c>
      <c r="I833">
        <v>1322.5711670000001</v>
      </c>
      <c r="J833">
        <v>1318.9339600000001</v>
      </c>
      <c r="K833">
        <v>2400</v>
      </c>
      <c r="L833">
        <v>0</v>
      </c>
      <c r="M833">
        <v>0</v>
      </c>
      <c r="N833">
        <v>2400</v>
      </c>
    </row>
    <row r="834" spans="1:14" x14ac:dyDescent="0.25">
      <c r="A834">
        <v>366.279066</v>
      </c>
      <c r="B834" s="1">
        <f>DATE(2011,5,2) + TIME(6,41,51)</f>
        <v>40665.279062499998</v>
      </c>
      <c r="C834">
        <v>80</v>
      </c>
      <c r="D834">
        <v>78.379920959000003</v>
      </c>
      <c r="E834">
        <v>50</v>
      </c>
      <c r="F834">
        <v>49.757457733000003</v>
      </c>
      <c r="G834">
        <v>1346.5421143000001</v>
      </c>
      <c r="H834">
        <v>1342.0819091999999</v>
      </c>
      <c r="I834">
        <v>1322.5708007999999</v>
      </c>
      <c r="J834">
        <v>1318.9334716999999</v>
      </c>
      <c r="K834">
        <v>2400</v>
      </c>
      <c r="L834">
        <v>0</v>
      </c>
      <c r="M834">
        <v>0</v>
      </c>
      <c r="N834">
        <v>2400</v>
      </c>
    </row>
    <row r="835" spans="1:14" x14ac:dyDescent="0.25">
      <c r="A835">
        <v>366.33768600000002</v>
      </c>
      <c r="B835" s="1">
        <f>DATE(2011,5,2) + TIME(8,6,16)</f>
        <v>40665.337685185186</v>
      </c>
      <c r="C835">
        <v>80</v>
      </c>
      <c r="D835">
        <v>78.553543090999995</v>
      </c>
      <c r="E835">
        <v>50</v>
      </c>
      <c r="F835">
        <v>49.749633789000001</v>
      </c>
      <c r="G835">
        <v>1346.5532227000001</v>
      </c>
      <c r="H835">
        <v>1342.0926514</v>
      </c>
      <c r="I835">
        <v>1322.5704346</v>
      </c>
      <c r="J835">
        <v>1318.9328613</v>
      </c>
      <c r="K835">
        <v>2400</v>
      </c>
      <c r="L835">
        <v>0</v>
      </c>
      <c r="M835">
        <v>0</v>
      </c>
      <c r="N835">
        <v>2400</v>
      </c>
    </row>
    <row r="836" spans="1:14" x14ac:dyDescent="0.25">
      <c r="A836">
        <v>366.39921600000002</v>
      </c>
      <c r="B836" s="1">
        <f>DATE(2011,5,2) + TIME(9,34,52)</f>
        <v>40665.399212962962</v>
      </c>
      <c r="C836">
        <v>80</v>
      </c>
      <c r="D836">
        <v>78.715057372999993</v>
      </c>
      <c r="E836">
        <v>50</v>
      </c>
      <c r="F836">
        <v>49.741500854000002</v>
      </c>
      <c r="G836">
        <v>1346.5643310999999</v>
      </c>
      <c r="H836">
        <v>1342.1029053</v>
      </c>
      <c r="I836">
        <v>1322.5700684000001</v>
      </c>
      <c r="J836">
        <v>1318.932251</v>
      </c>
      <c r="K836">
        <v>2400</v>
      </c>
      <c r="L836">
        <v>0</v>
      </c>
      <c r="M836">
        <v>0</v>
      </c>
      <c r="N836">
        <v>2400</v>
      </c>
    </row>
    <row r="837" spans="1:14" x14ac:dyDescent="0.25">
      <c r="A837">
        <v>366.46398299999998</v>
      </c>
      <c r="B837" s="1">
        <f>DATE(2011,5,2) + TIME(11,8,8)</f>
        <v>40665.46398148148</v>
      </c>
      <c r="C837">
        <v>80</v>
      </c>
      <c r="D837">
        <v>78.864776610999996</v>
      </c>
      <c r="E837">
        <v>50</v>
      </c>
      <c r="F837">
        <v>49.733028412000003</v>
      </c>
      <c r="G837">
        <v>1346.5751952999999</v>
      </c>
      <c r="H837">
        <v>1342.1129149999999</v>
      </c>
      <c r="I837">
        <v>1322.5697021000001</v>
      </c>
      <c r="J837">
        <v>1318.9316406</v>
      </c>
      <c r="K837">
        <v>2400</v>
      </c>
      <c r="L837">
        <v>0</v>
      </c>
      <c r="M837">
        <v>0</v>
      </c>
      <c r="N837">
        <v>2400</v>
      </c>
    </row>
    <row r="838" spans="1:14" x14ac:dyDescent="0.25">
      <c r="A838">
        <v>366.532174</v>
      </c>
      <c r="B838" s="1">
        <f>DATE(2011,5,2) + TIME(12,46,19)</f>
        <v>40665.532164351855</v>
      </c>
      <c r="C838">
        <v>80</v>
      </c>
      <c r="D838">
        <v>79.002670288000004</v>
      </c>
      <c r="E838">
        <v>50</v>
      </c>
      <c r="F838">
        <v>49.724201202000003</v>
      </c>
      <c r="G838">
        <v>1346.5859375</v>
      </c>
      <c r="H838">
        <v>1342.1224365</v>
      </c>
      <c r="I838">
        <v>1322.5693358999999</v>
      </c>
      <c r="J838">
        <v>1318.9310303</v>
      </c>
      <c r="K838">
        <v>2400</v>
      </c>
      <c r="L838">
        <v>0</v>
      </c>
      <c r="M838">
        <v>0</v>
      </c>
      <c r="N838">
        <v>2400</v>
      </c>
    </row>
    <row r="839" spans="1:14" x14ac:dyDescent="0.25">
      <c r="A839">
        <v>366.60401899999999</v>
      </c>
      <c r="B839" s="1">
        <f>DATE(2011,5,2) + TIME(14,29,47)</f>
        <v>40665.604016203702</v>
      </c>
      <c r="C839">
        <v>80</v>
      </c>
      <c r="D839">
        <v>79.128860474000007</v>
      </c>
      <c r="E839">
        <v>50</v>
      </c>
      <c r="F839">
        <v>49.714992522999999</v>
      </c>
      <c r="G839">
        <v>1346.5961914</v>
      </c>
      <c r="H839">
        <v>1342.1314697</v>
      </c>
      <c r="I839">
        <v>1322.5688477000001</v>
      </c>
      <c r="J839">
        <v>1318.9302978999999</v>
      </c>
      <c r="K839">
        <v>2400</v>
      </c>
      <c r="L839">
        <v>0</v>
      </c>
      <c r="M839">
        <v>0</v>
      </c>
      <c r="N839">
        <v>2400</v>
      </c>
    </row>
    <row r="840" spans="1:14" x14ac:dyDescent="0.25">
      <c r="A840">
        <v>366.679914</v>
      </c>
      <c r="B840" s="1">
        <f>DATE(2011,5,2) + TIME(16,19,4)</f>
        <v>40665.679907407408</v>
      </c>
      <c r="C840">
        <v>80</v>
      </c>
      <c r="D840">
        <v>79.243759155000006</v>
      </c>
      <c r="E840">
        <v>50</v>
      </c>
      <c r="F840">
        <v>49.705371857000003</v>
      </c>
      <c r="G840">
        <v>1346.605957</v>
      </c>
      <c r="H840">
        <v>1342.1400146000001</v>
      </c>
      <c r="I840">
        <v>1322.5683594</v>
      </c>
      <c r="J840">
        <v>1318.9295654</v>
      </c>
      <c r="K840">
        <v>2400</v>
      </c>
      <c r="L840">
        <v>0</v>
      </c>
      <c r="M840">
        <v>0</v>
      </c>
      <c r="N840">
        <v>2400</v>
      </c>
    </row>
    <row r="841" spans="1:14" x14ac:dyDescent="0.25">
      <c r="A841">
        <v>366.759996</v>
      </c>
      <c r="B841" s="1">
        <f>DATE(2011,5,2) + TIME(18,14,23)</f>
        <v>40665.759988425925</v>
      </c>
      <c r="C841">
        <v>80</v>
      </c>
      <c r="D841">
        <v>79.347427367999998</v>
      </c>
      <c r="E841">
        <v>50</v>
      </c>
      <c r="F841">
        <v>49.695320129000002</v>
      </c>
      <c r="G841">
        <v>1346.6152344</v>
      </c>
      <c r="H841">
        <v>1342.1478271000001</v>
      </c>
      <c r="I841">
        <v>1322.5678711</v>
      </c>
      <c r="J841">
        <v>1318.9288329999999</v>
      </c>
      <c r="K841">
        <v>2400</v>
      </c>
      <c r="L841">
        <v>0</v>
      </c>
      <c r="M841">
        <v>0</v>
      </c>
      <c r="N841">
        <v>2400</v>
      </c>
    </row>
    <row r="842" spans="1:14" x14ac:dyDescent="0.25">
      <c r="A842">
        <v>366.840464</v>
      </c>
      <c r="B842" s="1">
        <f>DATE(2011,5,2) + TIME(20,10,16)</f>
        <v>40665.840462962966</v>
      </c>
      <c r="C842">
        <v>80</v>
      </c>
      <c r="D842">
        <v>79.436416625999996</v>
      </c>
      <c r="E842">
        <v>50</v>
      </c>
      <c r="F842">
        <v>49.685287475999999</v>
      </c>
      <c r="G842">
        <v>1346.6248779</v>
      </c>
      <c r="H842">
        <v>1342.1555175999999</v>
      </c>
      <c r="I842">
        <v>1322.5673827999999</v>
      </c>
      <c r="J842">
        <v>1318.9279785000001</v>
      </c>
      <c r="K842">
        <v>2400</v>
      </c>
      <c r="L842">
        <v>0</v>
      </c>
      <c r="M842">
        <v>0</v>
      </c>
      <c r="N842">
        <v>2400</v>
      </c>
    </row>
    <row r="843" spans="1:14" x14ac:dyDescent="0.25">
      <c r="A843">
        <v>366.92163299999999</v>
      </c>
      <c r="B843" s="1">
        <f>DATE(2011,5,2) + TIME(22,7,9)</f>
        <v>40665.921631944446</v>
      </c>
      <c r="C843">
        <v>80</v>
      </c>
      <c r="D843">
        <v>79.512992858999993</v>
      </c>
      <c r="E843">
        <v>50</v>
      </c>
      <c r="F843">
        <v>49.675228119000003</v>
      </c>
      <c r="G843">
        <v>1346.6329346</v>
      </c>
      <c r="H843">
        <v>1342.1619873</v>
      </c>
      <c r="I843">
        <v>1322.5667725000001</v>
      </c>
      <c r="J843">
        <v>1318.9272461</v>
      </c>
      <c r="K843">
        <v>2400</v>
      </c>
      <c r="L843">
        <v>0</v>
      </c>
      <c r="M843">
        <v>0</v>
      </c>
      <c r="N843">
        <v>2400</v>
      </c>
    </row>
    <row r="844" spans="1:14" x14ac:dyDescent="0.25">
      <c r="A844">
        <v>367.00367499999999</v>
      </c>
      <c r="B844" s="1">
        <f>DATE(2011,5,3) + TIME(0,5,17)</f>
        <v>40666.003668981481</v>
      </c>
      <c r="C844">
        <v>80</v>
      </c>
      <c r="D844">
        <v>79.578895568999997</v>
      </c>
      <c r="E844">
        <v>50</v>
      </c>
      <c r="F844">
        <v>49.665126801</v>
      </c>
      <c r="G844">
        <v>1346.6398925999999</v>
      </c>
      <c r="H844">
        <v>1342.1674805</v>
      </c>
      <c r="I844">
        <v>1322.5662841999999</v>
      </c>
      <c r="J844">
        <v>1318.9263916</v>
      </c>
      <c r="K844">
        <v>2400</v>
      </c>
      <c r="L844">
        <v>0</v>
      </c>
      <c r="M844">
        <v>0</v>
      </c>
      <c r="N844">
        <v>2400</v>
      </c>
    </row>
    <row r="845" spans="1:14" x14ac:dyDescent="0.25">
      <c r="A845">
        <v>367.08676500000001</v>
      </c>
      <c r="B845" s="1">
        <f>DATE(2011,5,3) + TIME(2,4,56)</f>
        <v>40666.086759259262</v>
      </c>
      <c r="C845">
        <v>80</v>
      </c>
      <c r="D845">
        <v>79.635604857999994</v>
      </c>
      <c r="E845">
        <v>50</v>
      </c>
      <c r="F845">
        <v>49.654964446999998</v>
      </c>
      <c r="G845">
        <v>1346.6455077999999</v>
      </c>
      <c r="H845">
        <v>1342.1719971</v>
      </c>
      <c r="I845">
        <v>1322.5656738</v>
      </c>
      <c r="J845">
        <v>1318.9256591999999</v>
      </c>
      <c r="K845">
        <v>2400</v>
      </c>
      <c r="L845">
        <v>0</v>
      </c>
      <c r="M845">
        <v>0</v>
      </c>
      <c r="N845">
        <v>2400</v>
      </c>
    </row>
    <row r="846" spans="1:14" x14ac:dyDescent="0.25">
      <c r="A846">
        <v>367.17111399999999</v>
      </c>
      <c r="B846" s="1">
        <f>DATE(2011,5,3) + TIME(4,6,24)</f>
        <v>40666.171111111114</v>
      </c>
      <c r="C846">
        <v>80</v>
      </c>
      <c r="D846">
        <v>79.684410095000004</v>
      </c>
      <c r="E846">
        <v>50</v>
      </c>
      <c r="F846">
        <v>49.644706726000003</v>
      </c>
      <c r="G846">
        <v>1346.6499022999999</v>
      </c>
      <c r="H846">
        <v>1342.1755370999999</v>
      </c>
      <c r="I846">
        <v>1322.5650635</v>
      </c>
      <c r="J846">
        <v>1318.9248047000001</v>
      </c>
      <c r="K846">
        <v>2400</v>
      </c>
      <c r="L846">
        <v>0</v>
      </c>
      <c r="M846">
        <v>0</v>
      </c>
      <c r="N846">
        <v>2400</v>
      </c>
    </row>
    <row r="847" spans="1:14" x14ac:dyDescent="0.25">
      <c r="A847">
        <v>367.25693699999999</v>
      </c>
      <c r="B847" s="1">
        <f>DATE(2011,5,3) + TIME(6,9,59)</f>
        <v>40666.256932870368</v>
      </c>
      <c r="C847">
        <v>80</v>
      </c>
      <c r="D847">
        <v>79.726387024000005</v>
      </c>
      <c r="E847">
        <v>50</v>
      </c>
      <c r="F847">
        <v>49.634342193999998</v>
      </c>
      <c r="G847">
        <v>1346.6531981999999</v>
      </c>
      <c r="H847">
        <v>1342.1782227000001</v>
      </c>
      <c r="I847">
        <v>1322.5644531</v>
      </c>
      <c r="J847">
        <v>1318.9239502</v>
      </c>
      <c r="K847">
        <v>2400</v>
      </c>
      <c r="L847">
        <v>0</v>
      </c>
      <c r="M847">
        <v>0</v>
      </c>
      <c r="N847">
        <v>2400</v>
      </c>
    </row>
    <row r="848" spans="1:14" x14ac:dyDescent="0.25">
      <c r="A848">
        <v>367.344402</v>
      </c>
      <c r="B848" s="1">
        <f>DATE(2011,5,3) + TIME(8,15,56)</f>
        <v>40666.344398148147</v>
      </c>
      <c r="C848">
        <v>80</v>
      </c>
      <c r="D848">
        <v>79.762443542</v>
      </c>
      <c r="E848">
        <v>50</v>
      </c>
      <c r="F848">
        <v>49.623844147</v>
      </c>
      <c r="G848">
        <v>1346.6555175999999</v>
      </c>
      <c r="H848">
        <v>1342.1801757999999</v>
      </c>
      <c r="I848">
        <v>1322.5638428</v>
      </c>
      <c r="J848">
        <v>1318.9230957</v>
      </c>
      <c r="K848">
        <v>2400</v>
      </c>
      <c r="L848">
        <v>0</v>
      </c>
      <c r="M848">
        <v>0</v>
      </c>
      <c r="N848">
        <v>2400</v>
      </c>
    </row>
    <row r="849" spans="1:14" x14ac:dyDescent="0.25">
      <c r="A849">
        <v>367.433718</v>
      </c>
      <c r="B849" s="1">
        <f>DATE(2011,5,3) + TIME(10,24,33)</f>
        <v>40666.433715277781</v>
      </c>
      <c r="C849">
        <v>80</v>
      </c>
      <c r="D849">
        <v>79.793373107999997</v>
      </c>
      <c r="E849">
        <v>50</v>
      </c>
      <c r="F849">
        <v>49.613193512000002</v>
      </c>
      <c r="G849">
        <v>1346.6567382999999</v>
      </c>
      <c r="H849">
        <v>1342.1812743999999</v>
      </c>
      <c r="I849">
        <v>1322.5632324000001</v>
      </c>
      <c r="J849">
        <v>1318.9222411999999</v>
      </c>
      <c r="K849">
        <v>2400</v>
      </c>
      <c r="L849">
        <v>0</v>
      </c>
      <c r="M849">
        <v>0</v>
      </c>
      <c r="N849">
        <v>2400</v>
      </c>
    </row>
    <row r="850" spans="1:14" x14ac:dyDescent="0.25">
      <c r="A850">
        <v>367.52510699999999</v>
      </c>
      <c r="B850" s="1">
        <f>DATE(2011,5,3) + TIME(12,36,9)</f>
        <v>40666.525104166663</v>
      </c>
      <c r="C850">
        <v>80</v>
      </c>
      <c r="D850">
        <v>79.819862365999995</v>
      </c>
      <c r="E850">
        <v>50</v>
      </c>
      <c r="F850">
        <v>49.602363586000003</v>
      </c>
      <c r="G850">
        <v>1346.6569824000001</v>
      </c>
      <c r="H850">
        <v>1342.1817627</v>
      </c>
      <c r="I850">
        <v>1322.5626221</v>
      </c>
      <c r="J850">
        <v>1318.9213867000001</v>
      </c>
      <c r="K850">
        <v>2400</v>
      </c>
      <c r="L850">
        <v>0</v>
      </c>
      <c r="M850">
        <v>0</v>
      </c>
      <c r="N850">
        <v>2400</v>
      </c>
    </row>
    <row r="851" spans="1:14" x14ac:dyDescent="0.25">
      <c r="A851">
        <v>367.61798900000002</v>
      </c>
      <c r="B851" s="1">
        <f>DATE(2011,5,3) + TIME(14,49,54)</f>
        <v>40666.617986111109</v>
      </c>
      <c r="C851">
        <v>80</v>
      </c>
      <c r="D851">
        <v>79.842346191000004</v>
      </c>
      <c r="E851">
        <v>50</v>
      </c>
      <c r="F851">
        <v>49.591423034999998</v>
      </c>
      <c r="G851">
        <v>1346.6563721</v>
      </c>
      <c r="H851">
        <v>1342.1815185999999</v>
      </c>
      <c r="I851">
        <v>1322.5618896000001</v>
      </c>
      <c r="J851">
        <v>1318.9205322</v>
      </c>
      <c r="K851">
        <v>2400</v>
      </c>
      <c r="L851">
        <v>0</v>
      </c>
      <c r="M851">
        <v>0</v>
      </c>
      <c r="N851">
        <v>2400</v>
      </c>
    </row>
    <row r="852" spans="1:14" x14ac:dyDescent="0.25">
      <c r="A852">
        <v>367.71232900000001</v>
      </c>
      <c r="B852" s="1">
        <f>DATE(2011,5,3) + TIME(17,5,45)</f>
        <v>40666.712326388886</v>
      </c>
      <c r="C852">
        <v>80</v>
      </c>
      <c r="D852">
        <v>79.861373900999993</v>
      </c>
      <c r="E852">
        <v>50</v>
      </c>
      <c r="F852">
        <v>49.580368042000003</v>
      </c>
      <c r="G852">
        <v>1346.6547852000001</v>
      </c>
      <c r="H852">
        <v>1342.1806641000001</v>
      </c>
      <c r="I852">
        <v>1322.5612793</v>
      </c>
      <c r="J852">
        <v>1318.9195557</v>
      </c>
      <c r="K852">
        <v>2400</v>
      </c>
      <c r="L852">
        <v>0</v>
      </c>
      <c r="M852">
        <v>0</v>
      </c>
      <c r="N852">
        <v>2400</v>
      </c>
    </row>
    <row r="853" spans="1:14" x14ac:dyDescent="0.25">
      <c r="A853">
        <v>367.80829999999997</v>
      </c>
      <c r="B853" s="1">
        <f>DATE(2011,5,3) + TIME(19,23,57)</f>
        <v>40666.808298611111</v>
      </c>
      <c r="C853">
        <v>80</v>
      </c>
      <c r="D853">
        <v>79.877449036000002</v>
      </c>
      <c r="E853">
        <v>50</v>
      </c>
      <c r="F853">
        <v>49.569187163999999</v>
      </c>
      <c r="G853">
        <v>1346.6523437999999</v>
      </c>
      <c r="H853">
        <v>1342.1793213000001</v>
      </c>
      <c r="I853">
        <v>1322.5605469</v>
      </c>
      <c r="J853">
        <v>1318.9185791</v>
      </c>
      <c r="K853">
        <v>2400</v>
      </c>
      <c r="L853">
        <v>0</v>
      </c>
      <c r="M853">
        <v>0</v>
      </c>
      <c r="N853">
        <v>2400</v>
      </c>
    </row>
    <row r="854" spans="1:14" x14ac:dyDescent="0.25">
      <c r="A854">
        <v>367.90607599999998</v>
      </c>
      <c r="B854" s="1">
        <f>DATE(2011,5,3) + TIME(21,44,45)</f>
        <v>40666.906076388892</v>
      </c>
      <c r="C854">
        <v>80</v>
      </c>
      <c r="D854">
        <v>79.891021729000002</v>
      </c>
      <c r="E854">
        <v>50</v>
      </c>
      <c r="F854">
        <v>49.557861328000001</v>
      </c>
      <c r="G854">
        <v>1346.6491699000001</v>
      </c>
      <c r="H854">
        <v>1342.1772461</v>
      </c>
      <c r="I854">
        <v>1322.5598144999999</v>
      </c>
      <c r="J854">
        <v>1318.9177245999999</v>
      </c>
      <c r="K854">
        <v>2400</v>
      </c>
      <c r="L854">
        <v>0</v>
      </c>
      <c r="M854">
        <v>0</v>
      </c>
      <c r="N854">
        <v>2400</v>
      </c>
    </row>
    <row r="855" spans="1:14" x14ac:dyDescent="0.25">
      <c r="A855">
        <v>368.00588299999998</v>
      </c>
      <c r="B855" s="1">
        <f>DATE(2011,5,4) + TIME(0,8,28)</f>
        <v>40667.005879629629</v>
      </c>
      <c r="C855">
        <v>80</v>
      </c>
      <c r="D855">
        <v>79.902465820000003</v>
      </c>
      <c r="E855">
        <v>50</v>
      </c>
      <c r="F855">
        <v>49.546360016000001</v>
      </c>
      <c r="G855">
        <v>1346.6451416</v>
      </c>
      <c r="H855">
        <v>1342.1748047000001</v>
      </c>
      <c r="I855">
        <v>1322.559082</v>
      </c>
      <c r="J855">
        <v>1318.9167480000001</v>
      </c>
      <c r="K855">
        <v>2400</v>
      </c>
      <c r="L855">
        <v>0</v>
      </c>
      <c r="M855">
        <v>0</v>
      </c>
      <c r="N855">
        <v>2400</v>
      </c>
    </row>
    <row r="856" spans="1:14" x14ac:dyDescent="0.25">
      <c r="A856">
        <v>368.10788500000001</v>
      </c>
      <c r="B856" s="1">
        <f>DATE(2011,5,4) + TIME(2,35,21)</f>
        <v>40667.107881944445</v>
      </c>
      <c r="C856">
        <v>80</v>
      </c>
      <c r="D856">
        <v>79.912101746000005</v>
      </c>
      <c r="E856">
        <v>50</v>
      </c>
      <c r="F856">
        <v>49.534679412999999</v>
      </c>
      <c r="G856">
        <v>1346.6403809000001</v>
      </c>
      <c r="H856">
        <v>1342.1717529</v>
      </c>
      <c r="I856">
        <v>1322.5583495999999</v>
      </c>
      <c r="J856">
        <v>1318.9157714999999</v>
      </c>
      <c r="K856">
        <v>2400</v>
      </c>
      <c r="L856">
        <v>0</v>
      </c>
      <c r="M856">
        <v>0</v>
      </c>
      <c r="N856">
        <v>2400</v>
      </c>
    </row>
    <row r="857" spans="1:14" x14ac:dyDescent="0.25">
      <c r="A857">
        <v>368.21229399999999</v>
      </c>
      <c r="B857" s="1">
        <f>DATE(2011,5,4) + TIME(5,5,42)</f>
        <v>40667.212291666663</v>
      </c>
      <c r="C857">
        <v>80</v>
      </c>
      <c r="D857">
        <v>79.920188904</v>
      </c>
      <c r="E857">
        <v>50</v>
      </c>
      <c r="F857">
        <v>49.522785186999997</v>
      </c>
      <c r="G857">
        <v>1346.6348877</v>
      </c>
      <c r="H857">
        <v>1342.1682129000001</v>
      </c>
      <c r="I857">
        <v>1322.5576172000001</v>
      </c>
      <c r="J857">
        <v>1318.9146728999999</v>
      </c>
      <c r="K857">
        <v>2400</v>
      </c>
      <c r="L857">
        <v>0</v>
      </c>
      <c r="M857">
        <v>0</v>
      </c>
      <c r="N857">
        <v>2400</v>
      </c>
    </row>
    <row r="858" spans="1:14" x14ac:dyDescent="0.25">
      <c r="A858">
        <v>368.31934000000001</v>
      </c>
      <c r="B858" s="1">
        <f>DATE(2011,5,4) + TIME(7,39,51)</f>
        <v>40667.319340277776</v>
      </c>
      <c r="C858">
        <v>80</v>
      </c>
      <c r="D858">
        <v>79.926963806000003</v>
      </c>
      <c r="E858">
        <v>50</v>
      </c>
      <c r="F858">
        <v>49.510665893999999</v>
      </c>
      <c r="G858">
        <v>1346.6287841999999</v>
      </c>
      <c r="H858">
        <v>1342.1641846</v>
      </c>
      <c r="I858">
        <v>1322.5567627</v>
      </c>
      <c r="J858">
        <v>1318.9136963000001</v>
      </c>
      <c r="K858">
        <v>2400</v>
      </c>
      <c r="L858">
        <v>0</v>
      </c>
      <c r="M858">
        <v>0</v>
      </c>
      <c r="N858">
        <v>2400</v>
      </c>
    </row>
    <row r="859" spans="1:14" x14ac:dyDescent="0.25">
      <c r="A859">
        <v>368.42929400000003</v>
      </c>
      <c r="B859" s="1">
        <f>DATE(2011,5,4) + TIME(10,18,10)</f>
        <v>40667.429282407407</v>
      </c>
      <c r="C859">
        <v>80</v>
      </c>
      <c r="D859">
        <v>79.932632446</v>
      </c>
      <c r="E859">
        <v>50</v>
      </c>
      <c r="F859">
        <v>49.498291016000003</v>
      </c>
      <c r="G859">
        <v>1346.6218262</v>
      </c>
      <c r="H859">
        <v>1342.1597899999999</v>
      </c>
      <c r="I859">
        <v>1322.5560303</v>
      </c>
      <c r="J859">
        <v>1318.9125977000001</v>
      </c>
      <c r="K859">
        <v>2400</v>
      </c>
      <c r="L859">
        <v>0</v>
      </c>
      <c r="M859">
        <v>0</v>
      </c>
      <c r="N859">
        <v>2400</v>
      </c>
    </row>
    <row r="860" spans="1:14" x14ac:dyDescent="0.25">
      <c r="A860">
        <v>368.54248899999999</v>
      </c>
      <c r="B860" s="1">
        <f>DATE(2011,5,4) + TIME(13,1,11)</f>
        <v>40667.542488425926</v>
      </c>
      <c r="C860">
        <v>80</v>
      </c>
      <c r="D860">
        <v>79.937355041999993</v>
      </c>
      <c r="E860">
        <v>50</v>
      </c>
      <c r="F860">
        <v>49.485626220999997</v>
      </c>
      <c r="G860">
        <v>1346.6143798999999</v>
      </c>
      <c r="H860">
        <v>1342.1550293</v>
      </c>
      <c r="I860">
        <v>1322.5551757999999</v>
      </c>
      <c r="J860">
        <v>1318.911499</v>
      </c>
      <c r="K860">
        <v>2400</v>
      </c>
      <c r="L860">
        <v>0</v>
      </c>
      <c r="M860">
        <v>0</v>
      </c>
      <c r="N860">
        <v>2400</v>
      </c>
    </row>
    <row r="861" spans="1:14" x14ac:dyDescent="0.25">
      <c r="A861">
        <v>368.659244</v>
      </c>
      <c r="B861" s="1">
        <f>DATE(2011,5,4) + TIME(15,49,18)</f>
        <v>40667.659236111111</v>
      </c>
      <c r="C861">
        <v>80</v>
      </c>
      <c r="D861">
        <v>79.941291809000006</v>
      </c>
      <c r="E861">
        <v>50</v>
      </c>
      <c r="F861">
        <v>49.472648620999998</v>
      </c>
      <c r="G861">
        <v>1346.6062012</v>
      </c>
      <c r="H861">
        <v>1342.1497803</v>
      </c>
      <c r="I861">
        <v>1322.5543213000001</v>
      </c>
      <c r="J861">
        <v>1318.9104004000001</v>
      </c>
      <c r="K861">
        <v>2400</v>
      </c>
      <c r="L861">
        <v>0</v>
      </c>
      <c r="M861">
        <v>0</v>
      </c>
      <c r="N861">
        <v>2400</v>
      </c>
    </row>
    <row r="862" spans="1:14" x14ac:dyDescent="0.25">
      <c r="A862">
        <v>368.77991600000001</v>
      </c>
      <c r="B862" s="1">
        <f>DATE(2011,5,4) + TIME(18,43,4)</f>
        <v>40667.779907407406</v>
      </c>
      <c r="C862">
        <v>80</v>
      </c>
      <c r="D862">
        <v>79.944557189999998</v>
      </c>
      <c r="E862">
        <v>50</v>
      </c>
      <c r="F862">
        <v>49.459316254000001</v>
      </c>
      <c r="G862">
        <v>1346.5974120999999</v>
      </c>
      <c r="H862">
        <v>1342.144043</v>
      </c>
      <c r="I862">
        <v>1322.5533447</v>
      </c>
      <c r="J862">
        <v>1318.9091797000001</v>
      </c>
      <c r="K862">
        <v>2400</v>
      </c>
      <c r="L862">
        <v>0</v>
      </c>
      <c r="M862">
        <v>0</v>
      </c>
      <c r="N862">
        <v>2400</v>
      </c>
    </row>
    <row r="863" spans="1:14" x14ac:dyDescent="0.25">
      <c r="A863">
        <v>368.90357399999999</v>
      </c>
      <c r="B863" s="1">
        <f>DATE(2011,5,4) + TIME(21,41,8)</f>
        <v>40667.903564814813</v>
      </c>
      <c r="C863">
        <v>80</v>
      </c>
      <c r="D863">
        <v>79.947227478000002</v>
      </c>
      <c r="E863">
        <v>50</v>
      </c>
      <c r="F863">
        <v>49.445728301999999</v>
      </c>
      <c r="G863">
        <v>1346.5880127</v>
      </c>
      <c r="H863">
        <v>1342.1380615</v>
      </c>
      <c r="I863">
        <v>1322.5524902</v>
      </c>
      <c r="J863">
        <v>1318.9080810999999</v>
      </c>
      <c r="K863">
        <v>2400</v>
      </c>
      <c r="L863">
        <v>0</v>
      </c>
      <c r="M863">
        <v>0</v>
      </c>
      <c r="N863">
        <v>2400</v>
      </c>
    </row>
    <row r="864" spans="1:14" x14ac:dyDescent="0.25">
      <c r="A864">
        <v>369.03032200000001</v>
      </c>
      <c r="B864" s="1">
        <f>DATE(2011,5,5) + TIME(0,43,39)</f>
        <v>40668.030312499999</v>
      </c>
      <c r="C864">
        <v>80</v>
      </c>
      <c r="D864">
        <v>79.949417113999999</v>
      </c>
      <c r="E864">
        <v>50</v>
      </c>
      <c r="F864">
        <v>49.431869507000002</v>
      </c>
      <c r="G864">
        <v>1346.578125</v>
      </c>
      <c r="H864">
        <v>1342.1317139</v>
      </c>
      <c r="I864">
        <v>1322.5515137</v>
      </c>
      <c r="J864">
        <v>1318.9068603999999</v>
      </c>
      <c r="K864">
        <v>2400</v>
      </c>
      <c r="L864">
        <v>0</v>
      </c>
      <c r="M864">
        <v>0</v>
      </c>
      <c r="N864">
        <v>2400</v>
      </c>
    </row>
    <row r="865" spans="1:14" x14ac:dyDescent="0.25">
      <c r="A865">
        <v>369.16043100000002</v>
      </c>
      <c r="B865" s="1">
        <f>DATE(2011,5,5) + TIME(3,51,1)</f>
        <v>40668.160428240742</v>
      </c>
      <c r="C865">
        <v>80</v>
      </c>
      <c r="D865">
        <v>79.951202393000003</v>
      </c>
      <c r="E865">
        <v>50</v>
      </c>
      <c r="F865">
        <v>49.417720795000001</v>
      </c>
      <c r="G865">
        <v>1346.5676269999999</v>
      </c>
      <c r="H865">
        <v>1342.125</v>
      </c>
      <c r="I865">
        <v>1322.5505370999999</v>
      </c>
      <c r="J865">
        <v>1318.9055175999999</v>
      </c>
      <c r="K865">
        <v>2400</v>
      </c>
      <c r="L865">
        <v>0</v>
      </c>
      <c r="M865">
        <v>0</v>
      </c>
      <c r="N865">
        <v>2400</v>
      </c>
    </row>
    <row r="866" spans="1:14" x14ac:dyDescent="0.25">
      <c r="A866">
        <v>369.29419000000001</v>
      </c>
      <c r="B866" s="1">
        <f>DATE(2011,5,5) + TIME(7,3,38)</f>
        <v>40668.294189814813</v>
      </c>
      <c r="C866">
        <v>80</v>
      </c>
      <c r="D866">
        <v>79.952651978000006</v>
      </c>
      <c r="E866">
        <v>50</v>
      </c>
      <c r="F866">
        <v>49.403255463000001</v>
      </c>
      <c r="G866">
        <v>1346.5566406</v>
      </c>
      <c r="H866">
        <v>1342.1180420000001</v>
      </c>
      <c r="I866">
        <v>1322.5494385</v>
      </c>
      <c r="J866">
        <v>1318.9042969</v>
      </c>
      <c r="K866">
        <v>2400</v>
      </c>
      <c r="L866">
        <v>0</v>
      </c>
      <c r="M866">
        <v>0</v>
      </c>
      <c r="N866">
        <v>2400</v>
      </c>
    </row>
    <row r="867" spans="1:14" x14ac:dyDescent="0.25">
      <c r="A867">
        <v>369.43191999999999</v>
      </c>
      <c r="B867" s="1">
        <f>DATE(2011,5,5) + TIME(10,21,57)</f>
        <v>40668.431909722225</v>
      </c>
      <c r="C867">
        <v>80</v>
      </c>
      <c r="D867">
        <v>79.953834533999995</v>
      </c>
      <c r="E867">
        <v>50</v>
      </c>
      <c r="F867">
        <v>49.388446807999998</v>
      </c>
      <c r="G867">
        <v>1346.5452881000001</v>
      </c>
      <c r="H867">
        <v>1342.1108397999999</v>
      </c>
      <c r="I867">
        <v>1322.5483397999999</v>
      </c>
      <c r="J867">
        <v>1318.9029541</v>
      </c>
      <c r="K867">
        <v>2400</v>
      </c>
      <c r="L867">
        <v>0</v>
      </c>
      <c r="M867">
        <v>0</v>
      </c>
      <c r="N867">
        <v>2400</v>
      </c>
    </row>
    <row r="868" spans="1:14" x14ac:dyDescent="0.25">
      <c r="A868">
        <v>369.57397099999997</v>
      </c>
      <c r="B868" s="1">
        <f>DATE(2011,5,5) + TIME(13,46,31)</f>
        <v>40668.573969907404</v>
      </c>
      <c r="C868">
        <v>80</v>
      </c>
      <c r="D868">
        <v>79.954788207999997</v>
      </c>
      <c r="E868">
        <v>50</v>
      </c>
      <c r="F868">
        <v>49.373256683000001</v>
      </c>
      <c r="G868">
        <v>1346.5333252</v>
      </c>
      <c r="H868">
        <v>1342.1032714999999</v>
      </c>
      <c r="I868">
        <v>1322.5473632999999</v>
      </c>
      <c r="J868">
        <v>1318.9014893000001</v>
      </c>
      <c r="K868">
        <v>2400</v>
      </c>
      <c r="L868">
        <v>0</v>
      </c>
      <c r="M868">
        <v>0</v>
      </c>
      <c r="N868">
        <v>2400</v>
      </c>
    </row>
    <row r="869" spans="1:14" x14ac:dyDescent="0.25">
      <c r="A869">
        <v>369.72073699999999</v>
      </c>
      <c r="B869" s="1">
        <f>DATE(2011,5,5) + TIME(17,17,51)</f>
        <v>40668.720729166664</v>
      </c>
      <c r="C869">
        <v>80</v>
      </c>
      <c r="D869">
        <v>79.955558776999993</v>
      </c>
      <c r="E869">
        <v>50</v>
      </c>
      <c r="F869">
        <v>49.357662200999997</v>
      </c>
      <c r="G869">
        <v>1346.520874</v>
      </c>
      <c r="H869">
        <v>1342.0955810999999</v>
      </c>
      <c r="I869">
        <v>1322.5461425999999</v>
      </c>
      <c r="J869">
        <v>1318.9001464999999</v>
      </c>
      <c r="K869">
        <v>2400</v>
      </c>
      <c r="L869">
        <v>0</v>
      </c>
      <c r="M869">
        <v>0</v>
      </c>
      <c r="N869">
        <v>2400</v>
      </c>
    </row>
    <row r="870" spans="1:14" x14ac:dyDescent="0.25">
      <c r="A870">
        <v>369.87279599999999</v>
      </c>
      <c r="B870" s="1">
        <f>DATE(2011,5,5) + TIME(20,56,49)</f>
        <v>40668.872789351852</v>
      </c>
      <c r="C870">
        <v>80</v>
      </c>
      <c r="D870">
        <v>79.956184386999993</v>
      </c>
      <c r="E870">
        <v>50</v>
      </c>
      <c r="F870">
        <v>49.341606140000003</v>
      </c>
      <c r="G870">
        <v>1346.5080565999999</v>
      </c>
      <c r="H870">
        <v>1342.0874022999999</v>
      </c>
      <c r="I870">
        <v>1322.5450439000001</v>
      </c>
      <c r="J870">
        <v>1318.8985596</v>
      </c>
      <c r="K870">
        <v>2400</v>
      </c>
      <c r="L870">
        <v>0</v>
      </c>
      <c r="M870">
        <v>0</v>
      </c>
      <c r="N870">
        <v>2400</v>
      </c>
    </row>
    <row r="871" spans="1:14" x14ac:dyDescent="0.25">
      <c r="A871">
        <v>370.03068200000001</v>
      </c>
      <c r="B871" s="1">
        <f>DATE(2011,5,6) + TIME(0,44,10)</f>
        <v>40669.030671296299</v>
      </c>
      <c r="C871">
        <v>80</v>
      </c>
      <c r="D871">
        <v>79.956687927000004</v>
      </c>
      <c r="E871">
        <v>50</v>
      </c>
      <c r="F871">
        <v>49.325042725000003</v>
      </c>
      <c r="G871">
        <v>1346.4946289</v>
      </c>
      <c r="H871">
        <v>1342.0791016000001</v>
      </c>
      <c r="I871">
        <v>1322.5438231999999</v>
      </c>
      <c r="J871">
        <v>1318.8970947</v>
      </c>
      <c r="K871">
        <v>2400</v>
      </c>
      <c r="L871">
        <v>0</v>
      </c>
      <c r="M871">
        <v>0</v>
      </c>
      <c r="N871">
        <v>2400</v>
      </c>
    </row>
    <row r="872" spans="1:14" x14ac:dyDescent="0.25">
      <c r="A872">
        <v>370.19262600000002</v>
      </c>
      <c r="B872" s="1">
        <f>DATE(2011,5,6) + TIME(4,37,22)</f>
        <v>40669.192615740743</v>
      </c>
      <c r="C872">
        <v>80</v>
      </c>
      <c r="D872">
        <v>79.957084656000006</v>
      </c>
      <c r="E872">
        <v>50</v>
      </c>
      <c r="F872">
        <v>49.308132172000001</v>
      </c>
      <c r="G872">
        <v>1346.4808350000001</v>
      </c>
      <c r="H872">
        <v>1342.0704346</v>
      </c>
      <c r="I872">
        <v>1322.5424805</v>
      </c>
      <c r="J872">
        <v>1318.8955077999999</v>
      </c>
      <c r="K872">
        <v>2400</v>
      </c>
      <c r="L872">
        <v>0</v>
      </c>
      <c r="M872">
        <v>0</v>
      </c>
      <c r="N872">
        <v>2400</v>
      </c>
    </row>
    <row r="873" spans="1:14" x14ac:dyDescent="0.25">
      <c r="A873">
        <v>370.35673800000001</v>
      </c>
      <c r="B873" s="1">
        <f>DATE(2011,5,6) + TIME(8,33,42)</f>
        <v>40669.356736111113</v>
      </c>
      <c r="C873">
        <v>80</v>
      </c>
      <c r="D873">
        <v>79.957397460999999</v>
      </c>
      <c r="E873">
        <v>50</v>
      </c>
      <c r="F873">
        <v>49.291046143000003</v>
      </c>
      <c r="G873">
        <v>1346.4666748</v>
      </c>
      <c r="H873">
        <v>1342.0616454999999</v>
      </c>
      <c r="I873">
        <v>1322.5412598</v>
      </c>
      <c r="J873">
        <v>1318.8937988</v>
      </c>
      <c r="K873">
        <v>2400</v>
      </c>
      <c r="L873">
        <v>0</v>
      </c>
      <c r="M873">
        <v>0</v>
      </c>
      <c r="N873">
        <v>2400</v>
      </c>
    </row>
    <row r="874" spans="1:14" x14ac:dyDescent="0.25">
      <c r="A874">
        <v>370.52345200000002</v>
      </c>
      <c r="B874" s="1">
        <f>DATE(2011,5,6) + TIME(12,33,46)</f>
        <v>40669.523449074077</v>
      </c>
      <c r="C874">
        <v>80</v>
      </c>
      <c r="D874">
        <v>79.957641601999995</v>
      </c>
      <c r="E874">
        <v>50</v>
      </c>
      <c r="F874">
        <v>49.273746490000001</v>
      </c>
      <c r="G874">
        <v>1346.4523925999999</v>
      </c>
      <c r="H874">
        <v>1342.0528564000001</v>
      </c>
      <c r="I874">
        <v>1322.5399170000001</v>
      </c>
      <c r="J874">
        <v>1318.8922118999999</v>
      </c>
      <c r="K874">
        <v>2400</v>
      </c>
      <c r="L874">
        <v>0</v>
      </c>
      <c r="M874">
        <v>0</v>
      </c>
      <c r="N874">
        <v>2400</v>
      </c>
    </row>
    <row r="875" spans="1:14" x14ac:dyDescent="0.25">
      <c r="A875">
        <v>370.69319000000002</v>
      </c>
      <c r="B875" s="1">
        <f>DATE(2011,5,6) + TIME(16,38,11)</f>
        <v>40669.693182870367</v>
      </c>
      <c r="C875">
        <v>80</v>
      </c>
      <c r="D875">
        <v>79.957824707</v>
      </c>
      <c r="E875">
        <v>50</v>
      </c>
      <c r="F875">
        <v>49.256206511999999</v>
      </c>
      <c r="G875">
        <v>1346.4378661999999</v>
      </c>
      <c r="H875">
        <v>1342.0439452999999</v>
      </c>
      <c r="I875">
        <v>1322.5384521000001</v>
      </c>
      <c r="J875">
        <v>1318.8905029</v>
      </c>
      <c r="K875">
        <v>2400</v>
      </c>
      <c r="L875">
        <v>0</v>
      </c>
      <c r="M875">
        <v>0</v>
      </c>
      <c r="N875">
        <v>2400</v>
      </c>
    </row>
    <row r="876" spans="1:14" x14ac:dyDescent="0.25">
      <c r="A876">
        <v>370.866398</v>
      </c>
      <c r="B876" s="1">
        <f>DATE(2011,5,6) + TIME(20,47,36)</f>
        <v>40669.866388888891</v>
      </c>
      <c r="C876">
        <v>80</v>
      </c>
      <c r="D876">
        <v>79.957969665999997</v>
      </c>
      <c r="E876">
        <v>50</v>
      </c>
      <c r="F876">
        <v>49.238388061999999</v>
      </c>
      <c r="G876">
        <v>1346.4233397999999</v>
      </c>
      <c r="H876">
        <v>1342.0349120999999</v>
      </c>
      <c r="I876">
        <v>1322.5371094</v>
      </c>
      <c r="J876">
        <v>1318.8887939000001</v>
      </c>
      <c r="K876">
        <v>2400</v>
      </c>
      <c r="L876">
        <v>0</v>
      </c>
      <c r="M876">
        <v>0</v>
      </c>
      <c r="N876">
        <v>2400</v>
      </c>
    </row>
    <row r="877" spans="1:14" x14ac:dyDescent="0.25">
      <c r="A877">
        <v>371.04150900000002</v>
      </c>
      <c r="B877" s="1">
        <f>DATE(2011,5,7) + TIME(0,59,46)</f>
        <v>40670.041504629633</v>
      </c>
      <c r="C877">
        <v>80</v>
      </c>
      <c r="D877">
        <v>79.958084106000001</v>
      </c>
      <c r="E877">
        <v>50</v>
      </c>
      <c r="F877">
        <v>49.220432281000001</v>
      </c>
      <c r="G877">
        <v>1346.4085693</v>
      </c>
      <c r="H877">
        <v>1342.0258789</v>
      </c>
      <c r="I877">
        <v>1322.5356445</v>
      </c>
      <c r="J877">
        <v>1318.8869629000001</v>
      </c>
      <c r="K877">
        <v>2400</v>
      </c>
      <c r="L877">
        <v>0</v>
      </c>
      <c r="M877">
        <v>0</v>
      </c>
      <c r="N877">
        <v>2400</v>
      </c>
    </row>
    <row r="878" spans="1:14" x14ac:dyDescent="0.25">
      <c r="A878">
        <v>371.21803999999997</v>
      </c>
      <c r="B878" s="1">
        <f>DATE(2011,5,7) + TIME(5,13,58)</f>
        <v>40670.218032407407</v>
      </c>
      <c r="C878">
        <v>80</v>
      </c>
      <c r="D878">
        <v>79.958168029999996</v>
      </c>
      <c r="E878">
        <v>50</v>
      </c>
      <c r="F878">
        <v>49.202384948999999</v>
      </c>
      <c r="G878">
        <v>1346.3937988</v>
      </c>
      <c r="H878">
        <v>1342.0169678</v>
      </c>
      <c r="I878">
        <v>1322.5343018000001</v>
      </c>
      <c r="J878">
        <v>1318.8852539</v>
      </c>
      <c r="K878">
        <v>2400</v>
      </c>
      <c r="L878">
        <v>0</v>
      </c>
      <c r="M878">
        <v>0</v>
      </c>
      <c r="N878">
        <v>2400</v>
      </c>
    </row>
    <row r="879" spans="1:14" x14ac:dyDescent="0.25">
      <c r="A879">
        <v>371.39632799999998</v>
      </c>
      <c r="B879" s="1">
        <f>DATE(2011,5,7) + TIME(9,30,42)</f>
        <v>40670.396319444444</v>
      </c>
      <c r="C879">
        <v>80</v>
      </c>
      <c r="D879">
        <v>79.958229064999998</v>
      </c>
      <c r="E879">
        <v>50</v>
      </c>
      <c r="F879">
        <v>49.184223175</v>
      </c>
      <c r="G879">
        <v>1346.3791504000001</v>
      </c>
      <c r="H879">
        <v>1342.0079346</v>
      </c>
      <c r="I879">
        <v>1322.5328368999999</v>
      </c>
      <c r="J879">
        <v>1318.8834228999999</v>
      </c>
      <c r="K879">
        <v>2400</v>
      </c>
      <c r="L879">
        <v>0</v>
      </c>
      <c r="M879">
        <v>0</v>
      </c>
      <c r="N879">
        <v>2400</v>
      </c>
    </row>
    <row r="880" spans="1:14" x14ac:dyDescent="0.25">
      <c r="A880">
        <v>371.576707</v>
      </c>
      <c r="B880" s="1">
        <f>DATE(2011,5,7) + TIME(13,50,27)</f>
        <v>40670.576701388891</v>
      </c>
      <c r="C880">
        <v>80</v>
      </c>
      <c r="D880">
        <v>79.958267211999996</v>
      </c>
      <c r="E880">
        <v>50</v>
      </c>
      <c r="F880">
        <v>49.165924072000003</v>
      </c>
      <c r="G880">
        <v>1346.3643798999999</v>
      </c>
      <c r="H880">
        <v>1341.9990233999999</v>
      </c>
      <c r="I880">
        <v>1322.53125</v>
      </c>
      <c r="J880">
        <v>1318.8815918</v>
      </c>
      <c r="K880">
        <v>2400</v>
      </c>
      <c r="L880">
        <v>0</v>
      </c>
      <c r="M880">
        <v>0</v>
      </c>
      <c r="N880">
        <v>2400</v>
      </c>
    </row>
    <row r="881" spans="1:14" x14ac:dyDescent="0.25">
      <c r="A881">
        <v>371.75954999999999</v>
      </c>
      <c r="B881" s="1">
        <f>DATE(2011,5,7) + TIME(18,13,45)</f>
        <v>40670.759548611109</v>
      </c>
      <c r="C881">
        <v>80</v>
      </c>
      <c r="D881">
        <v>79.958297728999995</v>
      </c>
      <c r="E881">
        <v>50</v>
      </c>
      <c r="F881">
        <v>49.147457123000002</v>
      </c>
      <c r="G881">
        <v>1346.3497314000001</v>
      </c>
      <c r="H881">
        <v>1341.9902344</v>
      </c>
      <c r="I881">
        <v>1322.5297852000001</v>
      </c>
      <c r="J881">
        <v>1318.8797606999999</v>
      </c>
      <c r="K881">
        <v>2400</v>
      </c>
      <c r="L881">
        <v>0</v>
      </c>
      <c r="M881">
        <v>0</v>
      </c>
      <c r="N881">
        <v>2400</v>
      </c>
    </row>
    <row r="882" spans="1:14" x14ac:dyDescent="0.25">
      <c r="A882">
        <v>371.94522799999999</v>
      </c>
      <c r="B882" s="1">
        <f>DATE(2011,5,7) + TIME(22,41,7)</f>
        <v>40670.945219907408</v>
      </c>
      <c r="C882">
        <v>80</v>
      </c>
      <c r="D882">
        <v>79.958312988000003</v>
      </c>
      <c r="E882">
        <v>50</v>
      </c>
      <c r="F882">
        <v>49.128795623999999</v>
      </c>
      <c r="G882">
        <v>1346.3350829999999</v>
      </c>
      <c r="H882">
        <v>1341.9813231999999</v>
      </c>
      <c r="I882">
        <v>1322.5283202999999</v>
      </c>
      <c r="J882">
        <v>1318.8778076000001</v>
      </c>
      <c r="K882">
        <v>2400</v>
      </c>
      <c r="L882">
        <v>0</v>
      </c>
      <c r="M882">
        <v>0</v>
      </c>
      <c r="N882">
        <v>2400</v>
      </c>
    </row>
    <row r="883" spans="1:14" x14ac:dyDescent="0.25">
      <c r="A883">
        <v>372.13406199999997</v>
      </c>
      <c r="B883" s="1">
        <f>DATE(2011,5,8) + TIME(3,13,2)</f>
        <v>40671.134050925924</v>
      </c>
      <c r="C883">
        <v>80</v>
      </c>
      <c r="D883">
        <v>79.958320618000002</v>
      </c>
      <c r="E883">
        <v>50</v>
      </c>
      <c r="F883">
        <v>49.109912872000002</v>
      </c>
      <c r="G883">
        <v>1346.3204346</v>
      </c>
      <c r="H883">
        <v>1341.9725341999999</v>
      </c>
      <c r="I883">
        <v>1322.5267334</v>
      </c>
      <c r="J883">
        <v>1318.8759766000001</v>
      </c>
      <c r="K883">
        <v>2400</v>
      </c>
      <c r="L883">
        <v>0</v>
      </c>
      <c r="M883">
        <v>0</v>
      </c>
      <c r="N883">
        <v>2400</v>
      </c>
    </row>
    <row r="884" spans="1:14" x14ac:dyDescent="0.25">
      <c r="A884">
        <v>372.32644499999998</v>
      </c>
      <c r="B884" s="1">
        <f>DATE(2011,5,8) + TIME(7,50,4)</f>
        <v>40671.326435185183</v>
      </c>
      <c r="C884">
        <v>80</v>
      </c>
      <c r="D884">
        <v>79.958320618000002</v>
      </c>
      <c r="E884">
        <v>50</v>
      </c>
      <c r="F884">
        <v>49.09078598</v>
      </c>
      <c r="G884">
        <v>1346.3056641000001</v>
      </c>
      <c r="H884">
        <v>1341.9637451000001</v>
      </c>
      <c r="I884">
        <v>1322.5251464999999</v>
      </c>
      <c r="J884">
        <v>1318.8740233999999</v>
      </c>
      <c r="K884">
        <v>2400</v>
      </c>
      <c r="L884">
        <v>0</v>
      </c>
      <c r="M884">
        <v>0</v>
      </c>
      <c r="N884">
        <v>2400</v>
      </c>
    </row>
    <row r="885" spans="1:14" x14ac:dyDescent="0.25">
      <c r="A885">
        <v>372.523056</v>
      </c>
      <c r="B885" s="1">
        <f>DATE(2011,5,8) + TIME(12,33,12)</f>
        <v>40671.523055555554</v>
      </c>
      <c r="C885">
        <v>80</v>
      </c>
      <c r="D885">
        <v>79.958312988000003</v>
      </c>
      <c r="E885">
        <v>50</v>
      </c>
      <c r="F885">
        <v>49.071350098000003</v>
      </c>
      <c r="G885">
        <v>1346.2908935999999</v>
      </c>
      <c r="H885">
        <v>1341.9548339999999</v>
      </c>
      <c r="I885">
        <v>1322.5235596</v>
      </c>
      <c r="J885">
        <v>1318.8719481999999</v>
      </c>
      <c r="K885">
        <v>2400</v>
      </c>
      <c r="L885">
        <v>0</v>
      </c>
      <c r="M885">
        <v>0</v>
      </c>
      <c r="N885">
        <v>2400</v>
      </c>
    </row>
    <row r="886" spans="1:14" x14ac:dyDescent="0.25">
      <c r="A886">
        <v>372.72440399999999</v>
      </c>
      <c r="B886" s="1">
        <f>DATE(2011,5,8) + TIME(17,23,8)</f>
        <v>40671.724398148152</v>
      </c>
      <c r="C886">
        <v>80</v>
      </c>
      <c r="D886">
        <v>79.958297728999995</v>
      </c>
      <c r="E886">
        <v>50</v>
      </c>
      <c r="F886">
        <v>49.051574707</v>
      </c>
      <c r="G886">
        <v>1346.2761230000001</v>
      </c>
      <c r="H886">
        <v>1341.9460449000001</v>
      </c>
      <c r="I886">
        <v>1322.5218506000001</v>
      </c>
      <c r="J886">
        <v>1318.8698730000001</v>
      </c>
      <c r="K886">
        <v>2400</v>
      </c>
      <c r="L886">
        <v>0</v>
      </c>
      <c r="M886">
        <v>0</v>
      </c>
      <c r="N886">
        <v>2400</v>
      </c>
    </row>
    <row r="887" spans="1:14" x14ac:dyDescent="0.25">
      <c r="A887">
        <v>372.93102599999997</v>
      </c>
      <c r="B887" s="1">
        <f>DATE(2011,5,8) + TIME(22,20,40)</f>
        <v>40671.931018518517</v>
      </c>
      <c r="C887">
        <v>80</v>
      </c>
      <c r="D887">
        <v>79.958274841000005</v>
      </c>
      <c r="E887">
        <v>50</v>
      </c>
      <c r="F887">
        <v>49.031410217000001</v>
      </c>
      <c r="G887">
        <v>1346.2611084</v>
      </c>
      <c r="H887">
        <v>1341.9371338000001</v>
      </c>
      <c r="I887">
        <v>1322.5201416</v>
      </c>
      <c r="J887">
        <v>1318.8677978999999</v>
      </c>
      <c r="K887">
        <v>2400</v>
      </c>
      <c r="L887">
        <v>0</v>
      </c>
      <c r="M887">
        <v>0</v>
      </c>
      <c r="N887">
        <v>2400</v>
      </c>
    </row>
    <row r="888" spans="1:14" x14ac:dyDescent="0.25">
      <c r="A888">
        <v>373.14320900000001</v>
      </c>
      <c r="B888" s="1">
        <f>DATE(2011,5,9) + TIME(3,26,13)</f>
        <v>40672.143206018518</v>
      </c>
      <c r="C888">
        <v>80</v>
      </c>
      <c r="D888">
        <v>79.958251953000001</v>
      </c>
      <c r="E888">
        <v>50</v>
      </c>
      <c r="F888">
        <v>49.010833740000002</v>
      </c>
      <c r="G888">
        <v>1346.2459716999999</v>
      </c>
      <c r="H888">
        <v>1341.9281006000001</v>
      </c>
      <c r="I888">
        <v>1322.5184326000001</v>
      </c>
      <c r="J888">
        <v>1318.8656006000001</v>
      </c>
      <c r="K888">
        <v>2400</v>
      </c>
      <c r="L888">
        <v>0</v>
      </c>
      <c r="M888">
        <v>0</v>
      </c>
      <c r="N888">
        <v>2400</v>
      </c>
    </row>
    <row r="889" spans="1:14" x14ac:dyDescent="0.25">
      <c r="A889">
        <v>373.35809699999999</v>
      </c>
      <c r="B889" s="1">
        <f>DATE(2011,5,9) + TIME(8,35,39)</f>
        <v>40672.358090277776</v>
      </c>
      <c r="C889">
        <v>80</v>
      </c>
      <c r="D889">
        <v>79.958221436000002</v>
      </c>
      <c r="E889">
        <v>50</v>
      </c>
      <c r="F889">
        <v>48.990074157999999</v>
      </c>
      <c r="G889">
        <v>1346.2307129000001</v>
      </c>
      <c r="H889">
        <v>1341.9190673999999</v>
      </c>
      <c r="I889">
        <v>1322.5166016000001</v>
      </c>
      <c r="J889">
        <v>1318.8634033000001</v>
      </c>
      <c r="K889">
        <v>2400</v>
      </c>
      <c r="L889">
        <v>0</v>
      </c>
      <c r="M889">
        <v>0</v>
      </c>
      <c r="N889">
        <v>2400</v>
      </c>
    </row>
    <row r="890" spans="1:14" x14ac:dyDescent="0.25">
      <c r="A890">
        <v>373.57609400000001</v>
      </c>
      <c r="B890" s="1">
        <f>DATE(2011,5,9) + TIME(13,49,34)</f>
        <v>40672.57608796296</v>
      </c>
      <c r="C890">
        <v>80</v>
      </c>
      <c r="D890">
        <v>79.958190918</v>
      </c>
      <c r="E890">
        <v>50</v>
      </c>
      <c r="F890">
        <v>48.969100951999998</v>
      </c>
      <c r="G890">
        <v>1346.2154541</v>
      </c>
      <c r="H890">
        <v>1341.9101562000001</v>
      </c>
      <c r="I890">
        <v>1322.5147704999999</v>
      </c>
      <c r="J890">
        <v>1318.8612060999999</v>
      </c>
      <c r="K890">
        <v>2400</v>
      </c>
      <c r="L890">
        <v>0</v>
      </c>
      <c r="M890">
        <v>0</v>
      </c>
      <c r="N890">
        <v>2400</v>
      </c>
    </row>
    <row r="891" spans="1:14" x14ac:dyDescent="0.25">
      <c r="A891">
        <v>373.79765800000001</v>
      </c>
      <c r="B891" s="1">
        <f>DATE(2011,5,9) + TIME(19,8,37)</f>
        <v>40672.797650462962</v>
      </c>
      <c r="C891">
        <v>80</v>
      </c>
      <c r="D891">
        <v>79.958152771000002</v>
      </c>
      <c r="E891">
        <v>50</v>
      </c>
      <c r="F891">
        <v>48.947887420999997</v>
      </c>
      <c r="G891">
        <v>1346.2003173999999</v>
      </c>
      <c r="H891">
        <v>1341.9012451000001</v>
      </c>
      <c r="I891">
        <v>1322.5129394999999</v>
      </c>
      <c r="J891">
        <v>1318.8588867000001</v>
      </c>
      <c r="K891">
        <v>2400</v>
      </c>
      <c r="L891">
        <v>0</v>
      </c>
      <c r="M891">
        <v>0</v>
      </c>
      <c r="N891">
        <v>2400</v>
      </c>
    </row>
    <row r="892" spans="1:14" x14ac:dyDescent="0.25">
      <c r="A892">
        <v>374.02313900000001</v>
      </c>
      <c r="B892" s="1">
        <f>DATE(2011,5,10) + TIME(0,33,19)</f>
        <v>40673.023136574076</v>
      </c>
      <c r="C892">
        <v>80</v>
      </c>
      <c r="D892">
        <v>79.958114624000004</v>
      </c>
      <c r="E892">
        <v>50</v>
      </c>
      <c r="F892">
        <v>48.92640686</v>
      </c>
      <c r="G892">
        <v>1346.1851807</v>
      </c>
      <c r="H892">
        <v>1341.8923339999999</v>
      </c>
      <c r="I892">
        <v>1322.5109863</v>
      </c>
      <c r="J892">
        <v>1318.8565673999999</v>
      </c>
      <c r="K892">
        <v>2400</v>
      </c>
      <c r="L892">
        <v>0</v>
      </c>
      <c r="M892">
        <v>0</v>
      </c>
      <c r="N892">
        <v>2400</v>
      </c>
    </row>
    <row r="893" spans="1:14" x14ac:dyDescent="0.25">
      <c r="A893">
        <v>374.25295399999999</v>
      </c>
      <c r="B893" s="1">
        <f>DATE(2011,5,10) + TIME(6,4,15)</f>
        <v>40673.252951388888</v>
      </c>
      <c r="C893">
        <v>80</v>
      </c>
      <c r="D893">
        <v>79.958076477000006</v>
      </c>
      <c r="E893">
        <v>50</v>
      </c>
      <c r="F893">
        <v>48.904636383000003</v>
      </c>
      <c r="G893">
        <v>1346.1700439000001</v>
      </c>
      <c r="H893">
        <v>1341.8835449000001</v>
      </c>
      <c r="I893">
        <v>1322.5090332</v>
      </c>
      <c r="J893">
        <v>1318.854126</v>
      </c>
      <c r="K893">
        <v>2400</v>
      </c>
      <c r="L893">
        <v>0</v>
      </c>
      <c r="M893">
        <v>0</v>
      </c>
      <c r="N893">
        <v>2400</v>
      </c>
    </row>
    <row r="894" spans="1:14" x14ac:dyDescent="0.25">
      <c r="A894">
        <v>374.48756600000002</v>
      </c>
      <c r="B894" s="1">
        <f>DATE(2011,5,10) + TIME(11,42,5)</f>
        <v>40673.487557870372</v>
      </c>
      <c r="C894">
        <v>80</v>
      </c>
      <c r="D894">
        <v>79.958030700999998</v>
      </c>
      <c r="E894">
        <v>50</v>
      </c>
      <c r="F894">
        <v>48.882541656000001</v>
      </c>
      <c r="G894">
        <v>1346.1547852000001</v>
      </c>
      <c r="H894">
        <v>1341.8747559000001</v>
      </c>
      <c r="I894">
        <v>1322.5070800999999</v>
      </c>
      <c r="J894">
        <v>1318.8516846</v>
      </c>
      <c r="K894">
        <v>2400</v>
      </c>
      <c r="L894">
        <v>0</v>
      </c>
      <c r="M894">
        <v>0</v>
      </c>
      <c r="N894">
        <v>2400</v>
      </c>
    </row>
    <row r="895" spans="1:14" x14ac:dyDescent="0.25">
      <c r="A895">
        <v>374.72747700000002</v>
      </c>
      <c r="B895" s="1">
        <f>DATE(2011,5,10) + TIME(17,27,33)</f>
        <v>40673.727465277778</v>
      </c>
      <c r="C895">
        <v>80</v>
      </c>
      <c r="D895">
        <v>79.957984924000002</v>
      </c>
      <c r="E895">
        <v>50</v>
      </c>
      <c r="F895">
        <v>48.860084534000002</v>
      </c>
      <c r="G895">
        <v>1346.1396483999999</v>
      </c>
      <c r="H895">
        <v>1341.8658447</v>
      </c>
      <c r="I895">
        <v>1322.5050048999999</v>
      </c>
      <c r="J895">
        <v>1318.8491211</v>
      </c>
      <c r="K895">
        <v>2400</v>
      </c>
      <c r="L895">
        <v>0</v>
      </c>
      <c r="M895">
        <v>0</v>
      </c>
      <c r="N895">
        <v>2400</v>
      </c>
    </row>
    <row r="896" spans="1:14" x14ac:dyDescent="0.25">
      <c r="A896">
        <v>374.97347500000001</v>
      </c>
      <c r="B896" s="1">
        <f>DATE(2011,5,10) + TIME(23,21,48)</f>
        <v>40673.97347222222</v>
      </c>
      <c r="C896">
        <v>80</v>
      </c>
      <c r="D896">
        <v>79.957939147999994</v>
      </c>
      <c r="E896">
        <v>50</v>
      </c>
      <c r="F896">
        <v>48.837207794000001</v>
      </c>
      <c r="G896">
        <v>1346.1242675999999</v>
      </c>
      <c r="H896">
        <v>1341.8570557</v>
      </c>
      <c r="I896">
        <v>1322.5029297000001</v>
      </c>
      <c r="J896">
        <v>1318.8465576000001</v>
      </c>
      <c r="K896">
        <v>2400</v>
      </c>
      <c r="L896">
        <v>0</v>
      </c>
      <c r="M896">
        <v>0</v>
      </c>
      <c r="N896">
        <v>2400</v>
      </c>
    </row>
    <row r="897" spans="1:14" x14ac:dyDescent="0.25">
      <c r="A897">
        <v>375.22648900000002</v>
      </c>
      <c r="B897" s="1">
        <f>DATE(2011,5,11) + TIME(5,26,8)</f>
        <v>40674.226481481484</v>
      </c>
      <c r="C897">
        <v>80</v>
      </c>
      <c r="D897">
        <v>79.957893372000001</v>
      </c>
      <c r="E897">
        <v>50</v>
      </c>
      <c r="F897">
        <v>48.813850403000004</v>
      </c>
      <c r="G897">
        <v>1346.1088867000001</v>
      </c>
      <c r="H897">
        <v>1341.8481445</v>
      </c>
      <c r="I897">
        <v>1322.5008545000001</v>
      </c>
      <c r="J897">
        <v>1318.8439940999999</v>
      </c>
      <c r="K897">
        <v>2400</v>
      </c>
      <c r="L897">
        <v>0</v>
      </c>
      <c r="M897">
        <v>0</v>
      </c>
      <c r="N897">
        <v>2400</v>
      </c>
    </row>
    <row r="898" spans="1:14" x14ac:dyDescent="0.25">
      <c r="A898">
        <v>375.48727500000001</v>
      </c>
      <c r="B898" s="1">
        <f>DATE(2011,5,11) + TIME(11,41,40)</f>
        <v>40674.487268518518</v>
      </c>
      <c r="C898">
        <v>80</v>
      </c>
      <c r="D898">
        <v>79.957847595000004</v>
      </c>
      <c r="E898">
        <v>50</v>
      </c>
      <c r="F898">
        <v>48.789951324</v>
      </c>
      <c r="G898">
        <v>1346.0933838000001</v>
      </c>
      <c r="H898">
        <v>1341.8391113</v>
      </c>
      <c r="I898">
        <v>1322.4985352000001</v>
      </c>
      <c r="J898">
        <v>1318.8411865</v>
      </c>
      <c r="K898">
        <v>2400</v>
      </c>
      <c r="L898">
        <v>0</v>
      </c>
      <c r="M898">
        <v>0</v>
      </c>
      <c r="N898">
        <v>2400</v>
      </c>
    </row>
    <row r="899" spans="1:14" x14ac:dyDescent="0.25">
      <c r="A899">
        <v>375.756687</v>
      </c>
      <c r="B899" s="1">
        <f>DATE(2011,5,11) + TIME(18,9,37)</f>
        <v>40674.756678240738</v>
      </c>
      <c r="C899">
        <v>80</v>
      </c>
      <c r="D899">
        <v>79.957794188999998</v>
      </c>
      <c r="E899">
        <v>50</v>
      </c>
      <c r="F899">
        <v>48.765445708999998</v>
      </c>
      <c r="G899">
        <v>1346.0776367000001</v>
      </c>
      <c r="H899">
        <v>1341.8300781</v>
      </c>
      <c r="I899">
        <v>1322.4963379000001</v>
      </c>
      <c r="J899">
        <v>1318.8383789</v>
      </c>
      <c r="K899">
        <v>2400</v>
      </c>
      <c r="L899">
        <v>0</v>
      </c>
      <c r="M899">
        <v>0</v>
      </c>
      <c r="N899">
        <v>2400</v>
      </c>
    </row>
    <row r="900" spans="1:14" x14ac:dyDescent="0.25">
      <c r="A900">
        <v>376.02760799999999</v>
      </c>
      <c r="B900" s="1">
        <f>DATE(2011,5,12) + TIME(0,39,45)</f>
        <v>40675.027604166666</v>
      </c>
      <c r="C900">
        <v>80</v>
      </c>
      <c r="D900">
        <v>79.957740783999995</v>
      </c>
      <c r="E900">
        <v>50</v>
      </c>
      <c r="F900">
        <v>48.740833281999997</v>
      </c>
      <c r="G900">
        <v>1346.0616454999999</v>
      </c>
      <c r="H900">
        <v>1341.8209228999999</v>
      </c>
      <c r="I900">
        <v>1322.4938964999999</v>
      </c>
      <c r="J900">
        <v>1318.8354492000001</v>
      </c>
      <c r="K900">
        <v>2400</v>
      </c>
      <c r="L900">
        <v>0</v>
      </c>
      <c r="M900">
        <v>0</v>
      </c>
      <c r="N900">
        <v>2400</v>
      </c>
    </row>
    <row r="901" spans="1:14" x14ac:dyDescent="0.25">
      <c r="A901">
        <v>376.30027699999999</v>
      </c>
      <c r="B901" s="1">
        <f>DATE(2011,5,12) + TIME(7,12,23)</f>
        <v>40675.300266203703</v>
      </c>
      <c r="C901">
        <v>80</v>
      </c>
      <c r="D901">
        <v>79.957687378000003</v>
      </c>
      <c r="E901">
        <v>50</v>
      </c>
      <c r="F901">
        <v>48.716114044000001</v>
      </c>
      <c r="G901">
        <v>1346.0458983999999</v>
      </c>
      <c r="H901">
        <v>1341.8118896000001</v>
      </c>
      <c r="I901">
        <v>1322.4914550999999</v>
      </c>
      <c r="J901">
        <v>1318.8325195</v>
      </c>
      <c r="K901">
        <v>2400</v>
      </c>
      <c r="L901">
        <v>0</v>
      </c>
      <c r="M901">
        <v>0</v>
      </c>
      <c r="N901">
        <v>2400</v>
      </c>
    </row>
    <row r="902" spans="1:14" x14ac:dyDescent="0.25">
      <c r="A902">
        <v>376.575242</v>
      </c>
      <c r="B902" s="1">
        <f>DATE(2011,5,12) + TIME(13,48,20)</f>
        <v>40675.575231481482</v>
      </c>
      <c r="C902">
        <v>80</v>
      </c>
      <c r="D902">
        <v>79.957633971999996</v>
      </c>
      <c r="E902">
        <v>50</v>
      </c>
      <c r="F902">
        <v>48.691276549999998</v>
      </c>
      <c r="G902">
        <v>1346.0303954999999</v>
      </c>
      <c r="H902">
        <v>1341.8029785000001</v>
      </c>
      <c r="I902">
        <v>1322.4890137</v>
      </c>
      <c r="J902">
        <v>1318.8294678</v>
      </c>
      <c r="K902">
        <v>2400</v>
      </c>
      <c r="L902">
        <v>0</v>
      </c>
      <c r="M902">
        <v>0</v>
      </c>
      <c r="N902">
        <v>2400</v>
      </c>
    </row>
    <row r="903" spans="1:14" x14ac:dyDescent="0.25">
      <c r="A903">
        <v>376.853094</v>
      </c>
      <c r="B903" s="1">
        <f>DATE(2011,5,12) + TIME(20,28,27)</f>
        <v>40675.853090277778</v>
      </c>
      <c r="C903">
        <v>80</v>
      </c>
      <c r="D903">
        <v>79.957580566000004</v>
      </c>
      <c r="E903">
        <v>50</v>
      </c>
      <c r="F903">
        <v>48.666294098000002</v>
      </c>
      <c r="G903">
        <v>1346.0148925999999</v>
      </c>
      <c r="H903">
        <v>1341.7943115</v>
      </c>
      <c r="I903">
        <v>1322.4865723</v>
      </c>
      <c r="J903">
        <v>1318.8264160000001</v>
      </c>
      <c r="K903">
        <v>2400</v>
      </c>
      <c r="L903">
        <v>0</v>
      </c>
      <c r="M903">
        <v>0</v>
      </c>
      <c r="N903">
        <v>2400</v>
      </c>
    </row>
    <row r="904" spans="1:14" x14ac:dyDescent="0.25">
      <c r="A904">
        <v>377.13472899999999</v>
      </c>
      <c r="B904" s="1">
        <f>DATE(2011,5,13) + TIME(3,14,0)</f>
        <v>40676.134722222225</v>
      </c>
      <c r="C904">
        <v>80</v>
      </c>
      <c r="D904">
        <v>79.957527161000002</v>
      </c>
      <c r="E904">
        <v>50</v>
      </c>
      <c r="F904">
        <v>48.641109467</v>
      </c>
      <c r="G904">
        <v>1345.9996338000001</v>
      </c>
      <c r="H904">
        <v>1341.7855225000001</v>
      </c>
      <c r="I904">
        <v>1322.4841309000001</v>
      </c>
      <c r="J904">
        <v>1318.8233643000001</v>
      </c>
      <c r="K904">
        <v>2400</v>
      </c>
      <c r="L904">
        <v>0</v>
      </c>
      <c r="M904">
        <v>0</v>
      </c>
      <c r="N904">
        <v>2400</v>
      </c>
    </row>
    <row r="905" spans="1:14" x14ac:dyDescent="0.25">
      <c r="A905">
        <v>377.420973</v>
      </c>
      <c r="B905" s="1">
        <f>DATE(2011,5,13) + TIME(10,6,12)</f>
        <v>40676.420972222222</v>
      </c>
      <c r="C905">
        <v>80</v>
      </c>
      <c r="D905">
        <v>79.957473754999995</v>
      </c>
      <c r="E905">
        <v>50</v>
      </c>
      <c r="F905">
        <v>48.615669250000003</v>
      </c>
      <c r="G905">
        <v>1345.9844971</v>
      </c>
      <c r="H905">
        <v>1341.7769774999999</v>
      </c>
      <c r="I905">
        <v>1322.4815673999999</v>
      </c>
      <c r="J905">
        <v>1318.8201904</v>
      </c>
      <c r="K905">
        <v>2400</v>
      </c>
      <c r="L905">
        <v>0</v>
      </c>
      <c r="M905">
        <v>0</v>
      </c>
      <c r="N905">
        <v>2400</v>
      </c>
    </row>
    <row r="906" spans="1:14" x14ac:dyDescent="0.25">
      <c r="A906">
        <v>377.71250700000002</v>
      </c>
      <c r="B906" s="1">
        <f>DATE(2011,5,13) + TIME(17,6,0)</f>
        <v>40676.712500000001</v>
      </c>
      <c r="C906">
        <v>80</v>
      </c>
      <c r="D906">
        <v>79.957420349000003</v>
      </c>
      <c r="E906">
        <v>50</v>
      </c>
      <c r="F906">
        <v>48.589939117</v>
      </c>
      <c r="G906">
        <v>1345.9692382999999</v>
      </c>
      <c r="H906">
        <v>1341.7683105000001</v>
      </c>
      <c r="I906">
        <v>1322.4790039</v>
      </c>
      <c r="J906">
        <v>1318.8170166</v>
      </c>
      <c r="K906">
        <v>2400</v>
      </c>
      <c r="L906">
        <v>0</v>
      </c>
      <c r="M906">
        <v>0</v>
      </c>
      <c r="N906">
        <v>2400</v>
      </c>
    </row>
    <row r="907" spans="1:14" x14ac:dyDescent="0.25">
      <c r="A907">
        <v>378.01004999999998</v>
      </c>
      <c r="B907" s="1">
        <f>DATE(2011,5,14) + TIME(0,14,28)</f>
        <v>40677.010046296295</v>
      </c>
      <c r="C907">
        <v>80</v>
      </c>
      <c r="D907">
        <v>79.957366942999997</v>
      </c>
      <c r="E907">
        <v>50</v>
      </c>
      <c r="F907">
        <v>48.563858031999999</v>
      </c>
      <c r="G907">
        <v>1345.9541016000001</v>
      </c>
      <c r="H907">
        <v>1341.7597656</v>
      </c>
      <c r="I907">
        <v>1322.4763184000001</v>
      </c>
      <c r="J907">
        <v>1318.8137207</v>
      </c>
      <c r="K907">
        <v>2400</v>
      </c>
      <c r="L907">
        <v>0</v>
      </c>
      <c r="M907">
        <v>0</v>
      </c>
      <c r="N907">
        <v>2400</v>
      </c>
    </row>
    <row r="908" spans="1:14" x14ac:dyDescent="0.25">
      <c r="A908">
        <v>378.31438300000002</v>
      </c>
      <c r="B908" s="1">
        <f>DATE(2011,5,14) + TIME(7,32,42)</f>
        <v>40677.314375000002</v>
      </c>
      <c r="C908">
        <v>80</v>
      </c>
      <c r="D908">
        <v>79.957313537999994</v>
      </c>
      <c r="E908">
        <v>50</v>
      </c>
      <c r="F908">
        <v>48.537380218999999</v>
      </c>
      <c r="G908">
        <v>1345.9388428</v>
      </c>
      <c r="H908">
        <v>1341.7512207</v>
      </c>
      <c r="I908">
        <v>1322.4735106999999</v>
      </c>
      <c r="J908">
        <v>1318.8103027</v>
      </c>
      <c r="K908">
        <v>2400</v>
      </c>
      <c r="L908">
        <v>0</v>
      </c>
      <c r="M908">
        <v>0</v>
      </c>
      <c r="N908">
        <v>2400</v>
      </c>
    </row>
    <row r="909" spans="1:14" x14ac:dyDescent="0.25">
      <c r="A909">
        <v>378.62637899999999</v>
      </c>
      <c r="B909" s="1">
        <f>DATE(2011,5,14) + TIME(15,1,59)</f>
        <v>40677.626377314817</v>
      </c>
      <c r="C909">
        <v>80</v>
      </c>
      <c r="D909">
        <v>79.957260132000002</v>
      </c>
      <c r="E909">
        <v>50</v>
      </c>
      <c r="F909">
        <v>48.510444640999999</v>
      </c>
      <c r="G909">
        <v>1345.9235839999999</v>
      </c>
      <c r="H909">
        <v>1341.7426757999999</v>
      </c>
      <c r="I909">
        <v>1322.4707031</v>
      </c>
      <c r="J909">
        <v>1318.8067627</v>
      </c>
      <c r="K909">
        <v>2400</v>
      </c>
      <c r="L909">
        <v>0</v>
      </c>
      <c r="M909">
        <v>0</v>
      </c>
      <c r="N909">
        <v>2400</v>
      </c>
    </row>
    <row r="910" spans="1:14" x14ac:dyDescent="0.25">
      <c r="A910">
        <v>378.943106</v>
      </c>
      <c r="B910" s="1">
        <f>DATE(2011,5,14) + TIME(22,38,4)</f>
        <v>40677.943101851852</v>
      </c>
      <c r="C910">
        <v>80</v>
      </c>
      <c r="D910">
        <v>79.957199097</v>
      </c>
      <c r="E910">
        <v>50</v>
      </c>
      <c r="F910">
        <v>48.483234406000001</v>
      </c>
      <c r="G910">
        <v>1345.9082031</v>
      </c>
      <c r="H910">
        <v>1341.7340088000001</v>
      </c>
      <c r="I910">
        <v>1322.4678954999999</v>
      </c>
      <c r="J910">
        <v>1318.8032227000001</v>
      </c>
      <c r="K910">
        <v>2400</v>
      </c>
      <c r="L910">
        <v>0</v>
      </c>
      <c r="M910">
        <v>0</v>
      </c>
      <c r="N910">
        <v>2400</v>
      </c>
    </row>
    <row r="911" spans="1:14" x14ac:dyDescent="0.25">
      <c r="A911">
        <v>379.26227399999999</v>
      </c>
      <c r="B911" s="1">
        <f>DATE(2011,5,15) + TIME(6,17,40)</f>
        <v>40678.26226851852</v>
      </c>
      <c r="C911">
        <v>80</v>
      </c>
      <c r="D911">
        <v>79.957145690999994</v>
      </c>
      <c r="E911">
        <v>50</v>
      </c>
      <c r="F911">
        <v>48.455902100000003</v>
      </c>
      <c r="G911">
        <v>1345.8928223</v>
      </c>
      <c r="H911">
        <v>1341.7253418</v>
      </c>
      <c r="I911">
        <v>1322.4649658000001</v>
      </c>
      <c r="J911">
        <v>1318.7995605000001</v>
      </c>
      <c r="K911">
        <v>2400</v>
      </c>
      <c r="L911">
        <v>0</v>
      </c>
      <c r="M911">
        <v>0</v>
      </c>
      <c r="N911">
        <v>2400</v>
      </c>
    </row>
    <row r="912" spans="1:14" x14ac:dyDescent="0.25">
      <c r="A912">
        <v>379.584474</v>
      </c>
      <c r="B912" s="1">
        <f>DATE(2011,5,15) + TIME(14,1,38)</f>
        <v>40678.584467592591</v>
      </c>
      <c r="C912">
        <v>80</v>
      </c>
      <c r="D912">
        <v>79.957092285000002</v>
      </c>
      <c r="E912">
        <v>50</v>
      </c>
      <c r="F912">
        <v>48.428432465</v>
      </c>
      <c r="G912">
        <v>1345.8775635</v>
      </c>
      <c r="H912">
        <v>1341.7169189000001</v>
      </c>
      <c r="I912">
        <v>1322.4619141000001</v>
      </c>
      <c r="J912">
        <v>1318.7958983999999</v>
      </c>
      <c r="K912">
        <v>2400</v>
      </c>
      <c r="L912">
        <v>0</v>
      </c>
      <c r="M912">
        <v>0</v>
      </c>
      <c r="N912">
        <v>2400</v>
      </c>
    </row>
    <row r="913" spans="1:14" x14ac:dyDescent="0.25">
      <c r="A913">
        <v>379.91028599999999</v>
      </c>
      <c r="B913" s="1">
        <f>DATE(2011,5,15) + TIME(21,50,48)</f>
        <v>40678.910277777781</v>
      </c>
      <c r="C913">
        <v>80</v>
      </c>
      <c r="D913">
        <v>79.957038878999995</v>
      </c>
      <c r="E913">
        <v>50</v>
      </c>
      <c r="F913">
        <v>48.400802612</v>
      </c>
      <c r="G913">
        <v>1345.8625488</v>
      </c>
      <c r="H913">
        <v>1341.7084961</v>
      </c>
      <c r="I913">
        <v>1322.4588623</v>
      </c>
      <c r="J913">
        <v>1318.7921143000001</v>
      </c>
      <c r="K913">
        <v>2400</v>
      </c>
      <c r="L913">
        <v>0</v>
      </c>
      <c r="M913">
        <v>0</v>
      </c>
      <c r="N913">
        <v>2400</v>
      </c>
    </row>
    <row r="914" spans="1:14" x14ac:dyDescent="0.25">
      <c r="A914">
        <v>380.24036699999999</v>
      </c>
      <c r="B914" s="1">
        <f>DATE(2011,5,16) + TIME(5,46,7)</f>
        <v>40679.240358796298</v>
      </c>
      <c r="C914">
        <v>80</v>
      </c>
      <c r="D914">
        <v>79.956985474000007</v>
      </c>
      <c r="E914">
        <v>50</v>
      </c>
      <c r="F914">
        <v>48.372982024999999</v>
      </c>
      <c r="G914">
        <v>1345.8475341999999</v>
      </c>
      <c r="H914">
        <v>1341.7000731999999</v>
      </c>
      <c r="I914">
        <v>1322.4558105000001</v>
      </c>
      <c r="J914">
        <v>1318.7882079999999</v>
      </c>
      <c r="K914">
        <v>2400</v>
      </c>
      <c r="L914">
        <v>0</v>
      </c>
      <c r="M914">
        <v>0</v>
      </c>
      <c r="N914">
        <v>2400</v>
      </c>
    </row>
    <row r="915" spans="1:14" x14ac:dyDescent="0.25">
      <c r="A915">
        <v>380.57536700000003</v>
      </c>
      <c r="B915" s="1">
        <f>DATE(2011,5,16) + TIME(13,48,31)</f>
        <v>40679.575358796297</v>
      </c>
      <c r="C915">
        <v>80</v>
      </c>
      <c r="D915">
        <v>79.956924438000001</v>
      </c>
      <c r="E915">
        <v>50</v>
      </c>
      <c r="F915">
        <v>48.344928740999997</v>
      </c>
      <c r="G915">
        <v>1345.8326416</v>
      </c>
      <c r="H915">
        <v>1341.6917725000001</v>
      </c>
      <c r="I915">
        <v>1322.4526367000001</v>
      </c>
      <c r="J915">
        <v>1318.7843018000001</v>
      </c>
      <c r="K915">
        <v>2400</v>
      </c>
      <c r="L915">
        <v>0</v>
      </c>
      <c r="M915">
        <v>0</v>
      </c>
      <c r="N915">
        <v>2400</v>
      </c>
    </row>
    <row r="916" spans="1:14" x14ac:dyDescent="0.25">
      <c r="A916">
        <v>380.91610900000001</v>
      </c>
      <c r="B916" s="1">
        <f>DATE(2011,5,16) + TIME(21,59,11)</f>
        <v>40679.91609953704</v>
      </c>
      <c r="C916">
        <v>80</v>
      </c>
      <c r="D916">
        <v>79.956871032999999</v>
      </c>
      <c r="E916">
        <v>50</v>
      </c>
      <c r="F916">
        <v>48.316600800000003</v>
      </c>
      <c r="G916">
        <v>1345.817749</v>
      </c>
      <c r="H916">
        <v>1341.6834716999999</v>
      </c>
      <c r="I916">
        <v>1322.4494629000001</v>
      </c>
      <c r="J916">
        <v>1318.7802733999999</v>
      </c>
      <c r="K916">
        <v>2400</v>
      </c>
      <c r="L916">
        <v>0</v>
      </c>
      <c r="M916">
        <v>0</v>
      </c>
      <c r="N916">
        <v>2400</v>
      </c>
    </row>
    <row r="917" spans="1:14" x14ac:dyDescent="0.25">
      <c r="A917">
        <v>381.264049</v>
      </c>
      <c r="B917" s="1">
        <f>DATE(2011,5,17) + TIME(6,20,13)</f>
        <v>40680.264039351852</v>
      </c>
      <c r="C917">
        <v>80</v>
      </c>
      <c r="D917">
        <v>79.956817627000007</v>
      </c>
      <c r="E917">
        <v>50</v>
      </c>
      <c r="F917">
        <v>48.287910461000003</v>
      </c>
      <c r="G917">
        <v>1345.8028564000001</v>
      </c>
      <c r="H917">
        <v>1341.675293</v>
      </c>
      <c r="I917">
        <v>1322.4461670000001</v>
      </c>
      <c r="J917">
        <v>1318.7762451000001</v>
      </c>
      <c r="K917">
        <v>2400</v>
      </c>
      <c r="L917">
        <v>0</v>
      </c>
      <c r="M917">
        <v>0</v>
      </c>
      <c r="N917">
        <v>2400</v>
      </c>
    </row>
    <row r="918" spans="1:14" x14ac:dyDescent="0.25">
      <c r="A918">
        <v>381.62007799999998</v>
      </c>
      <c r="B918" s="1">
        <f>DATE(2011,5,17) + TIME(14,52,54)</f>
        <v>40680.620069444441</v>
      </c>
      <c r="C918">
        <v>80</v>
      </c>
      <c r="D918">
        <v>79.956764221</v>
      </c>
      <c r="E918">
        <v>50</v>
      </c>
      <c r="F918">
        <v>48.258789061999998</v>
      </c>
      <c r="G918">
        <v>1345.7879639</v>
      </c>
      <c r="H918">
        <v>1341.6669922000001</v>
      </c>
      <c r="I918">
        <v>1322.442749</v>
      </c>
      <c r="J918">
        <v>1318.7719727000001</v>
      </c>
      <c r="K918">
        <v>2400</v>
      </c>
      <c r="L918">
        <v>0</v>
      </c>
      <c r="M918">
        <v>0</v>
      </c>
      <c r="N918">
        <v>2400</v>
      </c>
    </row>
    <row r="919" spans="1:14" x14ac:dyDescent="0.25">
      <c r="A919">
        <v>381.98517099999998</v>
      </c>
      <c r="B919" s="1">
        <f>DATE(2011,5,17) + TIME(23,38,38)</f>
        <v>40680.985162037039</v>
      </c>
      <c r="C919">
        <v>80</v>
      </c>
      <c r="D919">
        <v>79.956710814999994</v>
      </c>
      <c r="E919">
        <v>50</v>
      </c>
      <c r="F919">
        <v>48.229179381999998</v>
      </c>
      <c r="G919">
        <v>1345.7729492000001</v>
      </c>
      <c r="H919">
        <v>1341.6586914</v>
      </c>
      <c r="I919">
        <v>1322.4393310999999</v>
      </c>
      <c r="J919">
        <v>1318.7677002</v>
      </c>
      <c r="K919">
        <v>2400</v>
      </c>
      <c r="L919">
        <v>0</v>
      </c>
      <c r="M919">
        <v>0</v>
      </c>
      <c r="N919">
        <v>2400</v>
      </c>
    </row>
    <row r="920" spans="1:14" x14ac:dyDescent="0.25">
      <c r="A920">
        <v>382.35938399999998</v>
      </c>
      <c r="B920" s="1">
        <f>DATE(2011,5,18) + TIME(8,37,30)</f>
        <v>40681.359375</v>
      </c>
      <c r="C920">
        <v>80</v>
      </c>
      <c r="D920">
        <v>79.956649780000006</v>
      </c>
      <c r="E920">
        <v>50</v>
      </c>
      <c r="F920">
        <v>48.199069977000001</v>
      </c>
      <c r="G920">
        <v>1345.7576904</v>
      </c>
      <c r="H920">
        <v>1341.6502685999999</v>
      </c>
      <c r="I920">
        <v>1322.4356689000001</v>
      </c>
      <c r="J920">
        <v>1318.7631836</v>
      </c>
      <c r="K920">
        <v>2400</v>
      </c>
      <c r="L920">
        <v>0</v>
      </c>
      <c r="M920">
        <v>0</v>
      </c>
      <c r="N920">
        <v>2400</v>
      </c>
    </row>
    <row r="921" spans="1:14" x14ac:dyDescent="0.25">
      <c r="A921">
        <v>382.73538500000001</v>
      </c>
      <c r="B921" s="1">
        <f>DATE(2011,5,18) + TIME(17,38,57)</f>
        <v>40681.735381944447</v>
      </c>
      <c r="C921">
        <v>80</v>
      </c>
      <c r="D921">
        <v>79.956596375000004</v>
      </c>
      <c r="E921">
        <v>50</v>
      </c>
      <c r="F921">
        <v>48.168865203999999</v>
      </c>
      <c r="G921">
        <v>1345.7424315999999</v>
      </c>
      <c r="H921">
        <v>1341.6418457</v>
      </c>
      <c r="I921">
        <v>1322.4320068</v>
      </c>
      <c r="J921">
        <v>1318.7585449000001</v>
      </c>
      <c r="K921">
        <v>2400</v>
      </c>
      <c r="L921">
        <v>0</v>
      </c>
      <c r="M921">
        <v>0</v>
      </c>
      <c r="N921">
        <v>2400</v>
      </c>
    </row>
    <row r="922" spans="1:14" x14ac:dyDescent="0.25">
      <c r="A922">
        <v>383.11397299999999</v>
      </c>
      <c r="B922" s="1">
        <f>DATE(2011,5,19) + TIME(2,44,7)</f>
        <v>40682.113969907405</v>
      </c>
      <c r="C922">
        <v>80</v>
      </c>
      <c r="D922">
        <v>79.956542968999997</v>
      </c>
      <c r="E922">
        <v>50</v>
      </c>
      <c r="F922">
        <v>48.138568878000001</v>
      </c>
      <c r="G922">
        <v>1345.7274170000001</v>
      </c>
      <c r="H922">
        <v>1341.6335449000001</v>
      </c>
      <c r="I922">
        <v>1322.4282227000001</v>
      </c>
      <c r="J922">
        <v>1318.7537841999999</v>
      </c>
      <c r="K922">
        <v>2400</v>
      </c>
      <c r="L922">
        <v>0</v>
      </c>
      <c r="M922">
        <v>0</v>
      </c>
      <c r="N922">
        <v>2400</v>
      </c>
    </row>
    <row r="923" spans="1:14" x14ac:dyDescent="0.25">
      <c r="A923">
        <v>383.496669</v>
      </c>
      <c r="B923" s="1">
        <f>DATE(2011,5,19) + TIME(11,55,12)</f>
        <v>40682.496666666666</v>
      </c>
      <c r="C923">
        <v>80</v>
      </c>
      <c r="D923">
        <v>79.956489563000005</v>
      </c>
      <c r="E923">
        <v>50</v>
      </c>
      <c r="F923">
        <v>48.108123779000003</v>
      </c>
      <c r="G923">
        <v>1345.7125243999999</v>
      </c>
      <c r="H923">
        <v>1341.6252440999999</v>
      </c>
      <c r="I923">
        <v>1322.4244385</v>
      </c>
      <c r="J923">
        <v>1318.7490233999999</v>
      </c>
      <c r="K923">
        <v>2400</v>
      </c>
      <c r="L923">
        <v>0</v>
      </c>
      <c r="M923">
        <v>0</v>
      </c>
      <c r="N923">
        <v>2400</v>
      </c>
    </row>
    <row r="924" spans="1:14" x14ac:dyDescent="0.25">
      <c r="A924">
        <v>383.88478700000002</v>
      </c>
      <c r="B924" s="1">
        <f>DATE(2011,5,19) + TIME(21,14,5)</f>
        <v>40682.884780092594</v>
      </c>
      <c r="C924">
        <v>80</v>
      </c>
      <c r="D924">
        <v>79.956436156999999</v>
      </c>
      <c r="E924">
        <v>50</v>
      </c>
      <c r="F924">
        <v>48.077461243000002</v>
      </c>
      <c r="G924">
        <v>1345.6976318</v>
      </c>
      <c r="H924">
        <v>1341.6170654</v>
      </c>
      <c r="I924">
        <v>1322.4205322</v>
      </c>
      <c r="J924">
        <v>1318.7441406</v>
      </c>
      <c r="K924">
        <v>2400</v>
      </c>
      <c r="L924">
        <v>0</v>
      </c>
      <c r="M924">
        <v>0</v>
      </c>
      <c r="N924">
        <v>2400</v>
      </c>
    </row>
    <row r="925" spans="1:14" x14ac:dyDescent="0.25">
      <c r="A925">
        <v>384.27910400000002</v>
      </c>
      <c r="B925" s="1">
        <f>DATE(2011,5,20) + TIME(6,41,54)</f>
        <v>40683.279097222221</v>
      </c>
      <c r="C925">
        <v>80</v>
      </c>
      <c r="D925">
        <v>79.956382751000007</v>
      </c>
      <c r="E925">
        <v>50</v>
      </c>
      <c r="F925">
        <v>48.046543120999999</v>
      </c>
      <c r="G925">
        <v>1345.6828613</v>
      </c>
      <c r="H925">
        <v>1341.6090088000001</v>
      </c>
      <c r="I925">
        <v>1322.416626</v>
      </c>
      <c r="J925">
        <v>1318.7391356999999</v>
      </c>
      <c r="K925">
        <v>2400</v>
      </c>
      <c r="L925">
        <v>0</v>
      </c>
      <c r="M925">
        <v>0</v>
      </c>
      <c r="N925">
        <v>2400</v>
      </c>
    </row>
    <row r="926" spans="1:14" x14ac:dyDescent="0.25">
      <c r="A926">
        <v>384.68063100000001</v>
      </c>
      <c r="B926" s="1">
        <f>DATE(2011,5,20) + TIME(16,20,6)</f>
        <v>40683.680625000001</v>
      </c>
      <c r="C926">
        <v>80</v>
      </c>
      <c r="D926">
        <v>79.956329346000004</v>
      </c>
      <c r="E926">
        <v>50</v>
      </c>
      <c r="F926">
        <v>48.015312195</v>
      </c>
      <c r="G926">
        <v>1345.6680908000001</v>
      </c>
      <c r="H926">
        <v>1341.6008300999999</v>
      </c>
      <c r="I926">
        <v>1322.4124756000001</v>
      </c>
      <c r="J926">
        <v>1318.7340088000001</v>
      </c>
      <c r="K926">
        <v>2400</v>
      </c>
      <c r="L926">
        <v>0</v>
      </c>
      <c r="M926">
        <v>0</v>
      </c>
      <c r="N926">
        <v>2400</v>
      </c>
    </row>
    <row r="927" spans="1:14" x14ac:dyDescent="0.25">
      <c r="A927">
        <v>385.09044699999998</v>
      </c>
      <c r="B927" s="1">
        <f>DATE(2011,5,21) + TIME(2,10,14)</f>
        <v>40684.090439814812</v>
      </c>
      <c r="C927">
        <v>80</v>
      </c>
      <c r="D927">
        <v>79.956275939999998</v>
      </c>
      <c r="E927">
        <v>50</v>
      </c>
      <c r="F927">
        <v>47.983707428000002</v>
      </c>
      <c r="G927">
        <v>1345.6531981999999</v>
      </c>
      <c r="H927">
        <v>1341.5926514</v>
      </c>
      <c r="I927">
        <v>1322.4083252</v>
      </c>
      <c r="J927">
        <v>1318.7287598</v>
      </c>
      <c r="K927">
        <v>2400</v>
      </c>
      <c r="L927">
        <v>0</v>
      </c>
      <c r="M927">
        <v>0</v>
      </c>
      <c r="N927">
        <v>2400</v>
      </c>
    </row>
    <row r="928" spans="1:14" x14ac:dyDescent="0.25">
      <c r="A928">
        <v>385.50973900000002</v>
      </c>
      <c r="B928" s="1">
        <f>DATE(2011,5,21) + TIME(12,14,1)</f>
        <v>40684.509733796294</v>
      </c>
      <c r="C928">
        <v>80</v>
      </c>
      <c r="D928">
        <v>79.956222534000005</v>
      </c>
      <c r="E928">
        <v>50</v>
      </c>
      <c r="F928">
        <v>47.951656342</v>
      </c>
      <c r="G928">
        <v>1345.6383057</v>
      </c>
      <c r="H928">
        <v>1341.5844727000001</v>
      </c>
      <c r="I928">
        <v>1322.4040527</v>
      </c>
      <c r="J928">
        <v>1318.7233887</v>
      </c>
      <c r="K928">
        <v>2400</v>
      </c>
      <c r="L928">
        <v>0</v>
      </c>
      <c r="M928">
        <v>0</v>
      </c>
      <c r="N928">
        <v>2400</v>
      </c>
    </row>
    <row r="929" spans="1:14" x14ac:dyDescent="0.25">
      <c r="A929">
        <v>385.93976400000003</v>
      </c>
      <c r="B929" s="1">
        <f>DATE(2011,5,21) + TIME(22,33,15)</f>
        <v>40684.939756944441</v>
      </c>
      <c r="C929">
        <v>80</v>
      </c>
      <c r="D929">
        <v>79.956169127999999</v>
      </c>
      <c r="E929">
        <v>50</v>
      </c>
      <c r="F929">
        <v>47.919086456000002</v>
      </c>
      <c r="G929">
        <v>1345.6234131000001</v>
      </c>
      <c r="H929">
        <v>1341.5762939000001</v>
      </c>
      <c r="I929">
        <v>1322.3996582</v>
      </c>
      <c r="J929">
        <v>1318.7177733999999</v>
      </c>
      <c r="K929">
        <v>2400</v>
      </c>
      <c r="L929">
        <v>0</v>
      </c>
      <c r="M929">
        <v>0</v>
      </c>
      <c r="N929">
        <v>2400</v>
      </c>
    </row>
    <row r="930" spans="1:14" x14ac:dyDescent="0.25">
      <c r="A930">
        <v>386.377208</v>
      </c>
      <c r="B930" s="1">
        <f>DATE(2011,5,22) + TIME(9,3,10)</f>
        <v>40685.377199074072</v>
      </c>
      <c r="C930">
        <v>80</v>
      </c>
      <c r="D930">
        <v>79.956108092999997</v>
      </c>
      <c r="E930">
        <v>50</v>
      </c>
      <c r="F930">
        <v>47.886146545000003</v>
      </c>
      <c r="G930">
        <v>1345.6082764</v>
      </c>
      <c r="H930">
        <v>1341.5679932</v>
      </c>
      <c r="I930">
        <v>1322.3951416</v>
      </c>
      <c r="J930">
        <v>1318.7120361</v>
      </c>
      <c r="K930">
        <v>2400</v>
      </c>
      <c r="L930">
        <v>0</v>
      </c>
      <c r="M930">
        <v>0</v>
      </c>
      <c r="N930">
        <v>2400</v>
      </c>
    </row>
    <row r="931" spans="1:14" x14ac:dyDescent="0.25">
      <c r="A931">
        <v>386.81619699999999</v>
      </c>
      <c r="B931" s="1">
        <f>DATE(2011,5,22) + TIME(19,35,19)</f>
        <v>40685.816192129627</v>
      </c>
      <c r="C931">
        <v>80</v>
      </c>
      <c r="D931">
        <v>79.956054687999995</v>
      </c>
      <c r="E931">
        <v>50</v>
      </c>
      <c r="F931">
        <v>47.853160858000003</v>
      </c>
      <c r="G931">
        <v>1345.5931396000001</v>
      </c>
      <c r="H931">
        <v>1341.5596923999999</v>
      </c>
      <c r="I931">
        <v>1322.3903809000001</v>
      </c>
      <c r="J931">
        <v>1318.7060547000001</v>
      </c>
      <c r="K931">
        <v>2400</v>
      </c>
      <c r="L931">
        <v>0</v>
      </c>
      <c r="M931">
        <v>0</v>
      </c>
      <c r="N931">
        <v>2400</v>
      </c>
    </row>
    <row r="932" spans="1:14" x14ac:dyDescent="0.25">
      <c r="A932">
        <v>387.25758100000002</v>
      </c>
      <c r="B932" s="1">
        <f>DATE(2011,5,23) + TIME(6,10,54)</f>
        <v>40686.257569444446</v>
      </c>
      <c r="C932">
        <v>80</v>
      </c>
      <c r="D932">
        <v>79.956001282000003</v>
      </c>
      <c r="E932">
        <v>50</v>
      </c>
      <c r="F932">
        <v>47.820133208999998</v>
      </c>
      <c r="G932">
        <v>1345.5782471</v>
      </c>
      <c r="H932">
        <v>1341.5515137</v>
      </c>
      <c r="I932">
        <v>1322.3856201000001</v>
      </c>
      <c r="J932">
        <v>1318.7000731999999</v>
      </c>
      <c r="K932">
        <v>2400</v>
      </c>
      <c r="L932">
        <v>0</v>
      </c>
      <c r="M932">
        <v>0</v>
      </c>
      <c r="N932">
        <v>2400</v>
      </c>
    </row>
    <row r="933" spans="1:14" x14ac:dyDescent="0.25">
      <c r="A933">
        <v>387.70219100000003</v>
      </c>
      <c r="B933" s="1">
        <f>DATE(2011,5,23) + TIME(16,51,9)</f>
        <v>40686.702187499999</v>
      </c>
      <c r="C933">
        <v>80</v>
      </c>
      <c r="D933">
        <v>79.955955505000006</v>
      </c>
      <c r="E933">
        <v>50</v>
      </c>
      <c r="F933">
        <v>47.787059784</v>
      </c>
      <c r="G933">
        <v>1345.5634766000001</v>
      </c>
      <c r="H933">
        <v>1341.543457</v>
      </c>
      <c r="I933">
        <v>1322.3808594</v>
      </c>
      <c r="J933">
        <v>1318.6939697</v>
      </c>
      <c r="K933">
        <v>2400</v>
      </c>
      <c r="L933">
        <v>0</v>
      </c>
      <c r="M933">
        <v>0</v>
      </c>
      <c r="N933">
        <v>2400</v>
      </c>
    </row>
    <row r="934" spans="1:14" x14ac:dyDescent="0.25">
      <c r="A934">
        <v>388.15086500000001</v>
      </c>
      <c r="B934" s="1">
        <f>DATE(2011,5,24) + TIME(3,37,14)</f>
        <v>40687.150856481479</v>
      </c>
      <c r="C934">
        <v>80</v>
      </c>
      <c r="D934">
        <v>79.955902100000003</v>
      </c>
      <c r="E934">
        <v>50</v>
      </c>
      <c r="F934">
        <v>47.753913879000002</v>
      </c>
      <c r="G934">
        <v>1345.5488281</v>
      </c>
      <c r="H934">
        <v>1341.5354004000001</v>
      </c>
      <c r="I934">
        <v>1322.3759766000001</v>
      </c>
      <c r="J934">
        <v>1318.6876221</v>
      </c>
      <c r="K934">
        <v>2400</v>
      </c>
      <c r="L934">
        <v>0</v>
      </c>
      <c r="M934">
        <v>0</v>
      </c>
      <c r="N934">
        <v>2400</v>
      </c>
    </row>
    <row r="935" spans="1:14" x14ac:dyDescent="0.25">
      <c r="A935">
        <v>388.604466</v>
      </c>
      <c r="B935" s="1">
        <f>DATE(2011,5,24) + TIME(14,30,25)</f>
        <v>40687.604456018518</v>
      </c>
      <c r="C935">
        <v>80</v>
      </c>
      <c r="D935">
        <v>79.955848693999997</v>
      </c>
      <c r="E935">
        <v>50</v>
      </c>
      <c r="F935">
        <v>47.720657349</v>
      </c>
      <c r="G935">
        <v>1345.5343018000001</v>
      </c>
      <c r="H935">
        <v>1341.5274658000001</v>
      </c>
      <c r="I935">
        <v>1322.3709716999999</v>
      </c>
      <c r="J935">
        <v>1318.6812743999999</v>
      </c>
      <c r="K935">
        <v>2400</v>
      </c>
      <c r="L935">
        <v>0</v>
      </c>
      <c r="M935">
        <v>0</v>
      </c>
      <c r="N935">
        <v>2400</v>
      </c>
    </row>
    <row r="936" spans="1:14" x14ac:dyDescent="0.25">
      <c r="A936">
        <v>389.06449700000002</v>
      </c>
      <c r="B936" s="1">
        <f>DATE(2011,5,25) + TIME(1,32,52)</f>
        <v>40688.06449074074</v>
      </c>
      <c r="C936">
        <v>80</v>
      </c>
      <c r="D936">
        <v>79.955795288000004</v>
      </c>
      <c r="E936">
        <v>50</v>
      </c>
      <c r="F936">
        <v>47.687221526999998</v>
      </c>
      <c r="G936">
        <v>1345.5198975000001</v>
      </c>
      <c r="H936">
        <v>1341.5195312000001</v>
      </c>
      <c r="I936">
        <v>1322.3658447</v>
      </c>
      <c r="J936">
        <v>1318.6748047000001</v>
      </c>
      <c r="K936">
        <v>2400</v>
      </c>
      <c r="L936">
        <v>0</v>
      </c>
      <c r="M936">
        <v>0</v>
      </c>
      <c r="N936">
        <v>2400</v>
      </c>
    </row>
    <row r="937" spans="1:14" x14ac:dyDescent="0.25">
      <c r="A937">
        <v>389.53309899999999</v>
      </c>
      <c r="B937" s="1">
        <f>DATE(2011,5,25) + TIME(12,47,39)</f>
        <v>40688.533090277779</v>
      </c>
      <c r="C937">
        <v>80</v>
      </c>
      <c r="D937">
        <v>79.955749511999997</v>
      </c>
      <c r="E937">
        <v>50</v>
      </c>
      <c r="F937">
        <v>47.653491973999998</v>
      </c>
      <c r="G937">
        <v>1345.5053711</v>
      </c>
      <c r="H937">
        <v>1341.5115966999999</v>
      </c>
      <c r="I937">
        <v>1322.3607178</v>
      </c>
      <c r="J937">
        <v>1318.6680908000001</v>
      </c>
      <c r="K937">
        <v>2400</v>
      </c>
      <c r="L937">
        <v>0</v>
      </c>
      <c r="M937">
        <v>0</v>
      </c>
      <c r="N937">
        <v>2400</v>
      </c>
    </row>
    <row r="938" spans="1:14" x14ac:dyDescent="0.25">
      <c r="A938">
        <v>390.01141100000001</v>
      </c>
      <c r="B938" s="1">
        <f>DATE(2011,5,26) + TIME(0,16,25)</f>
        <v>40689.011400462965</v>
      </c>
      <c r="C938">
        <v>80</v>
      </c>
      <c r="D938">
        <v>79.955696106000005</v>
      </c>
      <c r="E938">
        <v>50</v>
      </c>
      <c r="F938">
        <v>47.619392394999998</v>
      </c>
      <c r="G938">
        <v>1345.4908447</v>
      </c>
      <c r="H938">
        <v>1341.5036620999999</v>
      </c>
      <c r="I938">
        <v>1322.3553466999999</v>
      </c>
      <c r="J938">
        <v>1318.6611327999999</v>
      </c>
      <c r="K938">
        <v>2400</v>
      </c>
      <c r="L938">
        <v>0</v>
      </c>
      <c r="M938">
        <v>0</v>
      </c>
      <c r="N938">
        <v>2400</v>
      </c>
    </row>
    <row r="939" spans="1:14" x14ac:dyDescent="0.25">
      <c r="A939">
        <v>390.500743</v>
      </c>
      <c r="B939" s="1">
        <f>DATE(2011,5,26) + TIME(12,1,4)</f>
        <v>40689.500740740739</v>
      </c>
      <c r="C939">
        <v>80</v>
      </c>
      <c r="D939">
        <v>79.955642699999999</v>
      </c>
      <c r="E939">
        <v>50</v>
      </c>
      <c r="F939">
        <v>47.584854126000003</v>
      </c>
      <c r="G939">
        <v>1345.4763184000001</v>
      </c>
      <c r="H939">
        <v>1341.4957274999999</v>
      </c>
      <c r="I939">
        <v>1322.3497314000001</v>
      </c>
      <c r="J939">
        <v>1318.6540527</v>
      </c>
      <c r="K939">
        <v>2400</v>
      </c>
      <c r="L939">
        <v>0</v>
      </c>
      <c r="M939">
        <v>0</v>
      </c>
      <c r="N939">
        <v>2400</v>
      </c>
    </row>
    <row r="940" spans="1:14" x14ac:dyDescent="0.25">
      <c r="A940">
        <v>390.99522200000001</v>
      </c>
      <c r="B940" s="1">
        <f>DATE(2011,5,26) + TIME(23,53,7)</f>
        <v>40689.995219907411</v>
      </c>
      <c r="C940">
        <v>80</v>
      </c>
      <c r="D940">
        <v>79.955596924000005</v>
      </c>
      <c r="E940">
        <v>50</v>
      </c>
      <c r="F940">
        <v>47.550113678000002</v>
      </c>
      <c r="G940">
        <v>1345.4616699000001</v>
      </c>
      <c r="H940">
        <v>1341.4876709</v>
      </c>
      <c r="I940">
        <v>1322.3441161999999</v>
      </c>
      <c r="J940">
        <v>1318.6467285000001</v>
      </c>
      <c r="K940">
        <v>2400</v>
      </c>
      <c r="L940">
        <v>0</v>
      </c>
      <c r="M940">
        <v>0</v>
      </c>
      <c r="N940">
        <v>2400</v>
      </c>
    </row>
    <row r="941" spans="1:14" x14ac:dyDescent="0.25">
      <c r="A941">
        <v>391.49607200000003</v>
      </c>
      <c r="B941" s="1">
        <f>DATE(2011,5,27) + TIME(11,54,20)</f>
        <v>40690.496064814812</v>
      </c>
      <c r="C941">
        <v>80</v>
      </c>
      <c r="D941">
        <v>79.955543517999999</v>
      </c>
      <c r="E941">
        <v>50</v>
      </c>
      <c r="F941">
        <v>47.515159607000001</v>
      </c>
      <c r="G941">
        <v>1345.4470214999999</v>
      </c>
      <c r="H941">
        <v>1341.4796143000001</v>
      </c>
      <c r="I941">
        <v>1322.3382568</v>
      </c>
      <c r="J941">
        <v>1318.6391602000001</v>
      </c>
      <c r="K941">
        <v>2400</v>
      </c>
      <c r="L941">
        <v>0</v>
      </c>
      <c r="M941">
        <v>0</v>
      </c>
      <c r="N941">
        <v>2400</v>
      </c>
    </row>
    <row r="942" spans="1:14" x14ac:dyDescent="0.25">
      <c r="A942">
        <v>392.00456300000002</v>
      </c>
      <c r="B942" s="1">
        <f>DATE(2011,5,28) + TIME(0,6,34)</f>
        <v>40691.004560185182</v>
      </c>
      <c r="C942">
        <v>80</v>
      </c>
      <c r="D942">
        <v>79.955490112000007</v>
      </c>
      <c r="E942">
        <v>50</v>
      </c>
      <c r="F942">
        <v>47.479953766000001</v>
      </c>
      <c r="G942">
        <v>1345.4324951000001</v>
      </c>
      <c r="H942">
        <v>1341.4716797000001</v>
      </c>
      <c r="I942">
        <v>1322.3322754000001</v>
      </c>
      <c r="J942">
        <v>1318.6314697</v>
      </c>
      <c r="K942">
        <v>2400</v>
      </c>
      <c r="L942">
        <v>0</v>
      </c>
      <c r="M942">
        <v>0</v>
      </c>
      <c r="N942">
        <v>2400</v>
      </c>
    </row>
    <row r="943" spans="1:14" x14ac:dyDescent="0.25">
      <c r="A943">
        <v>392.52203800000001</v>
      </c>
      <c r="B943" s="1">
        <f>DATE(2011,5,28) + TIME(12,31,44)</f>
        <v>40691.522037037037</v>
      </c>
      <c r="C943">
        <v>80</v>
      </c>
      <c r="D943">
        <v>79.955444335999999</v>
      </c>
      <c r="E943">
        <v>50</v>
      </c>
      <c r="F943">
        <v>47.444431305000002</v>
      </c>
      <c r="G943">
        <v>1345.4178466999999</v>
      </c>
      <c r="H943">
        <v>1341.4636230000001</v>
      </c>
      <c r="I943">
        <v>1322.3261719</v>
      </c>
      <c r="J943">
        <v>1318.6235352000001</v>
      </c>
      <c r="K943">
        <v>2400</v>
      </c>
      <c r="L943">
        <v>0</v>
      </c>
      <c r="M943">
        <v>0</v>
      </c>
      <c r="N943">
        <v>2400</v>
      </c>
    </row>
    <row r="944" spans="1:14" x14ac:dyDescent="0.25">
      <c r="A944">
        <v>393.04998499999999</v>
      </c>
      <c r="B944" s="1">
        <f>DATE(2011,5,29) + TIME(1,11,58)</f>
        <v>40692.049976851849</v>
      </c>
      <c r="C944">
        <v>80</v>
      </c>
      <c r="D944">
        <v>79.955390929999993</v>
      </c>
      <c r="E944">
        <v>50</v>
      </c>
      <c r="F944">
        <v>47.408531189000001</v>
      </c>
      <c r="G944">
        <v>1345.4033202999999</v>
      </c>
      <c r="H944">
        <v>1341.4555664</v>
      </c>
      <c r="I944">
        <v>1322.3199463000001</v>
      </c>
      <c r="J944">
        <v>1318.6153564000001</v>
      </c>
      <c r="K944">
        <v>2400</v>
      </c>
      <c r="L944">
        <v>0</v>
      </c>
      <c r="M944">
        <v>0</v>
      </c>
      <c r="N944">
        <v>2400</v>
      </c>
    </row>
    <row r="945" spans="1:14" x14ac:dyDescent="0.25">
      <c r="A945">
        <v>393.58997499999998</v>
      </c>
      <c r="B945" s="1">
        <f>DATE(2011,5,29) + TIME(14,9,33)</f>
        <v>40692.589965277781</v>
      </c>
      <c r="C945">
        <v>80</v>
      </c>
      <c r="D945">
        <v>79.955345154</v>
      </c>
      <c r="E945">
        <v>50</v>
      </c>
      <c r="F945">
        <v>47.372173308999997</v>
      </c>
      <c r="G945">
        <v>1345.3885498</v>
      </c>
      <c r="H945">
        <v>1341.4475098</v>
      </c>
      <c r="I945">
        <v>1322.3133545000001</v>
      </c>
      <c r="J945">
        <v>1318.6069336</v>
      </c>
      <c r="K945">
        <v>2400</v>
      </c>
      <c r="L945">
        <v>0</v>
      </c>
      <c r="M945">
        <v>0</v>
      </c>
      <c r="N945">
        <v>2400</v>
      </c>
    </row>
    <row r="946" spans="1:14" x14ac:dyDescent="0.25">
      <c r="A946">
        <v>394.14371499999999</v>
      </c>
      <c r="B946" s="1">
        <f>DATE(2011,5,30) + TIME(3,26,56)</f>
        <v>40693.143703703703</v>
      </c>
      <c r="C946">
        <v>80</v>
      </c>
      <c r="D946">
        <v>79.955291747999993</v>
      </c>
      <c r="E946">
        <v>50</v>
      </c>
      <c r="F946">
        <v>47.335266113000003</v>
      </c>
      <c r="G946">
        <v>1345.3737793</v>
      </c>
      <c r="H946">
        <v>1341.4394531</v>
      </c>
      <c r="I946">
        <v>1322.3067627</v>
      </c>
      <c r="J946">
        <v>1318.5981445</v>
      </c>
      <c r="K946">
        <v>2400</v>
      </c>
      <c r="L946">
        <v>0</v>
      </c>
      <c r="M946">
        <v>0</v>
      </c>
      <c r="N946">
        <v>2400</v>
      </c>
    </row>
    <row r="947" spans="1:14" x14ac:dyDescent="0.25">
      <c r="A947">
        <v>394.71084500000001</v>
      </c>
      <c r="B947" s="1">
        <f>DATE(2011,5,30) + TIME(17,3,37)</f>
        <v>40693.710844907408</v>
      </c>
      <c r="C947">
        <v>80</v>
      </c>
      <c r="D947">
        <v>79.955245972</v>
      </c>
      <c r="E947">
        <v>50</v>
      </c>
      <c r="F947">
        <v>47.297809600999997</v>
      </c>
      <c r="G947">
        <v>1345.3588867000001</v>
      </c>
      <c r="H947">
        <v>1341.4311522999999</v>
      </c>
      <c r="I947">
        <v>1322.2998047000001</v>
      </c>
      <c r="J947">
        <v>1318.5891113</v>
      </c>
      <c r="K947">
        <v>2400</v>
      </c>
      <c r="L947">
        <v>0</v>
      </c>
      <c r="M947">
        <v>0</v>
      </c>
      <c r="N947">
        <v>2400</v>
      </c>
    </row>
    <row r="948" spans="1:14" x14ac:dyDescent="0.25">
      <c r="A948">
        <v>395.28115100000002</v>
      </c>
      <c r="B948" s="1">
        <f>DATE(2011,5,31) + TIME(6,44,51)</f>
        <v>40694.281145833331</v>
      </c>
      <c r="C948">
        <v>80</v>
      </c>
      <c r="D948">
        <v>79.955192565999994</v>
      </c>
      <c r="E948">
        <v>50</v>
      </c>
      <c r="F948">
        <v>47.260208130000002</v>
      </c>
      <c r="G948">
        <v>1345.3438721</v>
      </c>
      <c r="H948">
        <v>1341.4229736</v>
      </c>
      <c r="I948">
        <v>1322.2926024999999</v>
      </c>
      <c r="J948">
        <v>1318.5797118999999</v>
      </c>
      <c r="K948">
        <v>2400</v>
      </c>
      <c r="L948">
        <v>0</v>
      </c>
      <c r="M948">
        <v>0</v>
      </c>
      <c r="N948">
        <v>2400</v>
      </c>
    </row>
    <row r="949" spans="1:14" x14ac:dyDescent="0.25">
      <c r="A949">
        <v>395.85229600000002</v>
      </c>
      <c r="B949" s="1">
        <f>DATE(2011,5,31) + TIME(20,27,18)</f>
        <v>40694.85229166667</v>
      </c>
      <c r="C949">
        <v>80</v>
      </c>
      <c r="D949">
        <v>79.955146790000001</v>
      </c>
      <c r="E949">
        <v>50</v>
      </c>
      <c r="F949">
        <v>47.222648620999998</v>
      </c>
      <c r="G949">
        <v>1345.3288574000001</v>
      </c>
      <c r="H949">
        <v>1341.4146728999999</v>
      </c>
      <c r="I949">
        <v>1322.2852783000001</v>
      </c>
      <c r="J949">
        <v>1318.5700684000001</v>
      </c>
      <c r="K949">
        <v>2400</v>
      </c>
      <c r="L949">
        <v>0</v>
      </c>
      <c r="M949">
        <v>0</v>
      </c>
      <c r="N949">
        <v>2400</v>
      </c>
    </row>
    <row r="950" spans="1:14" x14ac:dyDescent="0.25">
      <c r="A950">
        <v>396</v>
      </c>
      <c r="B950" s="1">
        <f>DATE(2011,6,1) + TIME(0,0,0)</f>
        <v>40695</v>
      </c>
      <c r="C950">
        <v>80</v>
      </c>
      <c r="D950">
        <v>79.955123900999993</v>
      </c>
      <c r="E950">
        <v>50</v>
      </c>
      <c r="F950">
        <v>47.209091186999999</v>
      </c>
      <c r="G950">
        <v>1345.3140868999999</v>
      </c>
      <c r="H950">
        <v>1341.4064940999999</v>
      </c>
      <c r="I950">
        <v>1322.277832</v>
      </c>
      <c r="J950">
        <v>1318.5616454999999</v>
      </c>
      <c r="K950">
        <v>2400</v>
      </c>
      <c r="L950">
        <v>0</v>
      </c>
      <c r="M950">
        <v>0</v>
      </c>
      <c r="N950">
        <v>2400</v>
      </c>
    </row>
    <row r="951" spans="1:14" x14ac:dyDescent="0.25">
      <c r="A951">
        <v>396.573193</v>
      </c>
      <c r="B951" s="1">
        <f>DATE(2011,6,1) + TIME(13,45,23)</f>
        <v>40695.573182870372</v>
      </c>
      <c r="C951">
        <v>80</v>
      </c>
      <c r="D951">
        <v>79.955078125</v>
      </c>
      <c r="E951">
        <v>50</v>
      </c>
      <c r="F951">
        <v>47.173164368000002</v>
      </c>
      <c r="G951">
        <v>1345.3104248</v>
      </c>
      <c r="H951">
        <v>1341.4045410000001</v>
      </c>
      <c r="I951">
        <v>1322.2757568</v>
      </c>
      <c r="J951">
        <v>1318.5574951000001</v>
      </c>
      <c r="K951">
        <v>2400</v>
      </c>
      <c r="L951">
        <v>0</v>
      </c>
      <c r="M951">
        <v>0</v>
      </c>
      <c r="N951">
        <v>2400</v>
      </c>
    </row>
    <row r="952" spans="1:14" x14ac:dyDescent="0.25">
      <c r="A952">
        <v>397.150757</v>
      </c>
      <c r="B952" s="1">
        <f>DATE(2011,6,2) + TIME(3,37,5)</f>
        <v>40696.150752314818</v>
      </c>
      <c r="C952">
        <v>80</v>
      </c>
      <c r="D952">
        <v>79.955032349000007</v>
      </c>
      <c r="E952">
        <v>50</v>
      </c>
      <c r="F952">
        <v>47.136688231999997</v>
      </c>
      <c r="G952">
        <v>1345.2958983999999</v>
      </c>
      <c r="H952">
        <v>1341.3964844</v>
      </c>
      <c r="I952">
        <v>1322.2681885</v>
      </c>
      <c r="J952">
        <v>1318.5476074000001</v>
      </c>
      <c r="K952">
        <v>2400</v>
      </c>
      <c r="L952">
        <v>0</v>
      </c>
      <c r="M952">
        <v>0</v>
      </c>
      <c r="N952">
        <v>2400</v>
      </c>
    </row>
    <row r="953" spans="1:14" x14ac:dyDescent="0.25">
      <c r="A953">
        <v>397.733045</v>
      </c>
      <c r="B953" s="1">
        <f>DATE(2011,6,2) + TIME(17,35,35)</f>
        <v>40696.733043981483</v>
      </c>
      <c r="C953">
        <v>80</v>
      </c>
      <c r="D953">
        <v>79.954986571999996</v>
      </c>
      <c r="E953">
        <v>50</v>
      </c>
      <c r="F953">
        <v>47.099868774000001</v>
      </c>
      <c r="G953">
        <v>1345.2814940999999</v>
      </c>
      <c r="H953">
        <v>1341.3885498</v>
      </c>
      <c r="I953">
        <v>1322.2604980000001</v>
      </c>
      <c r="J953">
        <v>1318.5374756000001</v>
      </c>
      <c r="K953">
        <v>2400</v>
      </c>
      <c r="L953">
        <v>0</v>
      </c>
      <c r="M953">
        <v>0</v>
      </c>
      <c r="N953">
        <v>2400</v>
      </c>
    </row>
    <row r="954" spans="1:14" x14ac:dyDescent="0.25">
      <c r="A954">
        <v>398.32163000000003</v>
      </c>
      <c r="B954" s="1">
        <f>DATE(2011,6,3) + TIME(7,43,8)</f>
        <v>40697.321620370371</v>
      </c>
      <c r="C954">
        <v>80</v>
      </c>
      <c r="D954">
        <v>79.954948424999998</v>
      </c>
      <c r="E954">
        <v>50</v>
      </c>
      <c r="F954">
        <v>47.062778473000002</v>
      </c>
      <c r="G954">
        <v>1345.2672118999999</v>
      </c>
      <c r="H954">
        <v>1341.3806152</v>
      </c>
      <c r="I954">
        <v>1322.2526855000001</v>
      </c>
      <c r="J954">
        <v>1318.5270995999999</v>
      </c>
      <c r="K954">
        <v>2400</v>
      </c>
      <c r="L954">
        <v>0</v>
      </c>
      <c r="M954">
        <v>0</v>
      </c>
      <c r="N954">
        <v>2400</v>
      </c>
    </row>
    <row r="955" spans="1:14" x14ac:dyDescent="0.25">
      <c r="A955">
        <v>398.92030799999998</v>
      </c>
      <c r="B955" s="1">
        <f>DATE(2011,6,3) + TIME(22,5,14)</f>
        <v>40697.920300925929</v>
      </c>
      <c r="C955">
        <v>80</v>
      </c>
      <c r="D955">
        <v>79.954902649000005</v>
      </c>
      <c r="E955">
        <v>50</v>
      </c>
      <c r="F955">
        <v>47.025341034</v>
      </c>
      <c r="G955">
        <v>1345.2530518000001</v>
      </c>
      <c r="H955">
        <v>1341.3728027</v>
      </c>
      <c r="I955">
        <v>1322.2446289</v>
      </c>
      <c r="J955">
        <v>1318.5164795000001</v>
      </c>
      <c r="K955">
        <v>2400</v>
      </c>
      <c r="L955">
        <v>0</v>
      </c>
      <c r="M955">
        <v>0</v>
      </c>
      <c r="N955">
        <v>2400</v>
      </c>
    </row>
    <row r="956" spans="1:14" x14ac:dyDescent="0.25">
      <c r="A956">
        <v>399.53068000000002</v>
      </c>
      <c r="B956" s="1">
        <f>DATE(2011,6,4) + TIME(12,44,10)</f>
        <v>40698.530671296299</v>
      </c>
      <c r="C956">
        <v>80</v>
      </c>
      <c r="D956">
        <v>79.954856872999997</v>
      </c>
      <c r="E956">
        <v>50</v>
      </c>
      <c r="F956">
        <v>46.987514496000003</v>
      </c>
      <c r="G956">
        <v>1345.2386475000001</v>
      </c>
      <c r="H956">
        <v>1341.3648682</v>
      </c>
      <c r="I956">
        <v>1322.2363281</v>
      </c>
      <c r="J956">
        <v>1318.5053711</v>
      </c>
      <c r="K956">
        <v>2400</v>
      </c>
      <c r="L956">
        <v>0</v>
      </c>
      <c r="M956">
        <v>0</v>
      </c>
      <c r="N956">
        <v>2400</v>
      </c>
    </row>
    <row r="957" spans="1:14" x14ac:dyDescent="0.25">
      <c r="A957">
        <v>400.15447</v>
      </c>
      <c r="B957" s="1">
        <f>DATE(2011,6,5) + TIME(3,42,26)</f>
        <v>40699.154467592591</v>
      </c>
      <c r="C957">
        <v>80</v>
      </c>
      <c r="D957">
        <v>79.954811096</v>
      </c>
      <c r="E957">
        <v>50</v>
      </c>
      <c r="F957">
        <v>46.949230194000002</v>
      </c>
      <c r="G957">
        <v>1345.2243652</v>
      </c>
      <c r="H957">
        <v>1341.3569336</v>
      </c>
      <c r="I957">
        <v>1322.2277832</v>
      </c>
      <c r="J957">
        <v>1318.4940185999999</v>
      </c>
      <c r="K957">
        <v>2400</v>
      </c>
      <c r="L957">
        <v>0</v>
      </c>
      <c r="M957">
        <v>0</v>
      </c>
      <c r="N957">
        <v>2400</v>
      </c>
    </row>
    <row r="958" spans="1:14" x14ac:dyDescent="0.25">
      <c r="A958">
        <v>400.78580399999998</v>
      </c>
      <c r="B958" s="1">
        <f>DATE(2011,6,5) + TIME(18,51,33)</f>
        <v>40699.785798611112</v>
      </c>
      <c r="C958">
        <v>80</v>
      </c>
      <c r="D958">
        <v>79.954765320000007</v>
      </c>
      <c r="E958">
        <v>50</v>
      </c>
      <c r="F958">
        <v>46.910682678000001</v>
      </c>
      <c r="G958">
        <v>1345.2098389</v>
      </c>
      <c r="H958">
        <v>1341.3488769999999</v>
      </c>
      <c r="I958">
        <v>1322.2189940999999</v>
      </c>
      <c r="J958">
        <v>1318.4822998</v>
      </c>
      <c r="K958">
        <v>2400</v>
      </c>
      <c r="L958">
        <v>0</v>
      </c>
      <c r="M958">
        <v>0</v>
      </c>
      <c r="N958">
        <v>2400</v>
      </c>
    </row>
    <row r="959" spans="1:14" x14ac:dyDescent="0.25">
      <c r="A959">
        <v>401.425074</v>
      </c>
      <c r="B959" s="1">
        <f>DATE(2011,6,6) + TIME(10,12,6)</f>
        <v>40700.425069444442</v>
      </c>
      <c r="C959">
        <v>80</v>
      </c>
      <c r="D959">
        <v>79.954719542999996</v>
      </c>
      <c r="E959">
        <v>50</v>
      </c>
      <c r="F959">
        <v>46.871910094999997</v>
      </c>
      <c r="G959">
        <v>1345.1954346</v>
      </c>
      <c r="H959">
        <v>1341.3408202999999</v>
      </c>
      <c r="I959">
        <v>1322.2099608999999</v>
      </c>
      <c r="J959">
        <v>1318.4702147999999</v>
      </c>
      <c r="K959">
        <v>2400</v>
      </c>
      <c r="L959">
        <v>0</v>
      </c>
      <c r="M959">
        <v>0</v>
      </c>
      <c r="N959">
        <v>2400</v>
      </c>
    </row>
    <row r="960" spans="1:14" x14ac:dyDescent="0.25">
      <c r="A960">
        <v>402.07433099999997</v>
      </c>
      <c r="B960" s="1">
        <f>DATE(2011,6,7) + TIME(1,47,2)</f>
        <v>40701.074328703704</v>
      </c>
      <c r="C960">
        <v>80</v>
      </c>
      <c r="D960">
        <v>79.954681395999998</v>
      </c>
      <c r="E960">
        <v>50</v>
      </c>
      <c r="F960">
        <v>46.832870483000001</v>
      </c>
      <c r="G960">
        <v>1345.1810303</v>
      </c>
      <c r="H960">
        <v>1341.3327637</v>
      </c>
      <c r="I960">
        <v>1322.2006836</v>
      </c>
      <c r="J960">
        <v>1318.4577637</v>
      </c>
      <c r="K960">
        <v>2400</v>
      </c>
      <c r="L960">
        <v>0</v>
      </c>
      <c r="M960">
        <v>0</v>
      </c>
      <c r="N960">
        <v>2400</v>
      </c>
    </row>
    <row r="961" spans="1:14" x14ac:dyDescent="0.25">
      <c r="A961">
        <v>402.73524900000001</v>
      </c>
      <c r="B961" s="1">
        <f>DATE(2011,6,7) + TIME(17,38,45)</f>
        <v>40701.735243055555</v>
      </c>
      <c r="C961">
        <v>80</v>
      </c>
      <c r="D961">
        <v>79.954635620000005</v>
      </c>
      <c r="E961">
        <v>50</v>
      </c>
      <c r="F961">
        <v>46.793514252000001</v>
      </c>
      <c r="G961">
        <v>1345.166626</v>
      </c>
      <c r="H961">
        <v>1341.324707</v>
      </c>
      <c r="I961">
        <v>1322.1911620999999</v>
      </c>
      <c r="J961">
        <v>1318.4449463000001</v>
      </c>
      <c r="K961">
        <v>2400</v>
      </c>
      <c r="L961">
        <v>0</v>
      </c>
      <c r="M961">
        <v>0</v>
      </c>
      <c r="N961">
        <v>2400</v>
      </c>
    </row>
    <row r="962" spans="1:14" x14ac:dyDescent="0.25">
      <c r="A962">
        <v>403.40986099999998</v>
      </c>
      <c r="B962" s="1">
        <f>DATE(2011,6,8) + TIME(9,50,12)</f>
        <v>40702.409861111111</v>
      </c>
      <c r="C962">
        <v>80</v>
      </c>
      <c r="D962">
        <v>79.954589843999997</v>
      </c>
      <c r="E962">
        <v>50</v>
      </c>
      <c r="F962">
        <v>46.753749847000002</v>
      </c>
      <c r="G962">
        <v>1345.1520995999999</v>
      </c>
      <c r="H962">
        <v>1341.3166504000001</v>
      </c>
      <c r="I962">
        <v>1322.1812743999999</v>
      </c>
      <c r="J962">
        <v>1318.4317627</v>
      </c>
      <c r="K962">
        <v>2400</v>
      </c>
      <c r="L962">
        <v>0</v>
      </c>
      <c r="M962">
        <v>0</v>
      </c>
      <c r="N962">
        <v>2400</v>
      </c>
    </row>
    <row r="963" spans="1:14" x14ac:dyDescent="0.25">
      <c r="A963">
        <v>404.100348</v>
      </c>
      <c r="B963" s="1">
        <f>DATE(2011,6,9) + TIME(2,24,30)</f>
        <v>40703.100347222222</v>
      </c>
      <c r="C963">
        <v>80</v>
      </c>
      <c r="D963">
        <v>79.954551696999999</v>
      </c>
      <c r="E963">
        <v>50</v>
      </c>
      <c r="F963">
        <v>46.713489531999997</v>
      </c>
      <c r="G963">
        <v>1345.1375731999999</v>
      </c>
      <c r="H963">
        <v>1341.3084716999999</v>
      </c>
      <c r="I963">
        <v>1322.1711425999999</v>
      </c>
      <c r="J963">
        <v>1318.4180908000001</v>
      </c>
      <c r="K963">
        <v>2400</v>
      </c>
      <c r="L963">
        <v>0</v>
      </c>
      <c r="M963">
        <v>0</v>
      </c>
      <c r="N963">
        <v>2400</v>
      </c>
    </row>
    <row r="964" spans="1:14" x14ac:dyDescent="0.25">
      <c r="A964">
        <v>404.80908599999998</v>
      </c>
      <c r="B964" s="1">
        <f>DATE(2011,6,9) + TIME(19,25,5)</f>
        <v>40703.80908564815</v>
      </c>
      <c r="C964">
        <v>80</v>
      </c>
      <c r="D964">
        <v>79.954505920000003</v>
      </c>
      <c r="E964">
        <v>50</v>
      </c>
      <c r="F964">
        <v>46.672626495000003</v>
      </c>
      <c r="G964">
        <v>1345.1228027</v>
      </c>
      <c r="H964">
        <v>1341.3001709</v>
      </c>
      <c r="I964">
        <v>1322.1606445</v>
      </c>
      <c r="J964">
        <v>1318.4038086</v>
      </c>
      <c r="K964">
        <v>2400</v>
      </c>
      <c r="L964">
        <v>0</v>
      </c>
      <c r="M964">
        <v>0</v>
      </c>
      <c r="N964">
        <v>2400</v>
      </c>
    </row>
    <row r="965" spans="1:14" x14ac:dyDescent="0.25">
      <c r="A965">
        <v>405.53869400000002</v>
      </c>
      <c r="B965" s="1">
        <f>DATE(2011,6,10) + TIME(12,55,43)</f>
        <v>40704.53869212963</v>
      </c>
      <c r="C965">
        <v>80</v>
      </c>
      <c r="D965">
        <v>79.954467773000005</v>
      </c>
      <c r="E965">
        <v>50</v>
      </c>
      <c r="F965">
        <v>46.631042479999998</v>
      </c>
      <c r="G965">
        <v>1345.1079102000001</v>
      </c>
      <c r="H965">
        <v>1341.2918701000001</v>
      </c>
      <c r="I965">
        <v>1322.1497803</v>
      </c>
      <c r="J965">
        <v>1318.3890381000001</v>
      </c>
      <c r="K965">
        <v>2400</v>
      </c>
      <c r="L965">
        <v>0</v>
      </c>
      <c r="M965">
        <v>0</v>
      </c>
      <c r="N965">
        <v>2400</v>
      </c>
    </row>
    <row r="966" spans="1:14" x14ac:dyDescent="0.25">
      <c r="A966">
        <v>406.27064799999999</v>
      </c>
      <c r="B966" s="1">
        <f>DATE(2011,6,11) + TIME(6,29,44)</f>
        <v>40705.270648148151</v>
      </c>
      <c r="C966">
        <v>80</v>
      </c>
      <c r="D966">
        <v>79.954421996999997</v>
      </c>
      <c r="E966">
        <v>50</v>
      </c>
      <c r="F966">
        <v>46.589275360000002</v>
      </c>
      <c r="G966">
        <v>1345.0927733999999</v>
      </c>
      <c r="H966">
        <v>1341.2833252</v>
      </c>
      <c r="I966">
        <v>1322.1384277</v>
      </c>
      <c r="J966">
        <v>1318.3736572</v>
      </c>
      <c r="K966">
        <v>2400</v>
      </c>
      <c r="L966">
        <v>0</v>
      </c>
      <c r="M966">
        <v>0</v>
      </c>
      <c r="N966">
        <v>2400</v>
      </c>
    </row>
    <row r="967" spans="1:14" x14ac:dyDescent="0.25">
      <c r="A967">
        <v>407.003266</v>
      </c>
      <c r="B967" s="1">
        <f>DATE(2011,6,12) + TIME(0,4,42)</f>
        <v>40706.003263888888</v>
      </c>
      <c r="C967">
        <v>80</v>
      </c>
      <c r="D967">
        <v>79.954376221000004</v>
      </c>
      <c r="E967">
        <v>50</v>
      </c>
      <c r="F967">
        <v>46.547561645999998</v>
      </c>
      <c r="G967">
        <v>1345.0778809000001</v>
      </c>
      <c r="H967">
        <v>1341.2749022999999</v>
      </c>
      <c r="I967">
        <v>1322.1268310999999</v>
      </c>
      <c r="J967">
        <v>1318.3580322</v>
      </c>
      <c r="K967">
        <v>2400</v>
      </c>
      <c r="L967">
        <v>0</v>
      </c>
      <c r="M967">
        <v>0</v>
      </c>
      <c r="N967">
        <v>2400</v>
      </c>
    </row>
    <row r="968" spans="1:14" x14ac:dyDescent="0.25">
      <c r="A968">
        <v>407.738248</v>
      </c>
      <c r="B968" s="1">
        <f>DATE(2011,6,12) + TIME(17,43,4)</f>
        <v>40706.738240740742</v>
      </c>
      <c r="C968">
        <v>80</v>
      </c>
      <c r="D968">
        <v>79.954338074000006</v>
      </c>
      <c r="E968">
        <v>50</v>
      </c>
      <c r="F968">
        <v>46.505973816000001</v>
      </c>
      <c r="G968">
        <v>1345.0631103999999</v>
      </c>
      <c r="H968">
        <v>1341.2666016000001</v>
      </c>
      <c r="I968">
        <v>1322.1151123</v>
      </c>
      <c r="J968">
        <v>1318.3419189000001</v>
      </c>
      <c r="K968">
        <v>2400</v>
      </c>
      <c r="L968">
        <v>0</v>
      </c>
      <c r="M968">
        <v>0</v>
      </c>
      <c r="N968">
        <v>2400</v>
      </c>
    </row>
    <row r="969" spans="1:14" x14ac:dyDescent="0.25">
      <c r="A969">
        <v>408.47727400000002</v>
      </c>
      <c r="B969" s="1">
        <f>DATE(2011,6,13) + TIME(11,27,16)</f>
        <v>40707.477268518516</v>
      </c>
      <c r="C969">
        <v>80</v>
      </c>
      <c r="D969">
        <v>79.954299926999994</v>
      </c>
      <c r="E969">
        <v>50</v>
      </c>
      <c r="F969">
        <v>46.464500426999997</v>
      </c>
      <c r="G969">
        <v>1345.0485839999999</v>
      </c>
      <c r="H969">
        <v>1341.2583007999999</v>
      </c>
      <c r="I969">
        <v>1322.1031493999999</v>
      </c>
      <c r="J969">
        <v>1318.3256836</v>
      </c>
      <c r="K969">
        <v>2400</v>
      </c>
      <c r="L969">
        <v>0</v>
      </c>
      <c r="M969">
        <v>0</v>
      </c>
      <c r="N969">
        <v>2400</v>
      </c>
    </row>
    <row r="970" spans="1:14" x14ac:dyDescent="0.25">
      <c r="A970">
        <v>409.22202099999998</v>
      </c>
      <c r="B970" s="1">
        <f>DATE(2011,6,14) + TIME(5,19,42)</f>
        <v>40708.222013888888</v>
      </c>
      <c r="C970">
        <v>80</v>
      </c>
      <c r="D970">
        <v>79.954261779999996</v>
      </c>
      <c r="E970">
        <v>50</v>
      </c>
      <c r="F970">
        <v>46.423091888000002</v>
      </c>
      <c r="G970">
        <v>1345.0340576000001</v>
      </c>
      <c r="H970">
        <v>1341.2501221</v>
      </c>
      <c r="I970">
        <v>1322.0909423999999</v>
      </c>
      <c r="J970">
        <v>1318.309082</v>
      </c>
      <c r="K970">
        <v>2400</v>
      </c>
      <c r="L970">
        <v>0</v>
      </c>
      <c r="M970">
        <v>0</v>
      </c>
      <c r="N970">
        <v>2400</v>
      </c>
    </row>
    <row r="971" spans="1:14" x14ac:dyDescent="0.25">
      <c r="A971">
        <v>409.97620899999998</v>
      </c>
      <c r="B971" s="1">
        <f>DATE(2011,6,14) + TIME(23,25,44)</f>
        <v>40708.976203703707</v>
      </c>
      <c r="C971">
        <v>80</v>
      </c>
      <c r="D971">
        <v>79.954223632999998</v>
      </c>
      <c r="E971">
        <v>50</v>
      </c>
      <c r="F971">
        <v>46.381626128999997</v>
      </c>
      <c r="G971">
        <v>1345.0196533000001</v>
      </c>
      <c r="H971">
        <v>1341.2419434000001</v>
      </c>
      <c r="I971">
        <v>1322.0786132999999</v>
      </c>
      <c r="J971">
        <v>1318.2919922000001</v>
      </c>
      <c r="K971">
        <v>2400</v>
      </c>
      <c r="L971">
        <v>0</v>
      </c>
      <c r="M971">
        <v>0</v>
      </c>
      <c r="N971">
        <v>2400</v>
      </c>
    </row>
    <row r="972" spans="1:14" x14ac:dyDescent="0.25">
      <c r="A972">
        <v>410.73753199999999</v>
      </c>
      <c r="B972" s="1">
        <f>DATE(2011,6,15) + TIME(17,42,2)</f>
        <v>40709.737523148149</v>
      </c>
      <c r="C972">
        <v>80</v>
      </c>
      <c r="D972">
        <v>79.954185486</v>
      </c>
      <c r="E972">
        <v>50</v>
      </c>
      <c r="F972">
        <v>46.340122223000002</v>
      </c>
      <c r="G972">
        <v>1345.005249</v>
      </c>
      <c r="H972">
        <v>1341.2337646000001</v>
      </c>
      <c r="I972">
        <v>1322.065918</v>
      </c>
      <c r="J972">
        <v>1318.2745361</v>
      </c>
      <c r="K972">
        <v>2400</v>
      </c>
      <c r="L972">
        <v>0</v>
      </c>
      <c r="M972">
        <v>0</v>
      </c>
      <c r="N972">
        <v>2400</v>
      </c>
    </row>
    <row r="973" spans="1:14" x14ac:dyDescent="0.25">
      <c r="A973">
        <v>411.50391300000001</v>
      </c>
      <c r="B973" s="1">
        <f>DATE(2011,6,16) + TIME(12,5,38)</f>
        <v>40710.503912037035</v>
      </c>
      <c r="C973">
        <v>80</v>
      </c>
      <c r="D973">
        <v>79.954147339000002</v>
      </c>
      <c r="E973">
        <v>50</v>
      </c>
      <c r="F973">
        <v>46.298637390000003</v>
      </c>
      <c r="G973">
        <v>1344.9909668</v>
      </c>
      <c r="H973">
        <v>1341.2255858999999</v>
      </c>
      <c r="I973">
        <v>1322.0529785000001</v>
      </c>
      <c r="J973">
        <v>1318.2567139</v>
      </c>
      <c r="K973">
        <v>2400</v>
      </c>
      <c r="L973">
        <v>0</v>
      </c>
      <c r="M973">
        <v>0</v>
      </c>
      <c r="N973">
        <v>2400</v>
      </c>
    </row>
    <row r="974" spans="1:14" x14ac:dyDescent="0.25">
      <c r="A974">
        <v>412.28181699999999</v>
      </c>
      <c r="B974" s="1">
        <f>DATE(2011,6,17) + TIME(6,45,48)</f>
        <v>40711.281805555554</v>
      </c>
      <c r="C974">
        <v>80</v>
      </c>
      <c r="D974">
        <v>79.954109192000004</v>
      </c>
      <c r="E974">
        <v>50</v>
      </c>
      <c r="F974">
        <v>46.257011413999997</v>
      </c>
      <c r="G974">
        <v>1344.9768065999999</v>
      </c>
      <c r="H974">
        <v>1341.2175293</v>
      </c>
      <c r="I974">
        <v>1322.0396728999999</v>
      </c>
      <c r="J974">
        <v>1318.2385254000001</v>
      </c>
      <c r="K974">
        <v>2400</v>
      </c>
      <c r="L974">
        <v>0</v>
      </c>
      <c r="M974">
        <v>0</v>
      </c>
      <c r="N974">
        <v>2400</v>
      </c>
    </row>
    <row r="975" spans="1:14" x14ac:dyDescent="0.25">
      <c r="A975">
        <v>413.073869</v>
      </c>
      <c r="B975" s="1">
        <f>DATE(2011,6,18) + TIME(1,46,22)</f>
        <v>40712.073865740742</v>
      </c>
      <c r="C975">
        <v>80</v>
      </c>
      <c r="D975">
        <v>79.954071045000006</v>
      </c>
      <c r="E975">
        <v>50</v>
      </c>
      <c r="F975">
        <v>46.215106964</v>
      </c>
      <c r="G975">
        <v>1344.9625243999999</v>
      </c>
      <c r="H975">
        <v>1341.2093506000001</v>
      </c>
      <c r="I975">
        <v>1322.0261230000001</v>
      </c>
      <c r="J975">
        <v>1318.2197266000001</v>
      </c>
      <c r="K975">
        <v>2400</v>
      </c>
      <c r="L975">
        <v>0</v>
      </c>
      <c r="M975">
        <v>0</v>
      </c>
      <c r="N975">
        <v>2400</v>
      </c>
    </row>
    <row r="976" spans="1:14" x14ac:dyDescent="0.25">
      <c r="A976">
        <v>413.88241900000003</v>
      </c>
      <c r="B976" s="1">
        <f>DATE(2011,6,18) + TIME(21,10,40)</f>
        <v>40712.882407407407</v>
      </c>
      <c r="C976">
        <v>80</v>
      </c>
      <c r="D976">
        <v>79.954040527000004</v>
      </c>
      <c r="E976">
        <v>50</v>
      </c>
      <c r="F976">
        <v>46.172805785999998</v>
      </c>
      <c r="G976">
        <v>1344.9482422000001</v>
      </c>
      <c r="H976">
        <v>1341.2010498</v>
      </c>
      <c r="I976">
        <v>1322.012207</v>
      </c>
      <c r="J976">
        <v>1318.2003173999999</v>
      </c>
      <c r="K976">
        <v>2400</v>
      </c>
      <c r="L976">
        <v>0</v>
      </c>
      <c r="M976">
        <v>0</v>
      </c>
      <c r="N976">
        <v>2400</v>
      </c>
    </row>
    <row r="977" spans="1:14" x14ac:dyDescent="0.25">
      <c r="A977">
        <v>414.71024499999999</v>
      </c>
      <c r="B977" s="1">
        <f>DATE(2011,6,19) + TIME(17,2,45)</f>
        <v>40713.710243055553</v>
      </c>
      <c r="C977">
        <v>80</v>
      </c>
      <c r="D977">
        <v>79.954002380000006</v>
      </c>
      <c r="E977">
        <v>50</v>
      </c>
      <c r="F977">
        <v>46.129981995000001</v>
      </c>
      <c r="G977">
        <v>1344.9338379000001</v>
      </c>
      <c r="H977">
        <v>1341.1928711</v>
      </c>
      <c r="I977">
        <v>1321.9976807</v>
      </c>
      <c r="J977">
        <v>1318.1802978999999</v>
      </c>
      <c r="K977">
        <v>2400</v>
      </c>
      <c r="L977">
        <v>0</v>
      </c>
      <c r="M977">
        <v>0</v>
      </c>
      <c r="N977">
        <v>2400</v>
      </c>
    </row>
    <row r="978" spans="1:14" x14ac:dyDescent="0.25">
      <c r="A978">
        <v>415.55784899999998</v>
      </c>
      <c r="B978" s="1">
        <f>DATE(2011,6,20) + TIME(13,23,18)</f>
        <v>40714.557847222219</v>
      </c>
      <c r="C978">
        <v>80</v>
      </c>
      <c r="D978">
        <v>79.953971863000007</v>
      </c>
      <c r="E978">
        <v>50</v>
      </c>
      <c r="F978">
        <v>46.08656311</v>
      </c>
      <c r="G978">
        <v>1344.9193115</v>
      </c>
      <c r="H978">
        <v>1341.1844481999999</v>
      </c>
      <c r="I978">
        <v>1321.9827881000001</v>
      </c>
      <c r="J978">
        <v>1318.1595459</v>
      </c>
      <c r="K978">
        <v>2400</v>
      </c>
      <c r="L978">
        <v>0</v>
      </c>
      <c r="M978">
        <v>0</v>
      </c>
      <c r="N978">
        <v>2400</v>
      </c>
    </row>
    <row r="979" spans="1:14" x14ac:dyDescent="0.25">
      <c r="A979">
        <v>416.42300499999999</v>
      </c>
      <c r="B979" s="1">
        <f>DATE(2011,6,21) + TIME(10,9,7)</f>
        <v>40715.422997685186</v>
      </c>
      <c r="C979">
        <v>80</v>
      </c>
      <c r="D979">
        <v>79.953933715999995</v>
      </c>
      <c r="E979">
        <v>50</v>
      </c>
      <c r="F979">
        <v>46.042579650999997</v>
      </c>
      <c r="G979">
        <v>1344.9046631000001</v>
      </c>
      <c r="H979">
        <v>1341.1759033000001</v>
      </c>
      <c r="I979">
        <v>1321.9672852000001</v>
      </c>
      <c r="J979">
        <v>1318.1379394999999</v>
      </c>
      <c r="K979">
        <v>2400</v>
      </c>
      <c r="L979">
        <v>0</v>
      </c>
      <c r="M979">
        <v>0</v>
      </c>
      <c r="N979">
        <v>2400</v>
      </c>
    </row>
    <row r="980" spans="1:14" x14ac:dyDescent="0.25">
      <c r="A980">
        <v>417.308718</v>
      </c>
      <c r="B980" s="1">
        <f>DATE(2011,6,22) + TIME(7,24,33)</f>
        <v>40716.308715277781</v>
      </c>
      <c r="C980">
        <v>80</v>
      </c>
      <c r="D980">
        <v>79.953903198000006</v>
      </c>
      <c r="E980">
        <v>50</v>
      </c>
      <c r="F980">
        <v>45.997966765999998</v>
      </c>
      <c r="G980">
        <v>1344.8898925999999</v>
      </c>
      <c r="H980">
        <v>1341.1673584</v>
      </c>
      <c r="I980">
        <v>1321.9512939000001</v>
      </c>
      <c r="J980">
        <v>1318.1157227000001</v>
      </c>
      <c r="K980">
        <v>2400</v>
      </c>
      <c r="L980">
        <v>0</v>
      </c>
      <c r="M980">
        <v>0</v>
      </c>
      <c r="N980">
        <v>2400</v>
      </c>
    </row>
    <row r="981" spans="1:14" x14ac:dyDescent="0.25">
      <c r="A981">
        <v>418.218256</v>
      </c>
      <c r="B981" s="1">
        <f>DATE(2011,6,23) + TIME(5,14,17)</f>
        <v>40717.218252314815</v>
      </c>
      <c r="C981">
        <v>80</v>
      </c>
      <c r="D981">
        <v>79.953865050999994</v>
      </c>
      <c r="E981">
        <v>50</v>
      </c>
      <c r="F981">
        <v>45.952625275000003</v>
      </c>
      <c r="G981">
        <v>1344.8748779</v>
      </c>
      <c r="H981">
        <v>1341.1586914</v>
      </c>
      <c r="I981">
        <v>1321.9348144999999</v>
      </c>
      <c r="J981">
        <v>1318.0925293</v>
      </c>
      <c r="K981">
        <v>2400</v>
      </c>
      <c r="L981">
        <v>0</v>
      </c>
      <c r="M981">
        <v>0</v>
      </c>
      <c r="N981">
        <v>2400</v>
      </c>
    </row>
    <row r="982" spans="1:14" x14ac:dyDescent="0.25">
      <c r="A982">
        <v>418.67661399999997</v>
      </c>
      <c r="B982" s="1">
        <f>DATE(2011,6,23) + TIME(16,14,19)</f>
        <v>40717.676608796297</v>
      </c>
      <c r="C982">
        <v>80</v>
      </c>
      <c r="D982">
        <v>79.953834533999995</v>
      </c>
      <c r="E982">
        <v>50</v>
      </c>
      <c r="F982">
        <v>45.922042847</v>
      </c>
      <c r="G982">
        <v>1344.8597411999999</v>
      </c>
      <c r="H982">
        <v>1341.1497803</v>
      </c>
      <c r="I982">
        <v>1321.9183350000001</v>
      </c>
      <c r="J982">
        <v>1318.0704346</v>
      </c>
      <c r="K982">
        <v>2400</v>
      </c>
      <c r="L982">
        <v>0</v>
      </c>
      <c r="M982">
        <v>0</v>
      </c>
      <c r="N982">
        <v>2400</v>
      </c>
    </row>
    <row r="983" spans="1:14" x14ac:dyDescent="0.25">
      <c r="A983">
        <v>419.134973</v>
      </c>
      <c r="B983" s="1">
        <f>DATE(2011,6,24) + TIME(3,14,21)</f>
        <v>40718.134965277779</v>
      </c>
      <c r="C983">
        <v>80</v>
      </c>
      <c r="D983">
        <v>79.953804016000007</v>
      </c>
      <c r="E983">
        <v>50</v>
      </c>
      <c r="F983">
        <v>45.894062042000002</v>
      </c>
      <c r="G983">
        <v>1344.8521728999999</v>
      </c>
      <c r="H983">
        <v>1341.1453856999999</v>
      </c>
      <c r="I983">
        <v>1321.9088135</v>
      </c>
      <c r="J983">
        <v>1318.0566406</v>
      </c>
      <c r="K983">
        <v>2400</v>
      </c>
      <c r="L983">
        <v>0</v>
      </c>
      <c r="M983">
        <v>0</v>
      </c>
      <c r="N983">
        <v>2400</v>
      </c>
    </row>
    <row r="984" spans="1:14" x14ac:dyDescent="0.25">
      <c r="A984">
        <v>419.59333099999998</v>
      </c>
      <c r="B984" s="1">
        <f>DATE(2011,6,24) + TIME(14,14,23)</f>
        <v>40718.593321759261</v>
      </c>
      <c r="C984">
        <v>80</v>
      </c>
      <c r="D984">
        <v>79.953788756999998</v>
      </c>
      <c r="E984">
        <v>50</v>
      </c>
      <c r="F984">
        <v>45.867828369000001</v>
      </c>
      <c r="G984">
        <v>1344.8447266000001</v>
      </c>
      <c r="H984">
        <v>1341.1409911999999</v>
      </c>
      <c r="I984">
        <v>1321.8994141000001</v>
      </c>
      <c r="J984">
        <v>1318.0432129000001</v>
      </c>
      <c r="K984">
        <v>2400</v>
      </c>
      <c r="L984">
        <v>0</v>
      </c>
      <c r="M984">
        <v>0</v>
      </c>
      <c r="N984">
        <v>2400</v>
      </c>
    </row>
    <row r="985" spans="1:14" x14ac:dyDescent="0.25">
      <c r="A985">
        <v>420.05169000000001</v>
      </c>
      <c r="B985" s="1">
        <f>DATE(2011,6,25) + TIME(1,14,25)</f>
        <v>40719.051678240743</v>
      </c>
      <c r="C985">
        <v>80</v>
      </c>
      <c r="D985">
        <v>79.953765868999994</v>
      </c>
      <c r="E985">
        <v>50</v>
      </c>
      <c r="F985">
        <v>45.842777251999998</v>
      </c>
      <c r="G985">
        <v>1344.8372803</v>
      </c>
      <c r="H985">
        <v>1341.1365966999999</v>
      </c>
      <c r="I985">
        <v>1321.8902588000001</v>
      </c>
      <c r="J985">
        <v>1318.0301514</v>
      </c>
      <c r="K985">
        <v>2400</v>
      </c>
      <c r="L985">
        <v>0</v>
      </c>
      <c r="M985">
        <v>0</v>
      </c>
      <c r="N985">
        <v>2400</v>
      </c>
    </row>
    <row r="986" spans="1:14" x14ac:dyDescent="0.25">
      <c r="A986">
        <v>420.51004799999998</v>
      </c>
      <c r="B986" s="1">
        <f>DATE(2011,6,25) + TIME(12,14,28)</f>
        <v>40719.510046296295</v>
      </c>
      <c r="C986">
        <v>80</v>
      </c>
      <c r="D986">
        <v>79.95375061</v>
      </c>
      <c r="E986">
        <v>50</v>
      </c>
      <c r="F986">
        <v>45.818538666000002</v>
      </c>
      <c r="G986">
        <v>1344.8299560999999</v>
      </c>
      <c r="H986">
        <v>1341.1323242000001</v>
      </c>
      <c r="I986">
        <v>1321.8811035000001</v>
      </c>
      <c r="J986">
        <v>1318.0170897999999</v>
      </c>
      <c r="K986">
        <v>2400</v>
      </c>
      <c r="L986">
        <v>0</v>
      </c>
      <c r="M986">
        <v>0</v>
      </c>
      <c r="N986">
        <v>2400</v>
      </c>
    </row>
    <row r="987" spans="1:14" x14ac:dyDescent="0.25">
      <c r="A987">
        <v>420.96840700000001</v>
      </c>
      <c r="B987" s="1">
        <f>DATE(2011,6,25) + TIME(23,14,30)</f>
        <v>40719.968402777777</v>
      </c>
      <c r="C987">
        <v>80</v>
      </c>
      <c r="D987">
        <v>79.953735351999995</v>
      </c>
      <c r="E987">
        <v>50</v>
      </c>
      <c r="F987">
        <v>45.794864654999998</v>
      </c>
      <c r="G987">
        <v>1344.8226318</v>
      </c>
      <c r="H987">
        <v>1341.1279297000001</v>
      </c>
      <c r="I987">
        <v>1321.8719481999999</v>
      </c>
      <c r="J987">
        <v>1318.0041504000001</v>
      </c>
      <c r="K987">
        <v>2400</v>
      </c>
      <c r="L987">
        <v>0</v>
      </c>
      <c r="M987">
        <v>0</v>
      </c>
      <c r="N987">
        <v>2400</v>
      </c>
    </row>
    <row r="988" spans="1:14" x14ac:dyDescent="0.25">
      <c r="A988">
        <v>421.42676499999999</v>
      </c>
      <c r="B988" s="1">
        <f>DATE(2011,6,26) + TIME(10,14,32)</f>
        <v>40720.426759259259</v>
      </c>
      <c r="C988">
        <v>80</v>
      </c>
      <c r="D988">
        <v>79.953720093000001</v>
      </c>
      <c r="E988">
        <v>50</v>
      </c>
      <c r="F988">
        <v>45.771587371999999</v>
      </c>
      <c r="G988">
        <v>1344.8153076000001</v>
      </c>
      <c r="H988">
        <v>1341.1236572</v>
      </c>
      <c r="I988">
        <v>1321.862793</v>
      </c>
      <c r="J988">
        <v>1317.9910889</v>
      </c>
      <c r="K988">
        <v>2400</v>
      </c>
      <c r="L988">
        <v>0</v>
      </c>
      <c r="M988">
        <v>0</v>
      </c>
      <c r="N988">
        <v>2400</v>
      </c>
    </row>
    <row r="989" spans="1:14" x14ac:dyDescent="0.25">
      <c r="A989">
        <v>421.88512400000002</v>
      </c>
      <c r="B989" s="1">
        <f>DATE(2011,6,26) + TIME(21,14,34)</f>
        <v>40720.885115740741</v>
      </c>
      <c r="C989">
        <v>80</v>
      </c>
      <c r="D989">
        <v>79.953704834000007</v>
      </c>
      <c r="E989">
        <v>50</v>
      </c>
      <c r="F989">
        <v>45.748603821000003</v>
      </c>
      <c r="G989">
        <v>1344.8081055</v>
      </c>
      <c r="H989">
        <v>1341.1193848</v>
      </c>
      <c r="I989">
        <v>1321.8536377</v>
      </c>
      <c r="J989">
        <v>1317.9781493999999</v>
      </c>
      <c r="K989">
        <v>2400</v>
      </c>
      <c r="L989">
        <v>0</v>
      </c>
      <c r="M989">
        <v>0</v>
      </c>
      <c r="N989">
        <v>2400</v>
      </c>
    </row>
    <row r="990" spans="1:14" x14ac:dyDescent="0.25">
      <c r="A990">
        <v>422.80184100000002</v>
      </c>
      <c r="B990" s="1">
        <f>DATE(2011,6,27) + TIME(19,14,39)</f>
        <v>40721.801840277774</v>
      </c>
      <c r="C990">
        <v>80</v>
      </c>
      <c r="D990">
        <v>79.953697204999997</v>
      </c>
      <c r="E990">
        <v>50</v>
      </c>
      <c r="F990">
        <v>45.714595795000001</v>
      </c>
      <c r="G990">
        <v>1344.8010254000001</v>
      </c>
      <c r="H990">
        <v>1341.1152344</v>
      </c>
      <c r="I990">
        <v>1321.8438721</v>
      </c>
      <c r="J990">
        <v>1317.963501</v>
      </c>
      <c r="K990">
        <v>2400</v>
      </c>
      <c r="L990">
        <v>0</v>
      </c>
      <c r="M990">
        <v>0</v>
      </c>
      <c r="N990">
        <v>2400</v>
      </c>
    </row>
    <row r="991" spans="1:14" x14ac:dyDescent="0.25">
      <c r="A991">
        <v>423.71910300000002</v>
      </c>
      <c r="B991" s="1">
        <f>DATE(2011,6,28) + TIME(17,15,30)</f>
        <v>40722.719097222223</v>
      </c>
      <c r="C991">
        <v>80</v>
      </c>
      <c r="D991">
        <v>79.953681946000003</v>
      </c>
      <c r="E991">
        <v>50</v>
      </c>
      <c r="F991">
        <v>45.675281525000003</v>
      </c>
      <c r="G991">
        <v>1344.7867432</v>
      </c>
      <c r="H991">
        <v>1341.1068115</v>
      </c>
      <c r="I991">
        <v>1321.8265381000001</v>
      </c>
      <c r="J991">
        <v>1317.9394531</v>
      </c>
      <c r="K991">
        <v>2400</v>
      </c>
      <c r="L991">
        <v>0</v>
      </c>
      <c r="M991">
        <v>0</v>
      </c>
      <c r="N991">
        <v>2400</v>
      </c>
    </row>
    <row r="992" spans="1:14" x14ac:dyDescent="0.25">
      <c r="A992">
        <v>424.64973300000003</v>
      </c>
      <c r="B992" s="1">
        <f>DATE(2011,6,29) + TIME(15,35,36)</f>
        <v>40723.649722222224</v>
      </c>
      <c r="C992">
        <v>80</v>
      </c>
      <c r="D992">
        <v>79.953659058</v>
      </c>
      <c r="E992">
        <v>50</v>
      </c>
      <c r="F992">
        <v>45.633193970000001</v>
      </c>
      <c r="G992">
        <v>1344.7727050999999</v>
      </c>
      <c r="H992">
        <v>1341.0985106999999</v>
      </c>
      <c r="I992">
        <v>1321.8084716999999</v>
      </c>
      <c r="J992">
        <v>1317.9140625</v>
      </c>
      <c r="K992">
        <v>2400</v>
      </c>
      <c r="L992">
        <v>0</v>
      </c>
      <c r="M992">
        <v>0</v>
      </c>
      <c r="N992">
        <v>2400</v>
      </c>
    </row>
    <row r="993" spans="1:14" x14ac:dyDescent="0.25">
      <c r="A993">
        <v>425.59984600000001</v>
      </c>
      <c r="B993" s="1">
        <f>DATE(2011,6,30) + TIME(14,23,46)</f>
        <v>40724.59983796296</v>
      </c>
      <c r="C993">
        <v>80</v>
      </c>
      <c r="D993">
        <v>79.953628539999997</v>
      </c>
      <c r="E993">
        <v>50</v>
      </c>
      <c r="F993">
        <v>45.589408874999997</v>
      </c>
      <c r="G993">
        <v>1344.7586670000001</v>
      </c>
      <c r="H993">
        <v>1341.0900879000001</v>
      </c>
      <c r="I993">
        <v>1321.7896728999999</v>
      </c>
      <c r="J993">
        <v>1317.8873291</v>
      </c>
      <c r="K993">
        <v>2400</v>
      </c>
      <c r="L993">
        <v>0</v>
      </c>
      <c r="M993">
        <v>0</v>
      </c>
      <c r="N993">
        <v>2400</v>
      </c>
    </row>
    <row r="994" spans="1:14" x14ac:dyDescent="0.25">
      <c r="A994">
        <v>426</v>
      </c>
      <c r="B994" s="1">
        <f>DATE(2011,7,1) + TIME(0,0,0)</f>
        <v>40725</v>
      </c>
      <c r="C994">
        <v>80</v>
      </c>
      <c r="D994">
        <v>79.953605651999993</v>
      </c>
      <c r="E994">
        <v>50</v>
      </c>
      <c r="F994">
        <v>45.562664032000001</v>
      </c>
      <c r="G994">
        <v>1344.7443848</v>
      </c>
      <c r="H994">
        <v>1341.0816649999999</v>
      </c>
      <c r="I994">
        <v>1321.7712402</v>
      </c>
      <c r="J994">
        <v>1317.8625488</v>
      </c>
      <c r="K994">
        <v>2400</v>
      </c>
      <c r="L994">
        <v>0</v>
      </c>
      <c r="M994">
        <v>0</v>
      </c>
      <c r="N994">
        <v>2400</v>
      </c>
    </row>
    <row r="995" spans="1:14" x14ac:dyDescent="0.25">
      <c r="A995">
        <v>426.967556</v>
      </c>
      <c r="B995" s="1">
        <f>DATE(2011,7,1) + TIME(23,13,16)</f>
        <v>40725.967546296299</v>
      </c>
      <c r="C995">
        <v>80</v>
      </c>
      <c r="D995">
        <v>79.953590392999999</v>
      </c>
      <c r="E995">
        <v>50</v>
      </c>
      <c r="F995">
        <v>45.521812439000001</v>
      </c>
      <c r="G995">
        <v>1344.7385254000001</v>
      </c>
      <c r="H995">
        <v>1341.078125</v>
      </c>
      <c r="I995">
        <v>1321.7608643000001</v>
      </c>
      <c r="J995">
        <v>1317.8460693</v>
      </c>
      <c r="K995">
        <v>2400</v>
      </c>
      <c r="L995">
        <v>0</v>
      </c>
      <c r="M995">
        <v>0</v>
      </c>
      <c r="N995">
        <v>2400</v>
      </c>
    </row>
    <row r="996" spans="1:14" x14ac:dyDescent="0.25">
      <c r="A996">
        <v>427.96075300000001</v>
      </c>
      <c r="B996" s="1">
        <f>DATE(2011,7,2) + TIME(23,3,29)</f>
        <v>40726.960752314815</v>
      </c>
      <c r="C996">
        <v>80</v>
      </c>
      <c r="D996">
        <v>79.953567504999995</v>
      </c>
      <c r="E996">
        <v>50</v>
      </c>
      <c r="F996">
        <v>45.477905272999998</v>
      </c>
      <c r="G996">
        <v>1344.7243652</v>
      </c>
      <c r="H996">
        <v>1341.0697021000001</v>
      </c>
      <c r="I996">
        <v>1321.7412108999999</v>
      </c>
      <c r="J996">
        <v>1317.8181152</v>
      </c>
      <c r="K996">
        <v>2400</v>
      </c>
      <c r="L996">
        <v>0</v>
      </c>
      <c r="M996">
        <v>0</v>
      </c>
      <c r="N996">
        <v>2400</v>
      </c>
    </row>
    <row r="997" spans="1:14" x14ac:dyDescent="0.25">
      <c r="A997">
        <v>428.97768500000001</v>
      </c>
      <c r="B997" s="1">
        <f>DATE(2011,7,3) + TIME(23,27,52)</f>
        <v>40727.977685185186</v>
      </c>
      <c r="C997">
        <v>80</v>
      </c>
      <c r="D997">
        <v>79.953544617000006</v>
      </c>
      <c r="E997">
        <v>50</v>
      </c>
      <c r="F997">
        <v>45.432060241999999</v>
      </c>
      <c r="G997">
        <v>1344.7099608999999</v>
      </c>
      <c r="H997">
        <v>1341.0610352000001</v>
      </c>
      <c r="I997">
        <v>1321.7204589999999</v>
      </c>
      <c r="J997">
        <v>1317.7885742000001</v>
      </c>
      <c r="K997">
        <v>2400</v>
      </c>
      <c r="L997">
        <v>0</v>
      </c>
      <c r="M997">
        <v>0</v>
      </c>
      <c r="N997">
        <v>2400</v>
      </c>
    </row>
    <row r="998" spans="1:14" x14ac:dyDescent="0.25">
      <c r="A998">
        <v>430.02244100000001</v>
      </c>
      <c r="B998" s="1">
        <f>DATE(2011,7,5) + TIME(0,32,18)</f>
        <v>40729.022430555553</v>
      </c>
      <c r="C998">
        <v>80</v>
      </c>
      <c r="D998">
        <v>79.953529357999997</v>
      </c>
      <c r="E998">
        <v>50</v>
      </c>
      <c r="F998">
        <v>45.384754180999998</v>
      </c>
      <c r="G998">
        <v>1344.6954346</v>
      </c>
      <c r="H998">
        <v>1341.0522461</v>
      </c>
      <c r="I998">
        <v>1321.6988524999999</v>
      </c>
      <c r="J998">
        <v>1317.7576904</v>
      </c>
      <c r="K998">
        <v>2400</v>
      </c>
      <c r="L998">
        <v>0</v>
      </c>
      <c r="M998">
        <v>0</v>
      </c>
      <c r="N998">
        <v>2400</v>
      </c>
    </row>
    <row r="999" spans="1:14" x14ac:dyDescent="0.25">
      <c r="A999">
        <v>431.09949899999998</v>
      </c>
      <c r="B999" s="1">
        <f>DATE(2011,7,6) + TIME(2,23,16)</f>
        <v>40730.099490740744</v>
      </c>
      <c r="C999">
        <v>80</v>
      </c>
      <c r="D999">
        <v>79.953506469999994</v>
      </c>
      <c r="E999">
        <v>50</v>
      </c>
      <c r="F999">
        <v>45.336116791000002</v>
      </c>
      <c r="G999">
        <v>1344.6806641000001</v>
      </c>
      <c r="H999">
        <v>1341.0433350000001</v>
      </c>
      <c r="I999">
        <v>1321.6765137</v>
      </c>
      <c r="J999">
        <v>1317.7254639</v>
      </c>
      <c r="K999">
        <v>2400</v>
      </c>
      <c r="L999">
        <v>0</v>
      </c>
      <c r="M999">
        <v>0</v>
      </c>
      <c r="N999">
        <v>2400</v>
      </c>
    </row>
    <row r="1000" spans="1:14" x14ac:dyDescent="0.25">
      <c r="A1000">
        <v>431.65061500000002</v>
      </c>
      <c r="B1000" s="1">
        <f>DATE(2011,7,6) + TIME(15,36,53)</f>
        <v>40730.650613425925</v>
      </c>
      <c r="C1000">
        <v>80</v>
      </c>
      <c r="D1000">
        <v>79.953475952000005</v>
      </c>
      <c r="E1000">
        <v>50</v>
      </c>
      <c r="F1000">
        <v>45.301662444999998</v>
      </c>
      <c r="G1000">
        <v>1344.6655272999999</v>
      </c>
      <c r="H1000">
        <v>1341.0341797000001</v>
      </c>
      <c r="I1000">
        <v>1321.6542969</v>
      </c>
      <c r="J1000">
        <v>1317.6947021000001</v>
      </c>
      <c r="K1000">
        <v>2400</v>
      </c>
      <c r="L1000">
        <v>0</v>
      </c>
      <c r="M1000">
        <v>0</v>
      </c>
      <c r="N1000">
        <v>2400</v>
      </c>
    </row>
    <row r="1001" spans="1:14" x14ac:dyDescent="0.25">
      <c r="A1001">
        <v>432.201731</v>
      </c>
      <c r="B1001" s="1">
        <f>DATE(2011,7,7) + TIME(4,50,29)</f>
        <v>40731.201724537037</v>
      </c>
      <c r="C1001">
        <v>80</v>
      </c>
      <c r="D1001">
        <v>79.953453064000001</v>
      </c>
      <c r="E1001">
        <v>50</v>
      </c>
      <c r="F1001">
        <v>45.270687103</v>
      </c>
      <c r="G1001">
        <v>1344.6579589999999</v>
      </c>
      <c r="H1001">
        <v>1341.0296631000001</v>
      </c>
      <c r="I1001">
        <v>1321.6409911999999</v>
      </c>
      <c r="J1001">
        <v>1317.6749268000001</v>
      </c>
      <c r="K1001">
        <v>2400</v>
      </c>
      <c r="L1001">
        <v>0</v>
      </c>
      <c r="M1001">
        <v>0</v>
      </c>
      <c r="N1001">
        <v>2400</v>
      </c>
    </row>
    <row r="1002" spans="1:14" x14ac:dyDescent="0.25">
      <c r="A1002">
        <v>432.75284699999997</v>
      </c>
      <c r="B1002" s="1">
        <f>DATE(2011,7,7) + TIME(18,4,5)</f>
        <v>40731.752835648149</v>
      </c>
      <c r="C1002">
        <v>80</v>
      </c>
      <c r="D1002">
        <v>79.953437804999993</v>
      </c>
      <c r="E1002">
        <v>50</v>
      </c>
      <c r="F1002">
        <v>45.241874695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<c r="K1002">
        <v>2400</v>
      </c>
      <c r="L1002">
        <v>0</v>
      </c>
      <c r="M1002">
        <v>0</v>
      </c>
      <c r="N1002">
        <v>2400</v>
      </c>
    </row>
    <row r="1003" spans="1:14" x14ac:dyDescent="0.25">
      <c r="A1003">
        <v>433.30396300000001</v>
      </c>
      <c r="B1003" s="1">
        <f>DATE(2011,7,8) + TIME(7,17,42)</f>
        <v>40732.30395833333</v>
      </c>
      <c r="C1003">
        <v>80</v>
      </c>
      <c r="D1003">
        <v>79.953422545999999</v>
      </c>
      <c r="E1003">
        <v>50</v>
      </c>
      <c r="F1003">
        <v>45.214416503999999</v>
      </c>
      <c r="G1003">
        <v>1344.6429443</v>
      </c>
      <c r="H1003">
        <v>1341.0205077999999</v>
      </c>
      <c r="I1003">
        <v>1321.6153564000001</v>
      </c>
      <c r="J1003">
        <v>1317.6373291</v>
      </c>
      <c r="K1003">
        <v>2400</v>
      </c>
      <c r="L1003">
        <v>0</v>
      </c>
      <c r="M1003">
        <v>0</v>
      </c>
      <c r="N1003">
        <v>2400</v>
      </c>
    </row>
    <row r="1004" spans="1:14" x14ac:dyDescent="0.25">
      <c r="A1004">
        <v>433.85507899999999</v>
      </c>
      <c r="B1004" s="1">
        <f>DATE(2011,7,8) + TIME(20,31,18)</f>
        <v>40732.855069444442</v>
      </c>
      <c r="C1004">
        <v>80</v>
      </c>
      <c r="D1004">
        <v>79.953414917000003</v>
      </c>
      <c r="E1004">
        <v>50</v>
      </c>
      <c r="F1004">
        <v>45.187801360999998</v>
      </c>
      <c r="G1004">
        <v>1344.6354980000001</v>
      </c>
      <c r="H1004">
        <v>1341.0159911999999</v>
      </c>
      <c r="I1004">
        <v>1321.6027832</v>
      </c>
      <c r="J1004">
        <v>1317.6188964999999</v>
      </c>
      <c r="K1004">
        <v>2400</v>
      </c>
      <c r="L1004">
        <v>0</v>
      </c>
      <c r="M1004">
        <v>0</v>
      </c>
      <c r="N1004">
        <v>2400</v>
      </c>
    </row>
    <row r="1005" spans="1:14" x14ac:dyDescent="0.25">
      <c r="A1005">
        <v>434.40619500000003</v>
      </c>
      <c r="B1005" s="1">
        <f>DATE(2011,7,9) + TIME(9,44,55)</f>
        <v>40733.406192129631</v>
      </c>
      <c r="C1005">
        <v>80</v>
      </c>
      <c r="D1005">
        <v>79.953399657999995</v>
      </c>
      <c r="E1005">
        <v>50</v>
      </c>
      <c r="F1005">
        <v>45.161727904999999</v>
      </c>
      <c r="G1005">
        <v>1344.6281738</v>
      </c>
      <c r="H1005">
        <v>1341.0114745999999</v>
      </c>
      <c r="I1005">
        <v>1321.590332</v>
      </c>
      <c r="J1005">
        <v>1317.6007079999999</v>
      </c>
      <c r="K1005">
        <v>2400</v>
      </c>
      <c r="L1005">
        <v>0</v>
      </c>
      <c r="M1005">
        <v>0</v>
      </c>
      <c r="N1005">
        <v>2400</v>
      </c>
    </row>
    <row r="1006" spans="1:14" x14ac:dyDescent="0.25">
      <c r="A1006">
        <v>434.957311</v>
      </c>
      <c r="B1006" s="1">
        <f>DATE(2011,7,9) + TIME(22,58,31)</f>
        <v>40733.957303240742</v>
      </c>
      <c r="C1006">
        <v>80</v>
      </c>
      <c r="D1006">
        <v>79.953392029</v>
      </c>
      <c r="E1006">
        <v>50</v>
      </c>
      <c r="F1006">
        <v>45.136001587000003</v>
      </c>
      <c r="G1006">
        <v>1344.6208495999999</v>
      </c>
      <c r="H1006">
        <v>1341.0069579999999</v>
      </c>
      <c r="I1006">
        <v>1321.5777588000001</v>
      </c>
      <c r="J1006">
        <v>1317.5825195</v>
      </c>
      <c r="K1006">
        <v>2400</v>
      </c>
      <c r="L1006">
        <v>0</v>
      </c>
      <c r="M1006">
        <v>0</v>
      </c>
      <c r="N1006">
        <v>2400</v>
      </c>
    </row>
    <row r="1007" spans="1:14" x14ac:dyDescent="0.25">
      <c r="A1007">
        <v>435.50842699999998</v>
      </c>
      <c r="B1007" s="1">
        <f>DATE(2011,7,10) + TIME(12,12,8)</f>
        <v>40734.508425925924</v>
      </c>
      <c r="C1007">
        <v>80</v>
      </c>
      <c r="D1007">
        <v>79.953384399000001</v>
      </c>
      <c r="E1007">
        <v>50</v>
      </c>
      <c r="F1007">
        <v>45.110507964999996</v>
      </c>
      <c r="G1007">
        <v>1344.6135254000001</v>
      </c>
      <c r="H1007">
        <v>1341.0024414</v>
      </c>
      <c r="I1007">
        <v>1321.5653076000001</v>
      </c>
      <c r="J1007">
        <v>1317.5643310999999</v>
      </c>
      <c r="K1007">
        <v>2400</v>
      </c>
      <c r="L1007">
        <v>0</v>
      </c>
      <c r="M1007">
        <v>0</v>
      </c>
      <c r="N1007">
        <v>2400</v>
      </c>
    </row>
    <row r="1008" spans="1:14" x14ac:dyDescent="0.25">
      <c r="A1008">
        <v>436.05954300000002</v>
      </c>
      <c r="B1008" s="1">
        <f>DATE(2011,7,11) + TIME(1,25,44)</f>
        <v>40735.059537037036</v>
      </c>
      <c r="C1008">
        <v>80</v>
      </c>
      <c r="D1008">
        <v>79.953369140999996</v>
      </c>
      <c r="E1008">
        <v>50</v>
      </c>
      <c r="F1008">
        <v>45.085166931000003</v>
      </c>
      <c r="G1008">
        <v>1344.6063231999999</v>
      </c>
      <c r="H1008">
        <v>1340.9980469</v>
      </c>
      <c r="I1008">
        <v>1321.5527344</v>
      </c>
      <c r="J1008">
        <v>1317.5460204999999</v>
      </c>
      <c r="K1008">
        <v>2400</v>
      </c>
      <c r="L1008">
        <v>0</v>
      </c>
      <c r="M1008">
        <v>0</v>
      </c>
      <c r="N1008">
        <v>2400</v>
      </c>
    </row>
    <row r="1009" spans="1:14" x14ac:dyDescent="0.25">
      <c r="A1009">
        <v>437.16177499999998</v>
      </c>
      <c r="B1009" s="1">
        <f>DATE(2011,7,12) + TIME(3,52,57)</f>
        <v>40736.161770833336</v>
      </c>
      <c r="C1009">
        <v>80</v>
      </c>
      <c r="D1009">
        <v>79.953376770000006</v>
      </c>
      <c r="E1009">
        <v>50</v>
      </c>
      <c r="F1009">
        <v>45.048767089999998</v>
      </c>
      <c r="G1009">
        <v>1344.5992432</v>
      </c>
      <c r="H1009">
        <v>1340.9936522999999</v>
      </c>
      <c r="I1009">
        <v>1321.5393065999999</v>
      </c>
      <c r="J1009">
        <v>1317.5255127</v>
      </c>
      <c r="K1009">
        <v>2400</v>
      </c>
      <c r="L1009">
        <v>0</v>
      </c>
      <c r="M1009">
        <v>0</v>
      </c>
      <c r="N1009">
        <v>2400</v>
      </c>
    </row>
    <row r="1010" spans="1:14" x14ac:dyDescent="0.25">
      <c r="A1010">
        <v>438.26806099999999</v>
      </c>
      <c r="B1010" s="1">
        <f>DATE(2011,7,13) + TIME(6,26,0)</f>
        <v>40737.268055555556</v>
      </c>
      <c r="C1010">
        <v>80</v>
      </c>
      <c r="D1010">
        <v>79.953369140999996</v>
      </c>
      <c r="E1010">
        <v>50</v>
      </c>
      <c r="F1010">
        <v>45.004734038999999</v>
      </c>
      <c r="G1010">
        <v>1344.5849608999999</v>
      </c>
      <c r="H1010">
        <v>1340.9848632999999</v>
      </c>
      <c r="I1010">
        <v>1321.5159911999999</v>
      </c>
      <c r="J1010">
        <v>1317.4921875</v>
      </c>
      <c r="K1010">
        <v>2400</v>
      </c>
      <c r="L1010">
        <v>0</v>
      </c>
      <c r="M1010">
        <v>0</v>
      </c>
      <c r="N1010">
        <v>2400</v>
      </c>
    </row>
    <row r="1011" spans="1:14" x14ac:dyDescent="0.25">
      <c r="A1011">
        <v>439.39214299999998</v>
      </c>
      <c r="B1011" s="1">
        <f>DATE(2011,7,14) + TIME(9,24,41)</f>
        <v>40738.392141203702</v>
      </c>
      <c r="C1011">
        <v>80</v>
      </c>
      <c r="D1011">
        <v>79.953353882000002</v>
      </c>
      <c r="E1011">
        <v>50</v>
      </c>
      <c r="F1011">
        <v>44.957027435000001</v>
      </c>
      <c r="G1011">
        <v>1344.5708007999999</v>
      </c>
      <c r="H1011">
        <v>1340.9761963000001</v>
      </c>
      <c r="I1011">
        <v>1321.4913329999999</v>
      </c>
      <c r="J1011">
        <v>1317.456543</v>
      </c>
      <c r="K1011">
        <v>2400</v>
      </c>
      <c r="L1011">
        <v>0</v>
      </c>
      <c r="M1011">
        <v>0</v>
      </c>
      <c r="N1011">
        <v>2400</v>
      </c>
    </row>
    <row r="1012" spans="1:14" x14ac:dyDescent="0.25">
      <c r="A1012">
        <v>440.52796599999999</v>
      </c>
      <c r="B1012" s="1">
        <f>DATE(2011,7,15) + TIME(12,40,16)</f>
        <v>40739.527962962966</v>
      </c>
      <c r="C1012">
        <v>80</v>
      </c>
      <c r="D1012">
        <v>79.953338622999993</v>
      </c>
      <c r="E1012">
        <v>50</v>
      </c>
      <c r="F1012">
        <v>44.907405853</v>
      </c>
      <c r="G1012">
        <v>1344.5566406</v>
      </c>
      <c r="H1012">
        <v>1340.9674072</v>
      </c>
      <c r="I1012">
        <v>1321.4658202999999</v>
      </c>
      <c r="J1012">
        <v>1317.4190673999999</v>
      </c>
      <c r="K1012">
        <v>2400</v>
      </c>
      <c r="L1012">
        <v>0</v>
      </c>
      <c r="M1012">
        <v>0</v>
      </c>
      <c r="N1012">
        <v>2400</v>
      </c>
    </row>
    <row r="1013" spans="1:14" x14ac:dyDescent="0.25">
      <c r="A1013">
        <v>441.68285500000002</v>
      </c>
      <c r="B1013" s="1">
        <f>DATE(2011,7,16) + TIME(16,23,18)</f>
        <v>40740.682847222219</v>
      </c>
      <c r="C1013">
        <v>80</v>
      </c>
      <c r="D1013">
        <v>79.953330993999998</v>
      </c>
      <c r="E1013">
        <v>50</v>
      </c>
      <c r="F1013">
        <v>44.856555939000003</v>
      </c>
      <c r="G1013">
        <v>1344.5424805</v>
      </c>
      <c r="H1013">
        <v>1340.9586182</v>
      </c>
      <c r="I1013">
        <v>1321.4395752</v>
      </c>
      <c r="J1013">
        <v>1317.3804932</v>
      </c>
      <c r="K1013">
        <v>2400</v>
      </c>
      <c r="L1013">
        <v>0</v>
      </c>
      <c r="M1013">
        <v>0</v>
      </c>
      <c r="N1013">
        <v>2400</v>
      </c>
    </row>
    <row r="1014" spans="1:14" x14ac:dyDescent="0.25">
      <c r="A1014">
        <v>442.86828700000001</v>
      </c>
      <c r="B1014" s="1">
        <f>DATE(2011,7,17) + TIME(20,50,20)</f>
        <v>40741.868287037039</v>
      </c>
      <c r="C1014">
        <v>80</v>
      </c>
      <c r="D1014">
        <v>79.953315735000004</v>
      </c>
      <c r="E1014">
        <v>50</v>
      </c>
      <c r="F1014">
        <v>44.804512023999997</v>
      </c>
      <c r="G1014">
        <v>1344.5281981999999</v>
      </c>
      <c r="H1014">
        <v>1340.949707</v>
      </c>
      <c r="I1014">
        <v>1321.4125977000001</v>
      </c>
      <c r="J1014">
        <v>1317.3408202999999</v>
      </c>
      <c r="K1014">
        <v>2400</v>
      </c>
      <c r="L1014">
        <v>0</v>
      </c>
      <c r="M1014">
        <v>0</v>
      </c>
      <c r="N1014">
        <v>2400</v>
      </c>
    </row>
    <row r="1015" spans="1:14" x14ac:dyDescent="0.25">
      <c r="A1015">
        <v>444.08921299999997</v>
      </c>
      <c r="B1015" s="1">
        <f>DATE(2011,7,19) + TIME(2,8,28)</f>
        <v>40743.089212962965</v>
      </c>
      <c r="C1015">
        <v>80</v>
      </c>
      <c r="D1015">
        <v>79.953300475999995</v>
      </c>
      <c r="E1015">
        <v>50</v>
      </c>
      <c r="F1015">
        <v>44.751113891999999</v>
      </c>
      <c r="G1015">
        <v>1344.5137939000001</v>
      </c>
      <c r="H1015">
        <v>1340.9406738</v>
      </c>
      <c r="I1015">
        <v>1321.3847656</v>
      </c>
      <c r="J1015">
        <v>1317.2998047000001</v>
      </c>
      <c r="K1015">
        <v>2400</v>
      </c>
      <c r="L1015">
        <v>0</v>
      </c>
      <c r="M1015">
        <v>0</v>
      </c>
      <c r="N1015">
        <v>2400</v>
      </c>
    </row>
    <row r="1016" spans="1:14" x14ac:dyDescent="0.25">
      <c r="A1016">
        <v>445.330805</v>
      </c>
      <c r="B1016" s="1">
        <f>DATE(2011,7,20) + TIME(7,56,21)</f>
        <v>40744.33079861111</v>
      </c>
      <c r="C1016">
        <v>80</v>
      </c>
      <c r="D1016">
        <v>79.953292847</v>
      </c>
      <c r="E1016">
        <v>50</v>
      </c>
      <c r="F1016">
        <v>44.696525573999999</v>
      </c>
      <c r="G1016">
        <v>1344.4991454999999</v>
      </c>
      <c r="H1016">
        <v>1340.9315185999999</v>
      </c>
      <c r="I1016">
        <v>1321.355957</v>
      </c>
      <c r="J1016">
        <v>1317.2572021000001</v>
      </c>
      <c r="K1016">
        <v>2400</v>
      </c>
      <c r="L1016">
        <v>0</v>
      </c>
      <c r="M1016">
        <v>0</v>
      </c>
      <c r="N1016">
        <v>2400</v>
      </c>
    </row>
    <row r="1017" spans="1:14" x14ac:dyDescent="0.25">
      <c r="A1017">
        <v>446.58889900000003</v>
      </c>
      <c r="B1017" s="1">
        <f>DATE(2011,7,21) + TIME(14,8,0)</f>
        <v>40745.588888888888</v>
      </c>
      <c r="C1017">
        <v>80</v>
      </c>
      <c r="D1017">
        <v>79.953285217000001</v>
      </c>
      <c r="E1017">
        <v>50</v>
      </c>
      <c r="F1017">
        <v>44.640991210999999</v>
      </c>
      <c r="G1017">
        <v>1344.484375</v>
      </c>
      <c r="H1017">
        <v>1340.9222411999999</v>
      </c>
      <c r="I1017">
        <v>1321.3265381000001</v>
      </c>
      <c r="J1017">
        <v>1317.213501</v>
      </c>
      <c r="K1017">
        <v>2400</v>
      </c>
      <c r="L1017">
        <v>0</v>
      </c>
      <c r="M1017">
        <v>0</v>
      </c>
      <c r="N1017">
        <v>2400</v>
      </c>
    </row>
    <row r="1018" spans="1:14" x14ac:dyDescent="0.25">
      <c r="A1018">
        <v>447.86926099999999</v>
      </c>
      <c r="B1018" s="1">
        <f>DATE(2011,7,22) + TIME(20,51,44)</f>
        <v>40746.869259259256</v>
      </c>
      <c r="C1018">
        <v>80</v>
      </c>
      <c r="D1018">
        <v>79.953269958000007</v>
      </c>
      <c r="E1018">
        <v>50</v>
      </c>
      <c r="F1018">
        <v>44.584541321000003</v>
      </c>
      <c r="G1018">
        <v>1344.4697266000001</v>
      </c>
      <c r="H1018">
        <v>1340.9128418</v>
      </c>
      <c r="I1018">
        <v>1321.2965088000001</v>
      </c>
      <c r="J1018">
        <v>1317.1688231999999</v>
      </c>
      <c r="K1018">
        <v>2400</v>
      </c>
      <c r="L1018">
        <v>0</v>
      </c>
      <c r="M1018">
        <v>0</v>
      </c>
      <c r="N1018">
        <v>2400</v>
      </c>
    </row>
    <row r="1019" spans="1:14" x14ac:dyDescent="0.25">
      <c r="A1019">
        <v>449.16214500000001</v>
      </c>
      <c r="B1019" s="1">
        <f>DATE(2011,7,24) + TIME(3,53,29)</f>
        <v>40748.162141203706</v>
      </c>
      <c r="C1019">
        <v>80</v>
      </c>
      <c r="D1019">
        <v>79.953262328999998</v>
      </c>
      <c r="E1019">
        <v>50</v>
      </c>
      <c r="F1019">
        <v>44.527305603000002</v>
      </c>
      <c r="G1019">
        <v>1344.4548339999999</v>
      </c>
      <c r="H1019">
        <v>1340.9035644999999</v>
      </c>
      <c r="I1019">
        <v>1321.2658690999999</v>
      </c>
      <c r="J1019">
        <v>1317.1230469</v>
      </c>
      <c r="K1019">
        <v>2400</v>
      </c>
      <c r="L1019">
        <v>0</v>
      </c>
      <c r="M1019">
        <v>0</v>
      </c>
      <c r="N1019">
        <v>2400</v>
      </c>
    </row>
    <row r="1020" spans="1:14" x14ac:dyDescent="0.25">
      <c r="A1020">
        <v>450.45522699999998</v>
      </c>
      <c r="B1020" s="1">
        <f>DATE(2011,7,25) + TIME(10,55,31)</f>
        <v>40749.45521990741</v>
      </c>
      <c r="C1020">
        <v>80</v>
      </c>
      <c r="D1020">
        <v>79.953254700000002</v>
      </c>
      <c r="E1020">
        <v>50</v>
      </c>
      <c r="F1020">
        <v>44.469642639</v>
      </c>
      <c r="G1020">
        <v>1344.4401855000001</v>
      </c>
      <c r="H1020">
        <v>1340.8941649999999</v>
      </c>
      <c r="I1020">
        <v>1321.2347411999999</v>
      </c>
      <c r="J1020">
        <v>1317.0764160000001</v>
      </c>
      <c r="K1020">
        <v>2400</v>
      </c>
      <c r="L1020">
        <v>0</v>
      </c>
      <c r="M1020">
        <v>0</v>
      </c>
      <c r="N1020">
        <v>2400</v>
      </c>
    </row>
    <row r="1021" spans="1:14" x14ac:dyDescent="0.25">
      <c r="A1021">
        <v>451.74838099999999</v>
      </c>
      <c r="B1021" s="1">
        <f>DATE(2011,7,26) + TIME(17,57,40)</f>
        <v>40750.748379629629</v>
      </c>
      <c r="C1021">
        <v>80</v>
      </c>
      <c r="D1021">
        <v>79.953247070000003</v>
      </c>
      <c r="E1021">
        <v>50</v>
      </c>
      <c r="F1021">
        <v>44.411815642999997</v>
      </c>
      <c r="G1021">
        <v>1344.4255370999999</v>
      </c>
      <c r="H1021">
        <v>1340.8848877</v>
      </c>
      <c r="I1021">
        <v>1321.2034911999999</v>
      </c>
      <c r="J1021">
        <v>1317.0294189000001</v>
      </c>
      <c r="K1021">
        <v>2400</v>
      </c>
      <c r="L1021">
        <v>0</v>
      </c>
      <c r="M1021">
        <v>0</v>
      </c>
      <c r="N1021">
        <v>2400</v>
      </c>
    </row>
    <row r="1022" spans="1:14" x14ac:dyDescent="0.25">
      <c r="A1022">
        <v>453.04667899999998</v>
      </c>
      <c r="B1022" s="1">
        <f>DATE(2011,7,28) + TIME(1,7,13)</f>
        <v>40752.046678240738</v>
      </c>
      <c r="C1022">
        <v>80</v>
      </c>
      <c r="D1022">
        <v>79.953239440999994</v>
      </c>
      <c r="E1022">
        <v>50</v>
      </c>
      <c r="F1022">
        <v>44.353839874000002</v>
      </c>
      <c r="G1022">
        <v>1344.4111327999999</v>
      </c>
      <c r="H1022">
        <v>1340.8756103999999</v>
      </c>
      <c r="I1022">
        <v>1321.1719971</v>
      </c>
      <c r="J1022">
        <v>1316.9820557</v>
      </c>
      <c r="K1022">
        <v>2400</v>
      </c>
      <c r="L1022">
        <v>0</v>
      </c>
      <c r="M1022">
        <v>0</v>
      </c>
      <c r="N1022">
        <v>2400</v>
      </c>
    </row>
    <row r="1023" spans="1:14" x14ac:dyDescent="0.25">
      <c r="A1023">
        <v>454.354739</v>
      </c>
      <c r="B1023" s="1">
        <f>DATE(2011,7,29) + TIME(8,30,49)</f>
        <v>40753.354733796295</v>
      </c>
      <c r="C1023">
        <v>80</v>
      </c>
      <c r="D1023">
        <v>79.953231811999999</v>
      </c>
      <c r="E1023">
        <v>50</v>
      </c>
      <c r="F1023">
        <v>44.295612335000001</v>
      </c>
      <c r="G1023">
        <v>1344.3969727000001</v>
      </c>
      <c r="H1023">
        <v>1340.8664550999999</v>
      </c>
      <c r="I1023">
        <v>1321.1403809000001</v>
      </c>
      <c r="J1023">
        <v>1316.9342041</v>
      </c>
      <c r="K1023">
        <v>2400</v>
      </c>
      <c r="L1023">
        <v>0</v>
      </c>
      <c r="M1023">
        <v>0</v>
      </c>
      <c r="N1023">
        <v>2400</v>
      </c>
    </row>
    <row r="1024" spans="1:14" x14ac:dyDescent="0.25">
      <c r="A1024">
        <v>455.67755799999998</v>
      </c>
      <c r="B1024" s="1">
        <f>DATE(2011,7,30) + TIME(16,15,41)</f>
        <v>40754.677557870367</v>
      </c>
      <c r="C1024">
        <v>80</v>
      </c>
      <c r="D1024">
        <v>79.953231811999999</v>
      </c>
      <c r="E1024">
        <v>50</v>
      </c>
      <c r="F1024">
        <v>44.236976624</v>
      </c>
      <c r="G1024">
        <v>1344.3826904</v>
      </c>
      <c r="H1024">
        <v>1340.8572998</v>
      </c>
      <c r="I1024">
        <v>1321.1085204999999</v>
      </c>
      <c r="J1024">
        <v>1316.8858643000001</v>
      </c>
      <c r="K1024">
        <v>2400</v>
      </c>
      <c r="L1024">
        <v>0</v>
      </c>
      <c r="M1024">
        <v>0</v>
      </c>
      <c r="N1024">
        <v>2400</v>
      </c>
    </row>
    <row r="1025" spans="1:14" x14ac:dyDescent="0.25">
      <c r="A1025">
        <v>457</v>
      </c>
      <c r="B1025" s="1">
        <f>DATE(2011,8,1) + TIME(0,0,0)</f>
        <v>40756</v>
      </c>
      <c r="C1025">
        <v>80</v>
      </c>
      <c r="D1025">
        <v>79.953224182</v>
      </c>
      <c r="E1025">
        <v>50</v>
      </c>
      <c r="F1025">
        <v>44.178112030000001</v>
      </c>
      <c r="G1025">
        <v>1344.3685303</v>
      </c>
      <c r="H1025">
        <v>1340.8481445</v>
      </c>
      <c r="I1025">
        <v>1321.0762939000001</v>
      </c>
      <c r="J1025">
        <v>1316.8367920000001</v>
      </c>
      <c r="K1025">
        <v>2400</v>
      </c>
      <c r="L1025">
        <v>0</v>
      </c>
      <c r="M1025">
        <v>0</v>
      </c>
      <c r="N1025">
        <v>2400</v>
      </c>
    </row>
    <row r="1026" spans="1:14" x14ac:dyDescent="0.25">
      <c r="A1026">
        <v>458.342353</v>
      </c>
      <c r="B1026" s="1">
        <f>DATE(2011,8,2) + TIME(8,12,59)</f>
        <v>40757.342349537037</v>
      </c>
      <c r="C1026">
        <v>80</v>
      </c>
      <c r="D1026">
        <v>79.953224182</v>
      </c>
      <c r="E1026">
        <v>50</v>
      </c>
      <c r="F1026">
        <v>44.118927002</v>
      </c>
      <c r="G1026">
        <v>1344.3544922000001</v>
      </c>
      <c r="H1026">
        <v>1340.8389893000001</v>
      </c>
      <c r="I1026">
        <v>1321.0439452999999</v>
      </c>
      <c r="J1026">
        <v>1316.7872314000001</v>
      </c>
      <c r="K1026">
        <v>2400</v>
      </c>
      <c r="L1026">
        <v>0</v>
      </c>
      <c r="M1026">
        <v>0</v>
      </c>
      <c r="N1026">
        <v>2400</v>
      </c>
    </row>
    <row r="1027" spans="1:14" x14ac:dyDescent="0.25">
      <c r="A1027">
        <v>459.741871</v>
      </c>
      <c r="B1027" s="1">
        <f>DATE(2011,8,3) + TIME(17,48,17)</f>
        <v>40758.741863425923</v>
      </c>
      <c r="C1027">
        <v>80</v>
      </c>
      <c r="D1027">
        <v>79.953224182</v>
      </c>
      <c r="E1027">
        <v>50</v>
      </c>
      <c r="F1027">
        <v>44.058609009000001</v>
      </c>
      <c r="G1027">
        <v>1344.3404541</v>
      </c>
      <c r="H1027">
        <v>1340.8298339999999</v>
      </c>
      <c r="I1027">
        <v>1321.0112305</v>
      </c>
      <c r="J1027">
        <v>1316.7368164</v>
      </c>
      <c r="K1027">
        <v>2400</v>
      </c>
      <c r="L1027">
        <v>0</v>
      </c>
      <c r="M1027">
        <v>0</v>
      </c>
      <c r="N1027">
        <v>2400</v>
      </c>
    </row>
    <row r="1028" spans="1:14" x14ac:dyDescent="0.25">
      <c r="A1028">
        <v>461.15927099999999</v>
      </c>
      <c r="B1028" s="1">
        <f>DATE(2011,8,5) + TIME(3,49,20)</f>
        <v>40760.159259259257</v>
      </c>
      <c r="C1028">
        <v>80</v>
      </c>
      <c r="D1028">
        <v>79.953224182</v>
      </c>
      <c r="E1028">
        <v>50</v>
      </c>
      <c r="F1028">
        <v>43.997165680000002</v>
      </c>
      <c r="G1028">
        <v>1344.3260498</v>
      </c>
      <c r="H1028">
        <v>1340.8204346</v>
      </c>
      <c r="I1028">
        <v>1320.9772949000001</v>
      </c>
      <c r="J1028">
        <v>1316.6846923999999</v>
      </c>
      <c r="K1028">
        <v>2400</v>
      </c>
      <c r="L1028">
        <v>0</v>
      </c>
      <c r="M1028">
        <v>0</v>
      </c>
      <c r="N1028">
        <v>2400</v>
      </c>
    </row>
    <row r="1029" spans="1:14" x14ac:dyDescent="0.25">
      <c r="A1029">
        <v>462.60053499999998</v>
      </c>
      <c r="B1029" s="1">
        <f>DATE(2011,8,6) + TIME(14,24,46)</f>
        <v>40761.600532407407</v>
      </c>
      <c r="C1029">
        <v>80</v>
      </c>
      <c r="D1029">
        <v>79.953224182</v>
      </c>
      <c r="E1029">
        <v>50</v>
      </c>
      <c r="F1029">
        <v>43.935031891000001</v>
      </c>
      <c r="G1029">
        <v>1344.3115233999999</v>
      </c>
      <c r="H1029">
        <v>1340.8109131000001</v>
      </c>
      <c r="I1029">
        <v>1320.9428711</v>
      </c>
      <c r="J1029">
        <v>1316.6314697</v>
      </c>
      <c r="K1029">
        <v>2400</v>
      </c>
      <c r="L1029">
        <v>0</v>
      </c>
      <c r="M1029">
        <v>0</v>
      </c>
      <c r="N1029">
        <v>2400</v>
      </c>
    </row>
    <row r="1030" spans="1:14" x14ac:dyDescent="0.25">
      <c r="A1030">
        <v>464.069839</v>
      </c>
      <c r="B1030" s="1">
        <f>DATE(2011,8,8) + TIME(1,40,34)</f>
        <v>40763.069837962961</v>
      </c>
      <c r="C1030">
        <v>80</v>
      </c>
      <c r="D1030">
        <v>79.953231811999999</v>
      </c>
      <c r="E1030">
        <v>50</v>
      </c>
      <c r="F1030">
        <v>43.872352599999999</v>
      </c>
      <c r="G1030">
        <v>1344.2969971</v>
      </c>
      <c r="H1030">
        <v>1340.8012695</v>
      </c>
      <c r="I1030">
        <v>1320.9079589999999</v>
      </c>
      <c r="J1030">
        <v>1316.5771483999999</v>
      </c>
      <c r="K1030">
        <v>2400</v>
      </c>
      <c r="L1030">
        <v>0</v>
      </c>
      <c r="M1030">
        <v>0</v>
      </c>
      <c r="N1030">
        <v>2400</v>
      </c>
    </row>
    <row r="1031" spans="1:14" x14ac:dyDescent="0.25">
      <c r="A1031">
        <v>465.555769</v>
      </c>
      <c r="B1031" s="1">
        <f>DATE(2011,8,9) + TIME(13,20,18)</f>
        <v>40764.555763888886</v>
      </c>
      <c r="C1031">
        <v>80</v>
      </c>
      <c r="D1031">
        <v>79.953231811999999</v>
      </c>
      <c r="E1031">
        <v>50</v>
      </c>
      <c r="F1031">
        <v>43.809463501000003</v>
      </c>
      <c r="G1031">
        <v>1344.2823486</v>
      </c>
      <c r="H1031">
        <v>1340.791626</v>
      </c>
      <c r="I1031">
        <v>1320.8725586</v>
      </c>
      <c r="J1031">
        <v>1316.5217285000001</v>
      </c>
      <c r="K1031">
        <v>2400</v>
      </c>
      <c r="L1031">
        <v>0</v>
      </c>
      <c r="M1031">
        <v>0</v>
      </c>
      <c r="N1031">
        <v>2400</v>
      </c>
    </row>
    <row r="1032" spans="1:14" x14ac:dyDescent="0.25">
      <c r="A1032">
        <v>467.06142399999999</v>
      </c>
      <c r="B1032" s="1">
        <f>DATE(2011,8,11) + TIME(1,28,27)</f>
        <v>40766.061423611114</v>
      </c>
      <c r="C1032">
        <v>80</v>
      </c>
      <c r="D1032">
        <v>79.953239440999994</v>
      </c>
      <c r="E1032">
        <v>50</v>
      </c>
      <c r="F1032">
        <v>43.746742249</v>
      </c>
      <c r="G1032">
        <v>1344.2677002</v>
      </c>
      <c r="H1032">
        <v>1340.7818603999999</v>
      </c>
      <c r="I1032">
        <v>1320.8367920000001</v>
      </c>
      <c r="J1032">
        <v>1316.4656981999999</v>
      </c>
      <c r="K1032">
        <v>2400</v>
      </c>
      <c r="L1032">
        <v>0</v>
      </c>
      <c r="M1032">
        <v>0</v>
      </c>
      <c r="N1032">
        <v>2400</v>
      </c>
    </row>
    <row r="1033" spans="1:14" x14ac:dyDescent="0.25">
      <c r="A1033">
        <v>468.56883699999997</v>
      </c>
      <c r="B1033" s="1">
        <f>DATE(2011,8,12) + TIME(13,39,7)</f>
        <v>40767.568831018521</v>
      </c>
      <c r="C1033">
        <v>80</v>
      </c>
      <c r="D1033">
        <v>79.953239440999994</v>
      </c>
      <c r="E1033">
        <v>50</v>
      </c>
      <c r="F1033">
        <v>43.684803008999999</v>
      </c>
      <c r="G1033">
        <v>1344.2530518000001</v>
      </c>
      <c r="H1033">
        <v>1340.7720947</v>
      </c>
      <c r="I1033">
        <v>1320.8007812000001</v>
      </c>
      <c r="J1033">
        <v>1316.4088135</v>
      </c>
      <c r="K1033">
        <v>2400</v>
      </c>
      <c r="L1033">
        <v>0</v>
      </c>
      <c r="M1033">
        <v>0</v>
      </c>
      <c r="N1033">
        <v>2400</v>
      </c>
    </row>
    <row r="1034" spans="1:14" x14ac:dyDescent="0.25">
      <c r="A1034">
        <v>470.08406400000001</v>
      </c>
      <c r="B1034" s="1">
        <f>DATE(2011,8,14) + TIME(2,1,3)</f>
        <v>40769.084062499998</v>
      </c>
      <c r="C1034">
        <v>80</v>
      </c>
      <c r="D1034">
        <v>79.953247070000003</v>
      </c>
      <c r="E1034">
        <v>50</v>
      </c>
      <c r="F1034">
        <v>43.624259948999999</v>
      </c>
      <c r="G1034">
        <v>1344.2385254000001</v>
      </c>
      <c r="H1034">
        <v>1340.7624512</v>
      </c>
      <c r="I1034">
        <v>1320.7648925999999</v>
      </c>
      <c r="J1034">
        <v>1316.3518065999999</v>
      </c>
      <c r="K1034">
        <v>2400</v>
      </c>
      <c r="L1034">
        <v>0</v>
      </c>
      <c r="M1034">
        <v>0</v>
      </c>
      <c r="N1034">
        <v>2400</v>
      </c>
    </row>
    <row r="1035" spans="1:14" x14ac:dyDescent="0.25">
      <c r="A1035">
        <v>471.613653</v>
      </c>
      <c r="B1035" s="1">
        <f>DATE(2011,8,15) + TIME(14,43,39)</f>
        <v>40770.613645833335</v>
      </c>
      <c r="C1035">
        <v>80</v>
      </c>
      <c r="D1035">
        <v>79.953254700000002</v>
      </c>
      <c r="E1035">
        <v>50</v>
      </c>
      <c r="F1035">
        <v>43.565444946</v>
      </c>
      <c r="G1035">
        <v>1344.2241211</v>
      </c>
      <c r="H1035">
        <v>1340.7528076000001</v>
      </c>
      <c r="I1035">
        <v>1320.729126</v>
      </c>
      <c r="J1035">
        <v>1316.2946777</v>
      </c>
      <c r="K1035">
        <v>2400</v>
      </c>
      <c r="L1035">
        <v>0</v>
      </c>
      <c r="M1035">
        <v>0</v>
      </c>
      <c r="N1035">
        <v>2400</v>
      </c>
    </row>
    <row r="1036" spans="1:14" x14ac:dyDescent="0.25">
      <c r="A1036">
        <v>473.163726</v>
      </c>
      <c r="B1036" s="1">
        <f>DATE(2011,8,17) + TIME(3,55,45)</f>
        <v>40772.163715277777</v>
      </c>
      <c r="C1036">
        <v>80</v>
      </c>
      <c r="D1036">
        <v>79.953262328999998</v>
      </c>
      <c r="E1036">
        <v>50</v>
      </c>
      <c r="F1036">
        <v>43.508663177000003</v>
      </c>
      <c r="G1036">
        <v>1344.2097168</v>
      </c>
      <c r="H1036">
        <v>1340.7430420000001</v>
      </c>
      <c r="I1036">
        <v>1320.6932373</v>
      </c>
      <c r="J1036">
        <v>1316.2370605000001</v>
      </c>
      <c r="K1036">
        <v>2400</v>
      </c>
      <c r="L1036">
        <v>0</v>
      </c>
      <c r="M1036">
        <v>0</v>
      </c>
      <c r="N1036">
        <v>2400</v>
      </c>
    </row>
    <row r="1037" spans="1:14" x14ac:dyDescent="0.25">
      <c r="A1037">
        <v>474.74043399999999</v>
      </c>
      <c r="B1037" s="1">
        <f>DATE(2011,8,18) + TIME(17,46,13)</f>
        <v>40773.740428240744</v>
      </c>
      <c r="C1037">
        <v>80</v>
      </c>
      <c r="D1037">
        <v>79.953269958000007</v>
      </c>
      <c r="E1037">
        <v>50</v>
      </c>
      <c r="F1037">
        <v>43.454326629999997</v>
      </c>
      <c r="G1037">
        <v>1344.1953125</v>
      </c>
      <c r="H1037">
        <v>1340.7332764</v>
      </c>
      <c r="I1037">
        <v>1320.6574707</v>
      </c>
      <c r="J1037">
        <v>1316.1790771000001</v>
      </c>
      <c r="K1037">
        <v>2400</v>
      </c>
      <c r="L1037">
        <v>0</v>
      </c>
      <c r="M1037">
        <v>0</v>
      </c>
      <c r="N1037">
        <v>2400</v>
      </c>
    </row>
    <row r="1038" spans="1:14" x14ac:dyDescent="0.25">
      <c r="A1038">
        <v>476.33457099999998</v>
      </c>
      <c r="B1038" s="1">
        <f>DATE(2011,8,20) + TIME(8,1,46)</f>
        <v>40775.334560185183</v>
      </c>
      <c r="C1038">
        <v>80</v>
      </c>
      <c r="D1038">
        <v>79.953285217000001</v>
      </c>
      <c r="E1038">
        <v>50</v>
      </c>
      <c r="F1038">
        <v>43.403274535999998</v>
      </c>
      <c r="G1038">
        <v>1344.1807861</v>
      </c>
      <c r="H1038">
        <v>1340.7235106999999</v>
      </c>
      <c r="I1038">
        <v>1320.6214600000001</v>
      </c>
      <c r="J1038">
        <v>1316.1204834</v>
      </c>
      <c r="K1038">
        <v>2400</v>
      </c>
      <c r="L1038">
        <v>0</v>
      </c>
      <c r="M1038">
        <v>0</v>
      </c>
      <c r="N1038">
        <v>2400</v>
      </c>
    </row>
    <row r="1039" spans="1:14" x14ac:dyDescent="0.25">
      <c r="A1039">
        <v>477.95016299999997</v>
      </c>
      <c r="B1039" s="1">
        <f>DATE(2011,8,21) + TIME(22,48,14)</f>
        <v>40776.950162037036</v>
      </c>
      <c r="C1039">
        <v>80</v>
      </c>
      <c r="D1039">
        <v>79.953292847</v>
      </c>
      <c r="E1039">
        <v>50</v>
      </c>
      <c r="F1039">
        <v>43.356391907000003</v>
      </c>
      <c r="G1039">
        <v>1344.1663818</v>
      </c>
      <c r="H1039">
        <v>1340.7136230000001</v>
      </c>
      <c r="I1039">
        <v>1320.5854492000001</v>
      </c>
      <c r="J1039">
        <v>1316.0615233999999</v>
      </c>
      <c r="K1039">
        <v>2400</v>
      </c>
      <c r="L1039">
        <v>0</v>
      </c>
      <c r="M1039">
        <v>0</v>
      </c>
      <c r="N1039">
        <v>2400</v>
      </c>
    </row>
    <row r="1040" spans="1:14" x14ac:dyDescent="0.25">
      <c r="A1040">
        <v>479.593999</v>
      </c>
      <c r="B1040" s="1">
        <f>DATE(2011,8,23) + TIME(14,15,21)</f>
        <v>40778.593993055554</v>
      </c>
      <c r="C1040">
        <v>80</v>
      </c>
      <c r="D1040">
        <v>79.953308105000005</v>
      </c>
      <c r="E1040">
        <v>50</v>
      </c>
      <c r="F1040">
        <v>43.314620972</v>
      </c>
      <c r="G1040">
        <v>1344.1518555</v>
      </c>
      <c r="H1040">
        <v>1340.7037353999999</v>
      </c>
      <c r="I1040">
        <v>1320.5496826000001</v>
      </c>
      <c r="J1040">
        <v>1316.0023193</v>
      </c>
      <c r="K1040">
        <v>2400</v>
      </c>
      <c r="L1040">
        <v>0</v>
      </c>
      <c r="M1040">
        <v>0</v>
      </c>
      <c r="N1040">
        <v>2400</v>
      </c>
    </row>
    <row r="1041" spans="1:14" x14ac:dyDescent="0.25">
      <c r="A1041">
        <v>481.27355299999999</v>
      </c>
      <c r="B1041" s="1">
        <f>DATE(2011,8,25) + TIME(6,33,54)</f>
        <v>40780.273541666669</v>
      </c>
      <c r="C1041">
        <v>80</v>
      </c>
      <c r="D1041">
        <v>79.953323363999999</v>
      </c>
      <c r="E1041">
        <v>50</v>
      </c>
      <c r="F1041">
        <v>43.279098511000001</v>
      </c>
      <c r="G1041">
        <v>1344.137207</v>
      </c>
      <c r="H1041">
        <v>1340.6936035000001</v>
      </c>
      <c r="I1041">
        <v>1320.5137939000001</v>
      </c>
      <c r="J1041">
        <v>1315.9426269999999</v>
      </c>
      <c r="K1041">
        <v>2400</v>
      </c>
      <c r="L1041">
        <v>0</v>
      </c>
      <c r="M1041">
        <v>0</v>
      </c>
      <c r="N1041">
        <v>2400</v>
      </c>
    </row>
    <row r="1042" spans="1:14" x14ac:dyDescent="0.25">
      <c r="A1042">
        <v>482.98871400000002</v>
      </c>
      <c r="B1042" s="1">
        <f>DATE(2011,8,26) + TIME(23,43,44)</f>
        <v>40781.988703703704</v>
      </c>
      <c r="C1042">
        <v>80</v>
      </c>
      <c r="D1042">
        <v>79.953338622999993</v>
      </c>
      <c r="E1042">
        <v>50</v>
      </c>
      <c r="F1042">
        <v>43.251308440999999</v>
      </c>
      <c r="G1042">
        <v>1344.1224365</v>
      </c>
      <c r="H1042">
        <v>1340.6834716999999</v>
      </c>
      <c r="I1042">
        <v>1320.4779053</v>
      </c>
      <c r="J1042">
        <v>1315.8825684000001</v>
      </c>
      <c r="K1042">
        <v>2400</v>
      </c>
      <c r="L1042">
        <v>0</v>
      </c>
      <c r="M1042">
        <v>0</v>
      </c>
      <c r="N1042">
        <v>2400</v>
      </c>
    </row>
    <row r="1043" spans="1:14" x14ac:dyDescent="0.25">
      <c r="A1043">
        <v>484.72062699999998</v>
      </c>
      <c r="B1043" s="1">
        <f>DATE(2011,8,28) + TIME(17,17,42)</f>
        <v>40783.720625000002</v>
      </c>
      <c r="C1043">
        <v>80</v>
      </c>
      <c r="D1043">
        <v>79.953353882000002</v>
      </c>
      <c r="E1043">
        <v>50</v>
      </c>
      <c r="F1043">
        <v>43.233036040999998</v>
      </c>
      <c r="G1043">
        <v>1344.1075439000001</v>
      </c>
      <c r="H1043">
        <v>1340.6730957</v>
      </c>
      <c r="I1043">
        <v>1320.4421387</v>
      </c>
      <c r="J1043">
        <v>1315.8221435999999</v>
      </c>
      <c r="K1043">
        <v>2400</v>
      </c>
      <c r="L1043">
        <v>0</v>
      </c>
      <c r="M1043">
        <v>0</v>
      </c>
      <c r="N1043">
        <v>2400</v>
      </c>
    </row>
    <row r="1044" spans="1:14" x14ac:dyDescent="0.25">
      <c r="A1044">
        <v>486.47480400000001</v>
      </c>
      <c r="B1044" s="1">
        <f>DATE(2011,8,30) + TIME(11,23,43)</f>
        <v>40785.474803240744</v>
      </c>
      <c r="C1044">
        <v>80</v>
      </c>
      <c r="D1044">
        <v>79.953369140999996</v>
      </c>
      <c r="E1044">
        <v>50</v>
      </c>
      <c r="F1044">
        <v>43.226287841999998</v>
      </c>
      <c r="G1044">
        <v>1344.0926514</v>
      </c>
      <c r="H1044">
        <v>1340.6628418</v>
      </c>
      <c r="I1044">
        <v>1320.4068603999999</v>
      </c>
      <c r="J1044">
        <v>1315.7619629000001</v>
      </c>
      <c r="K1044">
        <v>2400</v>
      </c>
      <c r="L1044">
        <v>0</v>
      </c>
      <c r="M1044">
        <v>0</v>
      </c>
      <c r="N1044">
        <v>2400</v>
      </c>
    </row>
    <row r="1045" spans="1:14" x14ac:dyDescent="0.25">
      <c r="A1045">
        <v>488</v>
      </c>
      <c r="B1045" s="1">
        <f>DATE(2011,9,1) + TIME(0,0,0)</f>
        <v>40787</v>
      </c>
      <c r="C1045">
        <v>80</v>
      </c>
      <c r="D1045">
        <v>79.953376770000006</v>
      </c>
      <c r="E1045">
        <v>50</v>
      </c>
      <c r="F1045">
        <v>43.232913971000002</v>
      </c>
      <c r="G1045">
        <v>1344.0777588000001</v>
      </c>
      <c r="H1045">
        <v>1340.6523437999999</v>
      </c>
      <c r="I1045">
        <v>1320.3725586</v>
      </c>
      <c r="J1045">
        <v>1315.7032471</v>
      </c>
      <c r="K1045">
        <v>2400</v>
      </c>
      <c r="L1045">
        <v>0</v>
      </c>
      <c r="M1045">
        <v>0</v>
      </c>
      <c r="N1045">
        <v>2400</v>
      </c>
    </row>
    <row r="1046" spans="1:14" x14ac:dyDescent="0.25">
      <c r="A1046">
        <v>489.76237900000001</v>
      </c>
      <c r="B1046" s="1">
        <f>DATE(2011,9,2) + TIME(18,17,49)</f>
        <v>40788.762372685182</v>
      </c>
      <c r="C1046">
        <v>80</v>
      </c>
      <c r="D1046">
        <v>79.953407287999994</v>
      </c>
      <c r="E1046">
        <v>50</v>
      </c>
      <c r="F1046">
        <v>43.253143311000002</v>
      </c>
      <c r="G1046">
        <v>1344.0649414</v>
      </c>
      <c r="H1046">
        <v>1340.6433105000001</v>
      </c>
      <c r="I1046">
        <v>1320.3415527</v>
      </c>
      <c r="J1046">
        <v>1315.6496582</v>
      </c>
      <c r="K1046">
        <v>2400</v>
      </c>
      <c r="L1046">
        <v>0</v>
      </c>
      <c r="M1046">
        <v>0</v>
      </c>
      <c r="N1046">
        <v>2400</v>
      </c>
    </row>
    <row r="1047" spans="1:14" x14ac:dyDescent="0.25">
      <c r="A1047">
        <v>491.56259</v>
      </c>
      <c r="B1047" s="1">
        <f>DATE(2011,9,4) + TIME(13,30,7)</f>
        <v>40790.562581018516</v>
      </c>
      <c r="C1047">
        <v>80</v>
      </c>
      <c r="D1047">
        <v>79.953422545999999</v>
      </c>
      <c r="E1047">
        <v>50</v>
      </c>
      <c r="F1047">
        <v>43.291454315000003</v>
      </c>
      <c r="G1047">
        <v>1344.0501709</v>
      </c>
      <c r="H1047">
        <v>1340.6330565999999</v>
      </c>
      <c r="I1047">
        <v>1320.309082</v>
      </c>
      <c r="J1047">
        <v>1315.5932617000001</v>
      </c>
      <c r="K1047">
        <v>2400</v>
      </c>
      <c r="L1047">
        <v>0</v>
      </c>
      <c r="M1047">
        <v>0</v>
      </c>
      <c r="N1047">
        <v>2400</v>
      </c>
    </row>
    <row r="1048" spans="1:14" x14ac:dyDescent="0.25">
      <c r="A1048">
        <v>493.37554899999998</v>
      </c>
      <c r="B1048" s="1">
        <f>DATE(2011,9,6) + TIME(9,0,47)</f>
        <v>40792.375543981485</v>
      </c>
      <c r="C1048">
        <v>80</v>
      </c>
      <c r="D1048">
        <v>79.953445435000006</v>
      </c>
      <c r="E1048">
        <v>50</v>
      </c>
      <c r="F1048">
        <v>43.350387572999999</v>
      </c>
      <c r="G1048">
        <v>1344.0354004000001</v>
      </c>
      <c r="H1048">
        <v>1340.6225586</v>
      </c>
      <c r="I1048">
        <v>1320.2768555</v>
      </c>
      <c r="J1048">
        <v>1315.5367432</v>
      </c>
      <c r="K1048">
        <v>2400</v>
      </c>
      <c r="L1048">
        <v>0</v>
      </c>
      <c r="M1048">
        <v>0</v>
      </c>
      <c r="N1048">
        <v>2400</v>
      </c>
    </row>
    <row r="1049" spans="1:14" x14ac:dyDescent="0.25">
      <c r="A1049">
        <v>495.20604700000001</v>
      </c>
      <c r="B1049" s="1">
        <f>DATE(2011,9,8) + TIME(4,56,42)</f>
        <v>40794.206041666665</v>
      </c>
      <c r="C1049">
        <v>80</v>
      </c>
      <c r="D1049">
        <v>79.953468322999996</v>
      </c>
      <c r="E1049">
        <v>50</v>
      </c>
      <c r="F1049">
        <v>43.432216644</v>
      </c>
      <c r="G1049">
        <v>1344.0206298999999</v>
      </c>
      <c r="H1049">
        <v>1340.6120605000001</v>
      </c>
      <c r="I1049">
        <v>1320.2452393000001</v>
      </c>
      <c r="J1049">
        <v>1315.4814452999999</v>
      </c>
      <c r="K1049">
        <v>2400</v>
      </c>
      <c r="L1049">
        <v>0</v>
      </c>
      <c r="M1049">
        <v>0</v>
      </c>
      <c r="N1049">
        <v>2400</v>
      </c>
    </row>
    <row r="1050" spans="1:14" x14ac:dyDescent="0.25">
      <c r="A1050">
        <v>497.06287099999997</v>
      </c>
      <c r="B1050" s="1">
        <f>DATE(2011,9,10) + TIME(1,30,32)</f>
        <v>40796.06287037037</v>
      </c>
      <c r="C1050">
        <v>80</v>
      </c>
      <c r="D1050">
        <v>79.953491210999999</v>
      </c>
      <c r="E1050">
        <v>50</v>
      </c>
      <c r="F1050">
        <v>43.539520263999997</v>
      </c>
      <c r="G1050">
        <v>1344.0058594</v>
      </c>
      <c r="H1050">
        <v>1340.6015625</v>
      </c>
      <c r="I1050">
        <v>1320.2145995999999</v>
      </c>
      <c r="J1050">
        <v>1315.4274902</v>
      </c>
      <c r="K1050">
        <v>2400</v>
      </c>
      <c r="L1050">
        <v>0</v>
      </c>
      <c r="M1050">
        <v>0</v>
      </c>
      <c r="N1050">
        <v>2400</v>
      </c>
    </row>
    <row r="1051" spans="1:14" x14ac:dyDescent="0.25">
      <c r="A1051">
        <v>498.95468299999999</v>
      </c>
      <c r="B1051" s="1">
        <f>DATE(2011,9,11) + TIME(22,54,44)</f>
        <v>40797.954675925925</v>
      </c>
      <c r="C1051">
        <v>80</v>
      </c>
      <c r="D1051">
        <v>79.953521729000002</v>
      </c>
      <c r="E1051">
        <v>50</v>
      </c>
      <c r="F1051">
        <v>43.675197601000001</v>
      </c>
      <c r="G1051">
        <v>1343.9909668</v>
      </c>
      <c r="H1051">
        <v>1340.5909423999999</v>
      </c>
      <c r="I1051">
        <v>1320.1848144999999</v>
      </c>
      <c r="J1051">
        <v>1315.375</v>
      </c>
      <c r="K1051">
        <v>2400</v>
      </c>
      <c r="L1051">
        <v>0</v>
      </c>
      <c r="M1051">
        <v>0</v>
      </c>
      <c r="N1051">
        <v>2400</v>
      </c>
    </row>
    <row r="1052" spans="1:14" x14ac:dyDescent="0.25">
      <c r="A1052">
        <v>500.88394699999998</v>
      </c>
      <c r="B1052" s="1">
        <f>DATE(2011,9,13) + TIME(21,12,53)</f>
        <v>40799.883946759262</v>
      </c>
      <c r="C1052">
        <v>80</v>
      </c>
      <c r="D1052">
        <v>79.953544617000006</v>
      </c>
      <c r="E1052">
        <v>50</v>
      </c>
      <c r="F1052">
        <v>43.842258452999999</v>
      </c>
      <c r="G1052">
        <v>1343.9760742000001</v>
      </c>
      <c r="H1052">
        <v>1340.5802002</v>
      </c>
      <c r="I1052">
        <v>1320.1557617000001</v>
      </c>
      <c r="J1052">
        <v>1315.3239745999999</v>
      </c>
      <c r="K1052">
        <v>2400</v>
      </c>
      <c r="L1052">
        <v>0</v>
      </c>
      <c r="M1052">
        <v>0</v>
      </c>
      <c r="N1052">
        <v>2400</v>
      </c>
    </row>
    <row r="1053" spans="1:14" x14ac:dyDescent="0.25">
      <c r="A1053">
        <v>502.84233899999998</v>
      </c>
      <c r="B1053" s="1">
        <f>DATE(2011,9,15) + TIME(20,12,58)</f>
        <v>40801.84233796296</v>
      </c>
      <c r="C1053">
        <v>80</v>
      </c>
      <c r="D1053">
        <v>79.953575134000005</v>
      </c>
      <c r="E1053">
        <v>50</v>
      </c>
      <c r="F1053">
        <v>44.043098450000002</v>
      </c>
      <c r="G1053">
        <v>1343.9609375</v>
      </c>
      <c r="H1053">
        <v>1340.5693358999999</v>
      </c>
      <c r="I1053">
        <v>1320.1276855000001</v>
      </c>
      <c r="J1053">
        <v>1315.2746582</v>
      </c>
      <c r="K1053">
        <v>2400</v>
      </c>
      <c r="L1053">
        <v>0</v>
      </c>
      <c r="M1053">
        <v>0</v>
      </c>
      <c r="N1053">
        <v>2400</v>
      </c>
    </row>
    <row r="1054" spans="1:14" x14ac:dyDescent="0.25">
      <c r="A1054">
        <v>504.84111799999999</v>
      </c>
      <c r="B1054" s="1">
        <f>DATE(2011,9,17) + TIME(20,11,12)</f>
        <v>40803.841111111113</v>
      </c>
      <c r="C1054">
        <v>80</v>
      </c>
      <c r="D1054">
        <v>79.953605651999993</v>
      </c>
      <c r="E1054">
        <v>50</v>
      </c>
      <c r="F1054">
        <v>44.279396057</v>
      </c>
      <c r="G1054">
        <v>1343.9458007999999</v>
      </c>
      <c r="H1054">
        <v>1340.5583495999999</v>
      </c>
      <c r="I1054">
        <v>1320.1004639</v>
      </c>
      <c r="J1054">
        <v>1315.2274170000001</v>
      </c>
      <c r="K1054">
        <v>2400</v>
      </c>
      <c r="L1054">
        <v>0</v>
      </c>
      <c r="M1054">
        <v>0</v>
      </c>
      <c r="N1054">
        <v>2400</v>
      </c>
    </row>
    <row r="1055" spans="1:14" x14ac:dyDescent="0.25">
      <c r="A1055">
        <v>506.880314</v>
      </c>
      <c r="B1055" s="1">
        <f>DATE(2011,9,19) + TIME(21,7,39)</f>
        <v>40805.880312499998</v>
      </c>
      <c r="C1055">
        <v>80</v>
      </c>
      <c r="D1055">
        <v>79.953636169000006</v>
      </c>
      <c r="E1055">
        <v>50</v>
      </c>
      <c r="F1055">
        <v>44.552906036000003</v>
      </c>
      <c r="G1055">
        <v>1343.9305420000001</v>
      </c>
      <c r="H1055">
        <v>1340.5472411999999</v>
      </c>
      <c r="I1055">
        <v>1320.0740966999999</v>
      </c>
      <c r="J1055">
        <v>1315.182251</v>
      </c>
      <c r="K1055">
        <v>2400</v>
      </c>
      <c r="L1055">
        <v>0</v>
      </c>
      <c r="M1055">
        <v>0</v>
      </c>
      <c r="N1055">
        <v>2400</v>
      </c>
    </row>
    <row r="1056" spans="1:14" x14ac:dyDescent="0.25">
      <c r="A1056">
        <v>508.93650600000001</v>
      </c>
      <c r="B1056" s="1">
        <f>DATE(2011,9,21) + TIME(22,28,34)</f>
        <v>40807.93650462963</v>
      </c>
      <c r="C1056">
        <v>80</v>
      </c>
      <c r="D1056">
        <v>79.953666686999995</v>
      </c>
      <c r="E1056">
        <v>50</v>
      </c>
      <c r="F1056">
        <v>44.863201140999998</v>
      </c>
      <c r="G1056">
        <v>1343.9151611</v>
      </c>
      <c r="H1056">
        <v>1340.5360106999999</v>
      </c>
      <c r="I1056">
        <v>1320.0488281</v>
      </c>
      <c r="J1056">
        <v>1315.1392822</v>
      </c>
      <c r="K1056">
        <v>2400</v>
      </c>
      <c r="L1056">
        <v>0</v>
      </c>
      <c r="M1056">
        <v>0</v>
      </c>
      <c r="N1056">
        <v>2400</v>
      </c>
    </row>
    <row r="1057" spans="1:14" x14ac:dyDescent="0.25">
      <c r="A1057">
        <v>511.03158400000001</v>
      </c>
      <c r="B1057" s="1">
        <f>DATE(2011,9,24) + TIME(0,45,28)</f>
        <v>40810.031574074077</v>
      </c>
      <c r="C1057">
        <v>80</v>
      </c>
      <c r="D1057">
        <v>79.953704834000007</v>
      </c>
      <c r="E1057">
        <v>50</v>
      </c>
      <c r="F1057">
        <v>45.207798003999997</v>
      </c>
      <c r="G1057">
        <v>1343.8997803</v>
      </c>
      <c r="H1057">
        <v>1340.5247803</v>
      </c>
      <c r="I1057">
        <v>1320.0244141000001</v>
      </c>
      <c r="J1057">
        <v>1315.098999</v>
      </c>
      <c r="K1057">
        <v>2400</v>
      </c>
      <c r="L1057">
        <v>0</v>
      </c>
      <c r="M1057">
        <v>0</v>
      </c>
      <c r="N1057">
        <v>2400</v>
      </c>
    </row>
    <row r="1058" spans="1:14" x14ac:dyDescent="0.25">
      <c r="A1058">
        <v>513.12933199999998</v>
      </c>
      <c r="B1058" s="1">
        <f>DATE(2011,9,26) + TIME(3,6,14)</f>
        <v>40812.129328703704</v>
      </c>
      <c r="C1058">
        <v>80</v>
      </c>
      <c r="D1058">
        <v>79.953735351999995</v>
      </c>
      <c r="E1058">
        <v>50</v>
      </c>
      <c r="F1058">
        <v>45.583866119</v>
      </c>
      <c r="G1058">
        <v>1343.8843993999999</v>
      </c>
      <c r="H1058">
        <v>1340.5135498</v>
      </c>
      <c r="I1058">
        <v>1320.0013428</v>
      </c>
      <c r="J1058">
        <v>1315.0611572</v>
      </c>
      <c r="K1058">
        <v>2400</v>
      </c>
      <c r="L1058">
        <v>0</v>
      </c>
      <c r="M1058">
        <v>0</v>
      </c>
      <c r="N1058">
        <v>2400</v>
      </c>
    </row>
    <row r="1059" spans="1:14" x14ac:dyDescent="0.25">
      <c r="A1059">
        <v>515.24267699999996</v>
      </c>
      <c r="B1059" s="1">
        <f>DATE(2011,9,28) + TIME(5,49,27)</f>
        <v>40814.242673611108</v>
      </c>
      <c r="C1059">
        <v>80</v>
      </c>
      <c r="D1059">
        <v>79.953773498999993</v>
      </c>
      <c r="E1059">
        <v>50</v>
      </c>
      <c r="F1059">
        <v>45.984714508000003</v>
      </c>
      <c r="G1059">
        <v>1343.8691406</v>
      </c>
      <c r="H1059">
        <v>1340.5023193</v>
      </c>
      <c r="I1059">
        <v>1319.9793701000001</v>
      </c>
      <c r="J1059">
        <v>1315.0263672000001</v>
      </c>
      <c r="K1059">
        <v>2400</v>
      </c>
      <c r="L1059">
        <v>0</v>
      </c>
      <c r="M1059">
        <v>0</v>
      </c>
      <c r="N1059">
        <v>2400</v>
      </c>
    </row>
    <row r="1060" spans="1:14" x14ac:dyDescent="0.25">
      <c r="A1060">
        <v>517.38266499999997</v>
      </c>
      <c r="B1060" s="1">
        <f>DATE(2011,9,30) + TIME(9,11,2)</f>
        <v>40816.382662037038</v>
      </c>
      <c r="C1060">
        <v>80</v>
      </c>
      <c r="D1060">
        <v>79.953811646000005</v>
      </c>
      <c r="E1060">
        <v>50</v>
      </c>
      <c r="F1060">
        <v>46.407043457</v>
      </c>
      <c r="G1060">
        <v>1343.8540039</v>
      </c>
      <c r="H1060">
        <v>1340.4912108999999</v>
      </c>
      <c r="I1060">
        <v>1319.9584961</v>
      </c>
      <c r="J1060">
        <v>1314.9942627</v>
      </c>
      <c r="K1060">
        <v>2400</v>
      </c>
      <c r="L1060">
        <v>0</v>
      </c>
      <c r="M1060">
        <v>0</v>
      </c>
      <c r="N1060">
        <v>2400</v>
      </c>
    </row>
    <row r="1061" spans="1:14" x14ac:dyDescent="0.25">
      <c r="A1061">
        <v>518</v>
      </c>
      <c r="B1061" s="1">
        <f>DATE(2011,10,1) + TIME(0,0,0)</f>
        <v>40817</v>
      </c>
      <c r="C1061">
        <v>80</v>
      </c>
      <c r="D1061">
        <v>79.953796386999997</v>
      </c>
      <c r="E1061">
        <v>50</v>
      </c>
      <c r="F1061">
        <v>46.682502747000001</v>
      </c>
      <c r="G1061">
        <v>1343.8389893000001</v>
      </c>
      <c r="H1061">
        <v>1340.4801024999999</v>
      </c>
      <c r="I1061">
        <v>1319.9492187999999</v>
      </c>
      <c r="J1061">
        <v>1314.9698486</v>
      </c>
      <c r="K1061">
        <v>2400</v>
      </c>
      <c r="L1061">
        <v>0</v>
      </c>
      <c r="M1061">
        <v>0</v>
      </c>
      <c r="N1061">
        <v>2400</v>
      </c>
    </row>
    <row r="1062" spans="1:14" x14ac:dyDescent="0.25">
      <c r="A1062">
        <v>520.17092400000001</v>
      </c>
      <c r="B1062" s="1">
        <f>DATE(2011,10,3) + TIME(4,6,7)</f>
        <v>40819.170914351853</v>
      </c>
      <c r="C1062">
        <v>80</v>
      </c>
      <c r="D1062">
        <v>79.953849792</v>
      </c>
      <c r="E1062">
        <v>50</v>
      </c>
      <c r="F1062">
        <v>47.012928008999999</v>
      </c>
      <c r="G1062">
        <v>1343.8345947</v>
      </c>
      <c r="H1062">
        <v>1340.4768065999999</v>
      </c>
      <c r="I1062">
        <v>1319.9307861</v>
      </c>
      <c r="J1062">
        <v>1314.9552002</v>
      </c>
      <c r="K1062">
        <v>2400</v>
      </c>
      <c r="L1062">
        <v>0</v>
      </c>
      <c r="M1062">
        <v>0</v>
      </c>
      <c r="N1062">
        <v>2400</v>
      </c>
    </row>
    <row r="1063" spans="1:14" x14ac:dyDescent="0.25">
      <c r="A1063">
        <v>522.39642300000003</v>
      </c>
      <c r="B1063" s="1">
        <f>DATE(2011,10,5) + TIME(9,30,50)</f>
        <v>40821.396412037036</v>
      </c>
      <c r="C1063">
        <v>80</v>
      </c>
      <c r="D1063">
        <v>79.953895568999997</v>
      </c>
      <c r="E1063">
        <v>50</v>
      </c>
      <c r="F1063">
        <v>47.444046020999998</v>
      </c>
      <c r="G1063">
        <v>1343.8197021000001</v>
      </c>
      <c r="H1063">
        <v>1340.4656981999999</v>
      </c>
      <c r="I1063">
        <v>1319.9143065999999</v>
      </c>
      <c r="J1063">
        <v>1314.9294434000001</v>
      </c>
      <c r="K1063">
        <v>2400</v>
      </c>
      <c r="L1063">
        <v>0</v>
      </c>
      <c r="M1063">
        <v>0</v>
      </c>
      <c r="N1063">
        <v>2400</v>
      </c>
    </row>
    <row r="1064" spans="1:14" x14ac:dyDescent="0.25">
      <c r="A1064">
        <v>524.65175899999997</v>
      </c>
      <c r="B1064" s="1">
        <f>DATE(2011,10,7) + TIME(15,38,31)</f>
        <v>40823.651747685188</v>
      </c>
      <c r="C1064">
        <v>80</v>
      </c>
      <c r="D1064">
        <v>79.953941345000004</v>
      </c>
      <c r="E1064">
        <v>50</v>
      </c>
      <c r="F1064">
        <v>47.908718108999999</v>
      </c>
      <c r="G1064">
        <v>1343.8045654</v>
      </c>
      <c r="H1064">
        <v>1340.4544678</v>
      </c>
      <c r="I1064">
        <v>1319.8974608999999</v>
      </c>
      <c r="J1064">
        <v>1314.9049072</v>
      </c>
      <c r="K1064">
        <v>2400</v>
      </c>
      <c r="L1064">
        <v>0</v>
      </c>
      <c r="M1064">
        <v>0</v>
      </c>
      <c r="N1064">
        <v>2400</v>
      </c>
    </row>
    <row r="1065" spans="1:14" x14ac:dyDescent="0.25">
      <c r="A1065">
        <v>526.93535599999996</v>
      </c>
      <c r="B1065" s="1">
        <f>DATE(2011,10,9) + TIME(22,26,54)</f>
        <v>40825.935347222221</v>
      </c>
      <c r="C1065">
        <v>80</v>
      </c>
      <c r="D1065">
        <v>79.953979492000002</v>
      </c>
      <c r="E1065">
        <v>50</v>
      </c>
      <c r="F1065">
        <v>48.384357452000003</v>
      </c>
      <c r="G1065">
        <v>1343.7894286999999</v>
      </c>
      <c r="H1065">
        <v>1340.4432373</v>
      </c>
      <c r="I1065">
        <v>1319.8811035000001</v>
      </c>
      <c r="J1065">
        <v>1314.8820800999999</v>
      </c>
      <c r="K1065">
        <v>2400</v>
      </c>
      <c r="L1065">
        <v>0</v>
      </c>
      <c r="M1065">
        <v>0</v>
      </c>
      <c r="N1065">
        <v>2400</v>
      </c>
    </row>
    <row r="1066" spans="1:14" x14ac:dyDescent="0.25">
      <c r="A1066">
        <v>529.26027799999997</v>
      </c>
      <c r="B1066" s="1">
        <f>DATE(2011,10,12) + TIME(6,14,48)</f>
        <v>40828.260277777779</v>
      </c>
      <c r="C1066">
        <v>80</v>
      </c>
      <c r="D1066">
        <v>79.954025268999999</v>
      </c>
      <c r="E1066">
        <v>50</v>
      </c>
      <c r="F1066">
        <v>48.862930298000002</v>
      </c>
      <c r="G1066">
        <v>1343.7744141000001</v>
      </c>
      <c r="H1066">
        <v>1340.4320068</v>
      </c>
      <c r="I1066">
        <v>1319.8656006000001</v>
      </c>
      <c r="J1066">
        <v>1314.8609618999999</v>
      </c>
      <c r="K1066">
        <v>2400</v>
      </c>
      <c r="L1066">
        <v>0</v>
      </c>
      <c r="M1066">
        <v>0</v>
      </c>
      <c r="N1066">
        <v>2400</v>
      </c>
    </row>
    <row r="1067" spans="1:14" x14ac:dyDescent="0.25">
      <c r="A1067">
        <v>531.639861</v>
      </c>
      <c r="B1067" s="1">
        <f>DATE(2011,10,14) + TIME(15,21,24)</f>
        <v>40830.639861111114</v>
      </c>
      <c r="C1067">
        <v>80</v>
      </c>
      <c r="D1067">
        <v>79.954071045000006</v>
      </c>
      <c r="E1067">
        <v>50</v>
      </c>
      <c r="F1067">
        <v>49.342521667</v>
      </c>
      <c r="G1067">
        <v>1343.7593993999999</v>
      </c>
      <c r="H1067">
        <v>1340.4208983999999</v>
      </c>
      <c r="I1067">
        <v>1319.8508300999999</v>
      </c>
      <c r="J1067">
        <v>1314.8413086</v>
      </c>
      <c r="K1067">
        <v>2400</v>
      </c>
      <c r="L1067">
        <v>0</v>
      </c>
      <c r="M1067">
        <v>0</v>
      </c>
      <c r="N1067">
        <v>2400</v>
      </c>
    </row>
    <row r="1068" spans="1:14" x14ac:dyDescent="0.25">
      <c r="A1068">
        <v>534.06722100000002</v>
      </c>
      <c r="B1068" s="1">
        <f>DATE(2011,10,17) + TIME(1,36,47)</f>
        <v>40833.067210648151</v>
      </c>
      <c r="C1068">
        <v>80</v>
      </c>
      <c r="D1068">
        <v>79.954116821</v>
      </c>
      <c r="E1068">
        <v>50</v>
      </c>
      <c r="F1068">
        <v>49.821453093999999</v>
      </c>
      <c r="G1068">
        <v>1343.7442627</v>
      </c>
      <c r="H1068">
        <v>1340.4095459</v>
      </c>
      <c r="I1068">
        <v>1319.8369141000001</v>
      </c>
      <c r="J1068">
        <v>1314.8231201000001</v>
      </c>
      <c r="K1068">
        <v>2400</v>
      </c>
      <c r="L1068">
        <v>0</v>
      </c>
      <c r="M1068">
        <v>0</v>
      </c>
      <c r="N1068">
        <v>2400</v>
      </c>
    </row>
    <row r="1069" spans="1:14" x14ac:dyDescent="0.25">
      <c r="A1069">
        <v>536.49760500000002</v>
      </c>
      <c r="B1069" s="1">
        <f>DATE(2011,10,19) + TIME(11,56,33)</f>
        <v>40835.497604166667</v>
      </c>
      <c r="C1069">
        <v>80</v>
      </c>
      <c r="D1069">
        <v>79.954162597999996</v>
      </c>
      <c r="E1069">
        <v>50</v>
      </c>
      <c r="F1069">
        <v>50.295070647999999</v>
      </c>
      <c r="G1069">
        <v>1343.729126</v>
      </c>
      <c r="H1069">
        <v>1340.3981934000001</v>
      </c>
      <c r="I1069">
        <v>1319.8238524999999</v>
      </c>
      <c r="J1069">
        <v>1314.8061522999999</v>
      </c>
      <c r="K1069">
        <v>2400</v>
      </c>
      <c r="L1069">
        <v>0</v>
      </c>
      <c r="M1069">
        <v>0</v>
      </c>
      <c r="N1069">
        <v>2400</v>
      </c>
    </row>
    <row r="1070" spans="1:14" x14ac:dyDescent="0.25">
      <c r="A1070">
        <v>538.95038799999998</v>
      </c>
      <c r="B1070" s="1">
        <f>DATE(2011,10,21) + TIME(22,48,33)</f>
        <v>40837.950381944444</v>
      </c>
      <c r="C1070">
        <v>80</v>
      </c>
      <c r="D1070">
        <v>79.954216002999999</v>
      </c>
      <c r="E1070">
        <v>50</v>
      </c>
      <c r="F1070">
        <v>50.756706238</v>
      </c>
      <c r="G1070">
        <v>1343.7143555</v>
      </c>
      <c r="H1070">
        <v>1340.3870850000001</v>
      </c>
      <c r="I1070">
        <v>1319.8117675999999</v>
      </c>
      <c r="J1070">
        <v>1314.7906493999999</v>
      </c>
      <c r="K1070">
        <v>2400</v>
      </c>
      <c r="L1070">
        <v>0</v>
      </c>
      <c r="M1070">
        <v>0</v>
      </c>
      <c r="N1070">
        <v>2400</v>
      </c>
    </row>
    <row r="1071" spans="1:14" x14ac:dyDescent="0.25">
      <c r="A1071">
        <v>541.44509900000003</v>
      </c>
      <c r="B1071" s="1">
        <f>DATE(2011,10,24) + TIME(10,40,56)</f>
        <v>40840.445092592592</v>
      </c>
      <c r="C1071">
        <v>80</v>
      </c>
      <c r="D1071">
        <v>79.954261779999996</v>
      </c>
      <c r="E1071">
        <v>50</v>
      </c>
      <c r="F1071">
        <v>51.207118987999998</v>
      </c>
      <c r="G1071">
        <v>1343.6995850000001</v>
      </c>
      <c r="H1071">
        <v>1340.3760986</v>
      </c>
      <c r="I1071">
        <v>1319.8005370999999</v>
      </c>
      <c r="J1071">
        <v>1314.7763672000001</v>
      </c>
      <c r="K1071">
        <v>2400</v>
      </c>
      <c r="L1071">
        <v>0</v>
      </c>
      <c r="M1071">
        <v>0</v>
      </c>
      <c r="N1071">
        <v>2400</v>
      </c>
    </row>
    <row r="1072" spans="1:14" x14ac:dyDescent="0.25">
      <c r="A1072">
        <v>543.98360500000001</v>
      </c>
      <c r="B1072" s="1">
        <f>DATE(2011,10,26) + TIME(23,36,23)</f>
        <v>40842.983599537038</v>
      </c>
      <c r="C1072">
        <v>80</v>
      </c>
      <c r="D1072">
        <v>79.954315186000002</v>
      </c>
      <c r="E1072">
        <v>50</v>
      </c>
      <c r="F1072">
        <v>51.64773941</v>
      </c>
      <c r="G1072">
        <v>1343.6849365</v>
      </c>
      <c r="H1072">
        <v>1340.3651123</v>
      </c>
      <c r="I1072">
        <v>1319.7899170000001</v>
      </c>
      <c r="J1072">
        <v>1314.7631836</v>
      </c>
      <c r="K1072">
        <v>2400</v>
      </c>
      <c r="L1072">
        <v>0</v>
      </c>
      <c r="M1072">
        <v>0</v>
      </c>
      <c r="N1072">
        <v>2400</v>
      </c>
    </row>
    <row r="1073" spans="1:14" x14ac:dyDescent="0.25">
      <c r="A1073">
        <v>546.53722300000004</v>
      </c>
      <c r="B1073" s="1">
        <f>DATE(2011,10,29) + TIME(12,53,36)</f>
        <v>40845.537222222221</v>
      </c>
      <c r="C1073">
        <v>80</v>
      </c>
      <c r="D1073">
        <v>79.954368591000005</v>
      </c>
      <c r="E1073">
        <v>50</v>
      </c>
      <c r="F1073">
        <v>52.077537536999998</v>
      </c>
      <c r="G1073">
        <v>1343.6702881000001</v>
      </c>
      <c r="H1073">
        <v>1340.354126</v>
      </c>
      <c r="I1073">
        <v>1319.7801514</v>
      </c>
      <c r="J1073">
        <v>1314.7509766000001</v>
      </c>
      <c r="K1073">
        <v>2400</v>
      </c>
      <c r="L1073">
        <v>0</v>
      </c>
      <c r="M1073">
        <v>0</v>
      </c>
      <c r="N1073">
        <v>2400</v>
      </c>
    </row>
    <row r="1074" spans="1:14" x14ac:dyDescent="0.25">
      <c r="A1074">
        <v>549</v>
      </c>
      <c r="B1074" s="1">
        <f>DATE(2011,11,1) + TIME(0,0,0)</f>
        <v>40848</v>
      </c>
      <c r="C1074">
        <v>80</v>
      </c>
      <c r="D1074">
        <v>79.954421996999997</v>
      </c>
      <c r="E1074">
        <v>50</v>
      </c>
      <c r="F1074">
        <v>52.489433288999997</v>
      </c>
      <c r="G1074">
        <v>1343.6558838000001</v>
      </c>
      <c r="H1074">
        <v>1340.3432617000001</v>
      </c>
      <c r="I1074">
        <v>1319.7713623</v>
      </c>
      <c r="J1074">
        <v>1314.7398682</v>
      </c>
      <c r="K1074">
        <v>2400</v>
      </c>
      <c r="L1074">
        <v>0</v>
      </c>
      <c r="M1074">
        <v>0</v>
      </c>
      <c r="N1074">
        <v>2400</v>
      </c>
    </row>
    <row r="1075" spans="1:14" x14ac:dyDescent="0.25">
      <c r="A1075">
        <v>549.000001</v>
      </c>
      <c r="B1075" s="1">
        <f>DATE(2011,11,1) + TIME(0,0,0)</f>
        <v>40848</v>
      </c>
      <c r="C1075">
        <v>80</v>
      </c>
      <c r="D1075">
        <v>79.954315186000002</v>
      </c>
      <c r="E1075">
        <v>50</v>
      </c>
      <c r="F1075">
        <v>52.489562988000003</v>
      </c>
      <c r="G1075">
        <v>1339.6334228999999</v>
      </c>
      <c r="H1075">
        <v>1337.8819579999999</v>
      </c>
      <c r="I1075">
        <v>1325.7678223</v>
      </c>
      <c r="J1075">
        <v>1320.7995605000001</v>
      </c>
      <c r="K1075">
        <v>0</v>
      </c>
      <c r="L1075">
        <v>2400</v>
      </c>
      <c r="M1075">
        <v>2400</v>
      </c>
      <c r="N1075">
        <v>0</v>
      </c>
    </row>
    <row r="1076" spans="1:14" x14ac:dyDescent="0.25">
      <c r="A1076">
        <v>549.00000399999999</v>
      </c>
      <c r="B1076" s="1">
        <f>DATE(2011,11,1) + TIME(0,0,0)</f>
        <v>40848</v>
      </c>
      <c r="C1076">
        <v>80</v>
      </c>
      <c r="D1076">
        <v>79.954147339000002</v>
      </c>
      <c r="E1076">
        <v>50</v>
      </c>
      <c r="F1076">
        <v>52.489803314</v>
      </c>
      <c r="G1076">
        <v>1338.4196777</v>
      </c>
      <c r="H1076">
        <v>1336.6682129000001</v>
      </c>
      <c r="I1076">
        <v>1327.4641113</v>
      </c>
      <c r="J1076">
        <v>1322.7473144999999</v>
      </c>
      <c r="K1076">
        <v>0</v>
      </c>
      <c r="L1076">
        <v>2400</v>
      </c>
      <c r="M1076">
        <v>2400</v>
      </c>
      <c r="N1076">
        <v>0</v>
      </c>
    </row>
    <row r="1077" spans="1:14" x14ac:dyDescent="0.25">
      <c r="A1077">
        <v>549.00001299999997</v>
      </c>
      <c r="B1077" s="1">
        <f>DATE(2011,11,1) + TIME(0,0,1)</f>
        <v>40848.000011574077</v>
      </c>
      <c r="C1077">
        <v>80</v>
      </c>
      <c r="D1077">
        <v>79.953933715999995</v>
      </c>
      <c r="E1077">
        <v>50</v>
      </c>
      <c r="F1077">
        <v>52.490104674999998</v>
      </c>
      <c r="G1077">
        <v>1336.9329834</v>
      </c>
      <c r="H1077">
        <v>1335.1789550999999</v>
      </c>
      <c r="I1077">
        <v>1330.0424805</v>
      </c>
      <c r="J1077">
        <v>1325.3920897999999</v>
      </c>
      <c r="K1077">
        <v>0</v>
      </c>
      <c r="L1077">
        <v>2400</v>
      </c>
      <c r="M1077">
        <v>2400</v>
      </c>
      <c r="N1077">
        <v>0</v>
      </c>
    </row>
    <row r="1078" spans="1:14" x14ac:dyDescent="0.25">
      <c r="A1078">
        <v>549.00004000000001</v>
      </c>
      <c r="B1078" s="1">
        <f>DATE(2011,11,1) + TIME(0,0,3)</f>
        <v>40848.000034722223</v>
      </c>
      <c r="C1078">
        <v>80</v>
      </c>
      <c r="D1078">
        <v>79.953712463000002</v>
      </c>
      <c r="E1078">
        <v>50</v>
      </c>
      <c r="F1078">
        <v>52.490367888999998</v>
      </c>
      <c r="G1078">
        <v>1335.4243164</v>
      </c>
      <c r="H1078">
        <v>1333.65625</v>
      </c>
      <c r="I1078">
        <v>1333.0069579999999</v>
      </c>
      <c r="J1078">
        <v>1328.2956543</v>
      </c>
      <c r="K1078">
        <v>0</v>
      </c>
      <c r="L1078">
        <v>2400</v>
      </c>
      <c r="M1078">
        <v>2400</v>
      </c>
      <c r="N1078">
        <v>0</v>
      </c>
    </row>
    <row r="1079" spans="1:14" x14ac:dyDescent="0.25">
      <c r="A1079">
        <v>549.00012100000004</v>
      </c>
      <c r="B1079" s="1">
        <f>DATE(2011,11,1) + TIME(0,0,10)</f>
        <v>40848.000115740739</v>
      </c>
      <c r="C1079">
        <v>80</v>
      </c>
      <c r="D1079">
        <v>79.953483582000004</v>
      </c>
      <c r="E1079">
        <v>50</v>
      </c>
      <c r="F1079">
        <v>52.490425109999997</v>
      </c>
      <c r="G1079">
        <v>1333.9008789</v>
      </c>
      <c r="H1079">
        <v>1332.0883789</v>
      </c>
      <c r="I1079">
        <v>1336.0180664</v>
      </c>
      <c r="J1079">
        <v>1331.2370605000001</v>
      </c>
      <c r="K1079">
        <v>0</v>
      </c>
      <c r="L1079">
        <v>2400</v>
      </c>
      <c r="M1079">
        <v>2400</v>
      </c>
      <c r="N1079">
        <v>0</v>
      </c>
    </row>
    <row r="1080" spans="1:14" x14ac:dyDescent="0.25">
      <c r="A1080">
        <v>549.00036399999999</v>
      </c>
      <c r="B1080" s="1">
        <f>DATE(2011,11,1) + TIME(0,0,31)</f>
        <v>40848.000358796293</v>
      </c>
      <c r="C1080">
        <v>80</v>
      </c>
      <c r="D1080">
        <v>79.953201293999996</v>
      </c>
      <c r="E1080">
        <v>50</v>
      </c>
      <c r="F1080">
        <v>52.489830017000003</v>
      </c>
      <c r="G1080">
        <v>1332.270874</v>
      </c>
      <c r="H1080">
        <v>1330.3682861</v>
      </c>
      <c r="I1080">
        <v>1339.0546875</v>
      </c>
      <c r="J1080">
        <v>1334.1958007999999</v>
      </c>
      <c r="K1080">
        <v>0</v>
      </c>
      <c r="L1080">
        <v>2400</v>
      </c>
      <c r="M1080">
        <v>2400</v>
      </c>
      <c r="N1080">
        <v>0</v>
      </c>
    </row>
    <row r="1081" spans="1:14" x14ac:dyDescent="0.25">
      <c r="A1081">
        <v>549.00109299999997</v>
      </c>
      <c r="B1081" s="1">
        <f>DATE(2011,11,1) + TIME(0,1,34)</f>
        <v>40848.001087962963</v>
      </c>
      <c r="C1081">
        <v>80</v>
      </c>
      <c r="D1081">
        <v>79.952804564999994</v>
      </c>
      <c r="E1081">
        <v>50</v>
      </c>
      <c r="F1081">
        <v>52.487232208000002</v>
      </c>
      <c r="G1081">
        <v>1330.4976807</v>
      </c>
      <c r="H1081">
        <v>1328.4816894999999</v>
      </c>
      <c r="I1081">
        <v>1342.0645752</v>
      </c>
      <c r="J1081">
        <v>1337.1065673999999</v>
      </c>
      <c r="K1081">
        <v>0</v>
      </c>
      <c r="L1081">
        <v>2400</v>
      </c>
      <c r="M1081">
        <v>2400</v>
      </c>
      <c r="N1081">
        <v>0</v>
      </c>
    </row>
    <row r="1082" spans="1:14" x14ac:dyDescent="0.25">
      <c r="A1082">
        <v>549.00328000000002</v>
      </c>
      <c r="B1082" s="1">
        <f>DATE(2011,11,1) + TIME(0,4,43)</f>
        <v>40848.003275462965</v>
      </c>
      <c r="C1082">
        <v>80</v>
      </c>
      <c r="D1082">
        <v>79.952110290999997</v>
      </c>
      <c r="E1082">
        <v>50</v>
      </c>
      <c r="F1082">
        <v>52.478496552000003</v>
      </c>
      <c r="G1082">
        <v>1328.8245850000001</v>
      </c>
      <c r="H1082">
        <v>1326.7257079999999</v>
      </c>
      <c r="I1082">
        <v>1344.652832</v>
      </c>
      <c r="J1082">
        <v>1339.5941161999999</v>
      </c>
      <c r="K1082">
        <v>0</v>
      </c>
      <c r="L1082">
        <v>2400</v>
      </c>
      <c r="M1082">
        <v>2400</v>
      </c>
      <c r="N1082">
        <v>0</v>
      </c>
    </row>
    <row r="1083" spans="1:14" x14ac:dyDescent="0.25">
      <c r="A1083">
        <v>549.00984100000005</v>
      </c>
      <c r="B1083" s="1">
        <f>DATE(2011,11,1) + TIME(0,14,10)</f>
        <v>40848.009837962964</v>
      </c>
      <c r="C1083">
        <v>80</v>
      </c>
      <c r="D1083">
        <v>79.950576781999999</v>
      </c>
      <c r="E1083">
        <v>50</v>
      </c>
      <c r="F1083">
        <v>52.451522826999998</v>
      </c>
      <c r="G1083">
        <v>1327.7060547000001</v>
      </c>
      <c r="H1083">
        <v>1325.5731201000001</v>
      </c>
      <c r="I1083">
        <v>1346.2121582</v>
      </c>
      <c r="J1083">
        <v>1341.0941161999999</v>
      </c>
      <c r="K1083">
        <v>0</v>
      </c>
      <c r="L1083">
        <v>2400</v>
      </c>
      <c r="M1083">
        <v>2400</v>
      </c>
      <c r="N1083">
        <v>0</v>
      </c>
    </row>
    <row r="1084" spans="1:14" x14ac:dyDescent="0.25">
      <c r="A1084">
        <v>549.02952400000004</v>
      </c>
      <c r="B1084" s="1">
        <f>DATE(2011,11,1) + TIME(0,42,30)</f>
        <v>40848.029513888891</v>
      </c>
      <c r="C1084">
        <v>80</v>
      </c>
      <c r="D1084">
        <v>79.946449279999996</v>
      </c>
      <c r="E1084">
        <v>50</v>
      </c>
      <c r="F1084">
        <v>52.372680664000001</v>
      </c>
      <c r="G1084">
        <v>1327.2954102000001</v>
      </c>
      <c r="H1084">
        <v>1325.1541748</v>
      </c>
      <c r="I1084">
        <v>1346.6702881000001</v>
      </c>
      <c r="J1084">
        <v>1341.5460204999999</v>
      </c>
      <c r="K1084">
        <v>0</v>
      </c>
      <c r="L1084">
        <v>2400</v>
      </c>
      <c r="M1084">
        <v>2400</v>
      </c>
      <c r="N1084">
        <v>0</v>
      </c>
    </row>
    <row r="1085" spans="1:14" x14ac:dyDescent="0.25">
      <c r="A1085">
        <v>549.07028300000002</v>
      </c>
      <c r="B1085" s="1">
        <f>DATE(2011,11,1) + TIME(1,41,12)</f>
        <v>40848.070277777777</v>
      </c>
      <c r="C1085">
        <v>80</v>
      </c>
      <c r="D1085">
        <v>79.938232421999999</v>
      </c>
      <c r="E1085">
        <v>50</v>
      </c>
      <c r="F1085">
        <v>52.220718384000001</v>
      </c>
      <c r="G1085">
        <v>1327.2299805</v>
      </c>
      <c r="H1085">
        <v>1325.0875243999999</v>
      </c>
      <c r="I1085">
        <v>1346.6552733999999</v>
      </c>
      <c r="J1085">
        <v>1341.5545654</v>
      </c>
      <c r="K1085">
        <v>0</v>
      </c>
      <c r="L1085">
        <v>2400</v>
      </c>
      <c r="M1085">
        <v>2400</v>
      </c>
      <c r="N1085">
        <v>0</v>
      </c>
    </row>
    <row r="1086" spans="1:14" x14ac:dyDescent="0.25">
      <c r="A1086">
        <v>549.11213599999996</v>
      </c>
      <c r="B1086" s="1">
        <f>DATE(2011,11,1) + TIME(2,41,28)</f>
        <v>40848.112129629626</v>
      </c>
      <c r="C1086">
        <v>80</v>
      </c>
      <c r="D1086">
        <v>79.929908752000003</v>
      </c>
      <c r="E1086">
        <v>50</v>
      </c>
      <c r="F1086">
        <v>52.075656891000001</v>
      </c>
      <c r="G1086">
        <v>1327.2230225000001</v>
      </c>
      <c r="H1086">
        <v>1325.0802002</v>
      </c>
      <c r="I1086">
        <v>1346.5993652</v>
      </c>
      <c r="J1086">
        <v>1341.5189209</v>
      </c>
      <c r="K1086">
        <v>0</v>
      </c>
      <c r="L1086">
        <v>2400</v>
      </c>
      <c r="M1086">
        <v>2400</v>
      </c>
      <c r="N1086">
        <v>0</v>
      </c>
    </row>
    <row r="1087" spans="1:14" x14ac:dyDescent="0.25">
      <c r="A1087">
        <v>549.15524400000004</v>
      </c>
      <c r="B1087" s="1">
        <f>DATE(2011,11,1) + TIME(3,43,33)</f>
        <v>40848.155243055553</v>
      </c>
      <c r="C1087">
        <v>80</v>
      </c>
      <c r="D1087">
        <v>79.921447753999999</v>
      </c>
      <c r="E1087">
        <v>50</v>
      </c>
      <c r="F1087">
        <v>51.936950684000003</v>
      </c>
      <c r="G1087">
        <v>1327.2211914</v>
      </c>
      <c r="H1087">
        <v>1325.078125</v>
      </c>
      <c r="I1087">
        <v>1346.5432129000001</v>
      </c>
      <c r="J1087">
        <v>1341.4822998</v>
      </c>
      <c r="K1087">
        <v>0</v>
      </c>
      <c r="L1087">
        <v>2400</v>
      </c>
      <c r="M1087">
        <v>2400</v>
      </c>
      <c r="N1087">
        <v>0</v>
      </c>
    </row>
    <row r="1088" spans="1:14" x14ac:dyDescent="0.25">
      <c r="A1088">
        <v>549.19971199999998</v>
      </c>
      <c r="B1088" s="1">
        <f>DATE(2011,11,1) + TIME(4,47,35)</f>
        <v>40848.19971064815</v>
      </c>
      <c r="C1088">
        <v>80</v>
      </c>
      <c r="D1088">
        <v>79.912834167</v>
      </c>
      <c r="E1088">
        <v>50</v>
      </c>
      <c r="F1088">
        <v>51.804306029999999</v>
      </c>
      <c r="G1088">
        <v>1327.2198486</v>
      </c>
      <c r="H1088">
        <v>1325.0764160000001</v>
      </c>
      <c r="I1088">
        <v>1346.489624</v>
      </c>
      <c r="J1088">
        <v>1341.4473877</v>
      </c>
      <c r="K1088">
        <v>0</v>
      </c>
      <c r="L1088">
        <v>2400</v>
      </c>
      <c r="M1088">
        <v>2400</v>
      </c>
      <c r="N1088">
        <v>0</v>
      </c>
    </row>
    <row r="1089" spans="1:14" x14ac:dyDescent="0.25">
      <c r="A1089">
        <v>549.24565600000005</v>
      </c>
      <c r="B1089" s="1">
        <f>DATE(2011,11,1) + TIME(5,53,44)</f>
        <v>40848.245648148149</v>
      </c>
      <c r="C1089">
        <v>80</v>
      </c>
      <c r="D1089">
        <v>79.904045104999994</v>
      </c>
      <c r="E1089">
        <v>50</v>
      </c>
      <c r="F1089">
        <v>51.677459716999998</v>
      </c>
      <c r="G1089">
        <v>1327.2183838000001</v>
      </c>
      <c r="H1089">
        <v>1325.074707</v>
      </c>
      <c r="I1089">
        <v>1346.4384766000001</v>
      </c>
      <c r="J1089">
        <v>1341.4141846</v>
      </c>
      <c r="K1089">
        <v>0</v>
      </c>
      <c r="L1089">
        <v>2400</v>
      </c>
      <c r="M1089">
        <v>2400</v>
      </c>
      <c r="N1089">
        <v>0</v>
      </c>
    </row>
    <row r="1090" spans="1:14" x14ac:dyDescent="0.25">
      <c r="A1090">
        <v>549.29320399999995</v>
      </c>
      <c r="B1090" s="1">
        <f>DATE(2011,11,1) + TIME(7,2,12)</f>
        <v>40848.293194444443</v>
      </c>
      <c r="C1090">
        <v>80</v>
      </c>
      <c r="D1090">
        <v>79.895072936999995</v>
      </c>
      <c r="E1090">
        <v>50</v>
      </c>
      <c r="F1090">
        <v>51.556175232000001</v>
      </c>
      <c r="G1090">
        <v>1327.2170410000001</v>
      </c>
      <c r="H1090">
        <v>1325.072876</v>
      </c>
      <c r="I1090">
        <v>1346.3896483999999</v>
      </c>
      <c r="J1090">
        <v>1341.3825684000001</v>
      </c>
      <c r="K1090">
        <v>0</v>
      </c>
      <c r="L1090">
        <v>2400</v>
      </c>
      <c r="M1090">
        <v>2400</v>
      </c>
      <c r="N1090">
        <v>0</v>
      </c>
    </row>
    <row r="1091" spans="1:14" x14ac:dyDescent="0.25">
      <c r="A1091">
        <v>549.34247300000004</v>
      </c>
      <c r="B1091" s="1">
        <f>DATE(2011,11,1) + TIME(8,13,9)</f>
        <v>40848.342465277776</v>
      </c>
      <c r="C1091">
        <v>80</v>
      </c>
      <c r="D1091">
        <v>79.885894774999997</v>
      </c>
      <c r="E1091">
        <v>50</v>
      </c>
      <c r="F1091">
        <v>51.440292358000001</v>
      </c>
      <c r="G1091">
        <v>1327.2154541</v>
      </c>
      <c r="H1091">
        <v>1325.0710449000001</v>
      </c>
      <c r="I1091">
        <v>1346.3431396000001</v>
      </c>
      <c r="J1091">
        <v>1341.3522949000001</v>
      </c>
      <c r="K1091">
        <v>0</v>
      </c>
      <c r="L1091">
        <v>2400</v>
      </c>
      <c r="M1091">
        <v>2400</v>
      </c>
      <c r="N1091">
        <v>0</v>
      </c>
    </row>
    <row r="1092" spans="1:14" x14ac:dyDescent="0.25">
      <c r="A1092">
        <v>549.39363700000001</v>
      </c>
      <c r="B1092" s="1">
        <f>DATE(2011,11,1) + TIME(9,26,50)</f>
        <v>40848.393634259257</v>
      </c>
      <c r="C1092">
        <v>80</v>
      </c>
      <c r="D1092">
        <v>79.876487732000001</v>
      </c>
      <c r="E1092">
        <v>50</v>
      </c>
      <c r="F1092">
        <v>51.329574585000003</v>
      </c>
      <c r="G1092">
        <v>1327.2139893000001</v>
      </c>
      <c r="H1092">
        <v>1325.0690918</v>
      </c>
      <c r="I1092">
        <v>1346.2987060999999</v>
      </c>
      <c r="J1092">
        <v>1341.3236084</v>
      </c>
      <c r="K1092">
        <v>0</v>
      </c>
      <c r="L1092">
        <v>2400</v>
      </c>
      <c r="M1092">
        <v>2400</v>
      </c>
      <c r="N1092">
        <v>0</v>
      </c>
    </row>
    <row r="1093" spans="1:14" x14ac:dyDescent="0.25">
      <c r="A1093">
        <v>549.44688199999996</v>
      </c>
      <c r="B1093" s="1">
        <f>DATE(2011,11,1) + TIME(10,43,30)</f>
        <v>40848.446875000001</v>
      </c>
      <c r="C1093">
        <v>80</v>
      </c>
      <c r="D1093">
        <v>79.866836547999995</v>
      </c>
      <c r="E1093">
        <v>50</v>
      </c>
      <c r="F1093">
        <v>51.223831177000001</v>
      </c>
      <c r="G1093">
        <v>1327.2122803</v>
      </c>
      <c r="H1093">
        <v>1325.0668945</v>
      </c>
      <c r="I1093">
        <v>1346.2562256000001</v>
      </c>
      <c r="J1093">
        <v>1341.2961425999999</v>
      </c>
      <c r="K1093">
        <v>0</v>
      </c>
      <c r="L1093">
        <v>2400</v>
      </c>
      <c r="M1093">
        <v>2400</v>
      </c>
      <c r="N1093">
        <v>0</v>
      </c>
    </row>
    <row r="1094" spans="1:14" x14ac:dyDescent="0.25">
      <c r="A1094">
        <v>549.50240899999994</v>
      </c>
      <c r="B1094" s="1">
        <f>DATE(2011,11,1) + TIME(12,3,28)</f>
        <v>40848.50240740741</v>
      </c>
      <c r="C1094">
        <v>80</v>
      </c>
      <c r="D1094">
        <v>79.856903075999995</v>
      </c>
      <c r="E1094">
        <v>50</v>
      </c>
      <c r="F1094">
        <v>51.122901917</v>
      </c>
      <c r="G1094">
        <v>1327.2105713000001</v>
      </c>
      <c r="H1094">
        <v>1325.0646973</v>
      </c>
      <c r="I1094">
        <v>1346.2155762</v>
      </c>
      <c r="J1094">
        <v>1341.2700195</v>
      </c>
      <c r="K1094">
        <v>0</v>
      </c>
      <c r="L1094">
        <v>2400</v>
      </c>
      <c r="M1094">
        <v>2400</v>
      </c>
      <c r="N1094">
        <v>0</v>
      </c>
    </row>
    <row r="1095" spans="1:14" x14ac:dyDescent="0.25">
      <c r="A1095">
        <v>549.56044399999996</v>
      </c>
      <c r="B1095" s="1">
        <f>DATE(2011,11,1) + TIME(13,27,2)</f>
        <v>40848.560439814813</v>
      </c>
      <c r="C1095">
        <v>80</v>
      </c>
      <c r="D1095">
        <v>79.846664429</v>
      </c>
      <c r="E1095">
        <v>50</v>
      </c>
      <c r="F1095">
        <v>51.026653289999999</v>
      </c>
      <c r="G1095">
        <v>1327.2087402</v>
      </c>
      <c r="H1095">
        <v>1325.0623779</v>
      </c>
      <c r="I1095">
        <v>1346.1767577999999</v>
      </c>
      <c r="J1095">
        <v>1341.2449951000001</v>
      </c>
      <c r="K1095">
        <v>0</v>
      </c>
      <c r="L1095">
        <v>2400</v>
      </c>
      <c r="M1095">
        <v>2400</v>
      </c>
      <c r="N1095">
        <v>0</v>
      </c>
    </row>
    <row r="1096" spans="1:14" x14ac:dyDescent="0.25">
      <c r="A1096">
        <v>549.62123799999995</v>
      </c>
      <c r="B1096" s="1">
        <f>DATE(2011,11,1) + TIME(14,54,34)</f>
        <v>40848.62122685185</v>
      </c>
      <c r="C1096">
        <v>80</v>
      </c>
      <c r="D1096">
        <v>79.836097717000001</v>
      </c>
      <c r="E1096">
        <v>50</v>
      </c>
      <c r="F1096">
        <v>50.934970856</v>
      </c>
      <c r="G1096">
        <v>1327.2069091999999</v>
      </c>
      <c r="H1096">
        <v>1325.0599365</v>
      </c>
      <c r="I1096">
        <v>1346.1395264</v>
      </c>
      <c r="J1096">
        <v>1341.2211914</v>
      </c>
      <c r="K1096">
        <v>0</v>
      </c>
      <c r="L1096">
        <v>2400</v>
      </c>
      <c r="M1096">
        <v>2400</v>
      </c>
      <c r="N1096">
        <v>0</v>
      </c>
    </row>
    <row r="1097" spans="1:14" x14ac:dyDescent="0.25">
      <c r="A1097">
        <v>549.68508999999995</v>
      </c>
      <c r="B1097" s="1">
        <f>DATE(2011,11,1) + TIME(16,26,31)</f>
        <v>40848.685081018521</v>
      </c>
      <c r="C1097">
        <v>80</v>
      </c>
      <c r="D1097">
        <v>79.825149535999998</v>
      </c>
      <c r="E1097">
        <v>50</v>
      </c>
      <c r="F1097">
        <v>50.847743987999998</v>
      </c>
      <c r="G1097">
        <v>1327.2048339999999</v>
      </c>
      <c r="H1097">
        <v>1325.0573730000001</v>
      </c>
      <c r="I1097">
        <v>1346.1040039</v>
      </c>
      <c r="J1097">
        <v>1341.1983643000001</v>
      </c>
      <c r="K1097">
        <v>0</v>
      </c>
      <c r="L1097">
        <v>2400</v>
      </c>
      <c r="M1097">
        <v>2400</v>
      </c>
      <c r="N1097">
        <v>0</v>
      </c>
    </row>
    <row r="1098" spans="1:14" x14ac:dyDescent="0.25">
      <c r="A1098">
        <v>549.75234699999999</v>
      </c>
      <c r="B1098" s="1">
        <f>DATE(2011,11,1) + TIME(18,3,22)</f>
        <v>40848.752337962964</v>
      </c>
      <c r="C1098">
        <v>80</v>
      </c>
      <c r="D1098">
        <v>79.813789368000002</v>
      </c>
      <c r="E1098">
        <v>50</v>
      </c>
      <c r="F1098">
        <v>50.764869689999998</v>
      </c>
      <c r="G1098">
        <v>1327.2027588000001</v>
      </c>
      <c r="H1098">
        <v>1325.0545654</v>
      </c>
      <c r="I1098">
        <v>1346.0699463000001</v>
      </c>
      <c r="J1098">
        <v>1341.1765137</v>
      </c>
      <c r="K1098">
        <v>0</v>
      </c>
      <c r="L1098">
        <v>2400</v>
      </c>
      <c r="M1098">
        <v>2400</v>
      </c>
      <c r="N1098">
        <v>0</v>
      </c>
    </row>
    <row r="1099" spans="1:14" x14ac:dyDescent="0.25">
      <c r="A1099">
        <v>549.82340599999998</v>
      </c>
      <c r="B1099" s="1">
        <f>DATE(2011,11,1) + TIME(19,45,42)</f>
        <v>40848.82340277778</v>
      </c>
      <c r="C1099">
        <v>80</v>
      </c>
      <c r="D1099">
        <v>79.801956176999994</v>
      </c>
      <c r="E1099">
        <v>50</v>
      </c>
      <c r="F1099">
        <v>50.686271667</v>
      </c>
      <c r="G1099">
        <v>1327.2004394999999</v>
      </c>
      <c r="H1099">
        <v>1325.0515137</v>
      </c>
      <c r="I1099">
        <v>1346.0371094</v>
      </c>
      <c r="J1099">
        <v>1341.1556396000001</v>
      </c>
      <c r="K1099">
        <v>0</v>
      </c>
      <c r="L1099">
        <v>2400</v>
      </c>
      <c r="M1099">
        <v>2400</v>
      </c>
      <c r="N1099">
        <v>0</v>
      </c>
    </row>
    <row r="1100" spans="1:14" x14ac:dyDescent="0.25">
      <c r="A1100">
        <v>549.89873399999999</v>
      </c>
      <c r="B1100" s="1">
        <f>DATE(2011,11,1) + TIME(21,34,10)</f>
        <v>40848.898726851854</v>
      </c>
      <c r="C1100">
        <v>80</v>
      </c>
      <c r="D1100">
        <v>79.789611816000004</v>
      </c>
      <c r="E1100">
        <v>50</v>
      </c>
      <c r="F1100">
        <v>50.611885071000003</v>
      </c>
      <c r="G1100">
        <v>1327.1979980000001</v>
      </c>
      <c r="H1100">
        <v>1325.0483397999999</v>
      </c>
      <c r="I1100">
        <v>1346.0056152</v>
      </c>
      <c r="J1100">
        <v>1341.1357422000001</v>
      </c>
      <c r="K1100">
        <v>0</v>
      </c>
      <c r="L1100">
        <v>2400</v>
      </c>
      <c r="M1100">
        <v>2400</v>
      </c>
      <c r="N1100">
        <v>0</v>
      </c>
    </row>
    <row r="1101" spans="1:14" x14ac:dyDescent="0.25">
      <c r="A1101">
        <v>549.97888</v>
      </c>
      <c r="B1101" s="1">
        <f>DATE(2011,11,1) + TIME(23,29,35)</f>
        <v>40848.978877314818</v>
      </c>
      <c r="C1101">
        <v>80</v>
      </c>
      <c r="D1101">
        <v>79.776679993000002</v>
      </c>
      <c r="E1101">
        <v>50</v>
      </c>
      <c r="F1101">
        <v>50.54164505</v>
      </c>
      <c r="G1101">
        <v>1327.1953125</v>
      </c>
      <c r="H1101">
        <v>1325.0449219</v>
      </c>
      <c r="I1101">
        <v>1345.9753418</v>
      </c>
      <c r="J1101">
        <v>1341.1164550999999</v>
      </c>
      <c r="K1101">
        <v>0</v>
      </c>
      <c r="L1101">
        <v>2400</v>
      </c>
      <c r="M1101">
        <v>2400</v>
      </c>
      <c r="N1101">
        <v>0</v>
      </c>
    </row>
    <row r="1102" spans="1:14" x14ac:dyDescent="0.25">
      <c r="A1102">
        <v>550.06450099999995</v>
      </c>
      <c r="B1102" s="1">
        <f>DATE(2011,11,2) + TIME(1,32,52)</f>
        <v>40849.06449074074</v>
      </c>
      <c r="C1102">
        <v>80</v>
      </c>
      <c r="D1102">
        <v>79.763084411999998</v>
      </c>
      <c r="E1102">
        <v>50</v>
      </c>
      <c r="F1102">
        <v>50.475517273000001</v>
      </c>
      <c r="G1102">
        <v>1327.1925048999999</v>
      </c>
      <c r="H1102">
        <v>1325.0411377</v>
      </c>
      <c r="I1102">
        <v>1345.9460449000001</v>
      </c>
      <c r="J1102">
        <v>1341.0980225000001</v>
      </c>
      <c r="K1102">
        <v>0</v>
      </c>
      <c r="L1102">
        <v>2400</v>
      </c>
      <c r="M1102">
        <v>2400</v>
      </c>
      <c r="N1102">
        <v>0</v>
      </c>
    </row>
    <row r="1103" spans="1:14" x14ac:dyDescent="0.25">
      <c r="A1103">
        <v>550.15638799999999</v>
      </c>
      <c r="B1103" s="1">
        <f>DATE(2011,11,2) + TIME(3,45,11)</f>
        <v>40849.156377314815</v>
      </c>
      <c r="C1103">
        <v>80</v>
      </c>
      <c r="D1103">
        <v>79.748741150000001</v>
      </c>
      <c r="E1103">
        <v>50</v>
      </c>
      <c r="F1103">
        <v>50.413471221999998</v>
      </c>
      <c r="G1103">
        <v>1327.1894531</v>
      </c>
      <c r="H1103">
        <v>1325.0371094</v>
      </c>
      <c r="I1103">
        <v>1345.9176024999999</v>
      </c>
      <c r="J1103">
        <v>1341.0802002</v>
      </c>
      <c r="K1103">
        <v>0</v>
      </c>
      <c r="L1103">
        <v>2400</v>
      </c>
      <c r="M1103">
        <v>2400</v>
      </c>
      <c r="N1103">
        <v>0</v>
      </c>
    </row>
    <row r="1104" spans="1:14" x14ac:dyDescent="0.25">
      <c r="A1104">
        <v>550.25550799999996</v>
      </c>
      <c r="B1104" s="1">
        <f>DATE(2011,11,2) + TIME(6,7,55)</f>
        <v>40849.255497685182</v>
      </c>
      <c r="C1104">
        <v>80</v>
      </c>
      <c r="D1104">
        <v>79.733520507999998</v>
      </c>
      <c r="E1104">
        <v>50</v>
      </c>
      <c r="F1104">
        <v>50.355476379000002</v>
      </c>
      <c r="G1104">
        <v>1327.1861572</v>
      </c>
      <c r="H1104">
        <v>1325.0327147999999</v>
      </c>
      <c r="I1104">
        <v>1345.8900146000001</v>
      </c>
      <c r="J1104">
        <v>1341.0628661999999</v>
      </c>
      <c r="K1104">
        <v>0</v>
      </c>
      <c r="L1104">
        <v>2400</v>
      </c>
      <c r="M1104">
        <v>2400</v>
      </c>
      <c r="N1104">
        <v>0</v>
      </c>
    </row>
    <row r="1105" spans="1:14" x14ac:dyDescent="0.25">
      <c r="A1105">
        <v>550.36305400000003</v>
      </c>
      <c r="B1105" s="1">
        <f>DATE(2011,11,2) + TIME(8,42,47)</f>
        <v>40849.363043981481</v>
      </c>
      <c r="C1105">
        <v>80</v>
      </c>
      <c r="D1105">
        <v>79.717308044000006</v>
      </c>
      <c r="E1105">
        <v>50</v>
      </c>
      <c r="F1105">
        <v>50.301528931</v>
      </c>
      <c r="G1105">
        <v>1327.1826172000001</v>
      </c>
      <c r="H1105">
        <v>1325.0279541</v>
      </c>
      <c r="I1105">
        <v>1345.8631591999999</v>
      </c>
      <c r="J1105">
        <v>1341.0461425999999</v>
      </c>
      <c r="K1105">
        <v>0</v>
      </c>
      <c r="L1105">
        <v>2400</v>
      </c>
      <c r="M1105">
        <v>2400</v>
      </c>
      <c r="N1105">
        <v>0</v>
      </c>
    </row>
    <row r="1106" spans="1:14" x14ac:dyDescent="0.25">
      <c r="A1106">
        <v>550.48052499999994</v>
      </c>
      <c r="B1106" s="1">
        <f>DATE(2011,11,2) + TIME(11,31,57)</f>
        <v>40849.480520833335</v>
      </c>
      <c r="C1106">
        <v>80</v>
      </c>
      <c r="D1106">
        <v>79.699928283999995</v>
      </c>
      <c r="E1106">
        <v>50</v>
      </c>
      <c r="F1106">
        <v>50.251625060999999</v>
      </c>
      <c r="G1106">
        <v>1327.1785889</v>
      </c>
      <c r="H1106">
        <v>1325.0225829999999</v>
      </c>
      <c r="I1106">
        <v>1345.8367920000001</v>
      </c>
      <c r="J1106">
        <v>1341.0297852000001</v>
      </c>
      <c r="K1106">
        <v>0</v>
      </c>
      <c r="L1106">
        <v>2400</v>
      </c>
      <c r="M1106">
        <v>2400</v>
      </c>
      <c r="N1106">
        <v>0</v>
      </c>
    </row>
    <row r="1107" spans="1:14" x14ac:dyDescent="0.25">
      <c r="A1107">
        <v>550.60980900000004</v>
      </c>
      <c r="B1107" s="1">
        <f>DATE(2011,11,2) + TIME(14,38,7)</f>
        <v>40849.609803240739</v>
      </c>
      <c r="C1107">
        <v>80</v>
      </c>
      <c r="D1107">
        <v>79.681175232000001</v>
      </c>
      <c r="E1107">
        <v>50</v>
      </c>
      <c r="F1107">
        <v>50.205776215</v>
      </c>
      <c r="G1107">
        <v>1327.1741943</v>
      </c>
      <c r="H1107">
        <v>1325.0167236</v>
      </c>
      <c r="I1107">
        <v>1345.8107910000001</v>
      </c>
      <c r="J1107">
        <v>1341.0136719</v>
      </c>
      <c r="K1107">
        <v>0</v>
      </c>
      <c r="L1107">
        <v>2400</v>
      </c>
      <c r="M1107">
        <v>2400</v>
      </c>
      <c r="N1107">
        <v>0</v>
      </c>
    </row>
    <row r="1108" spans="1:14" x14ac:dyDescent="0.25">
      <c r="A1108">
        <v>550.753421</v>
      </c>
      <c r="B1108" s="1">
        <f>DATE(2011,11,2) + TIME(18,4,55)</f>
        <v>40849.75341435185</v>
      </c>
      <c r="C1108">
        <v>80</v>
      </c>
      <c r="D1108">
        <v>79.660774231000005</v>
      </c>
      <c r="E1108">
        <v>50</v>
      </c>
      <c r="F1108">
        <v>50.163990020999996</v>
      </c>
      <c r="G1108">
        <v>1327.1693115</v>
      </c>
      <c r="H1108">
        <v>1325.0101318</v>
      </c>
      <c r="I1108">
        <v>1345.7849120999999</v>
      </c>
      <c r="J1108">
        <v>1340.9978027</v>
      </c>
      <c r="K1108">
        <v>0</v>
      </c>
      <c r="L1108">
        <v>2400</v>
      </c>
      <c r="M1108">
        <v>2400</v>
      </c>
      <c r="N1108">
        <v>0</v>
      </c>
    </row>
    <row r="1109" spans="1:14" x14ac:dyDescent="0.25">
      <c r="A1109">
        <v>550.91154200000005</v>
      </c>
      <c r="B1109" s="1">
        <f>DATE(2011,11,2) + TIME(21,52,37)</f>
        <v>40849.911539351851</v>
      </c>
      <c r="C1109">
        <v>80</v>
      </c>
      <c r="D1109">
        <v>79.638755798000005</v>
      </c>
      <c r="E1109">
        <v>50</v>
      </c>
      <c r="F1109">
        <v>50.126884459999999</v>
      </c>
      <c r="G1109">
        <v>1327.1638184000001</v>
      </c>
      <c r="H1109">
        <v>1325.0028076000001</v>
      </c>
      <c r="I1109">
        <v>1345.7596435999999</v>
      </c>
      <c r="J1109">
        <v>1340.9824219</v>
      </c>
      <c r="K1109">
        <v>0</v>
      </c>
      <c r="L1109">
        <v>2400</v>
      </c>
      <c r="M1109">
        <v>2400</v>
      </c>
      <c r="N1109">
        <v>0</v>
      </c>
    </row>
    <row r="1110" spans="1:14" x14ac:dyDescent="0.25">
      <c r="A1110">
        <v>551.07499900000005</v>
      </c>
      <c r="B1110" s="1">
        <f>DATE(2011,11,3) + TIME(1,47,59)</f>
        <v>40850.074988425928</v>
      </c>
      <c r="C1110">
        <v>80</v>
      </c>
      <c r="D1110">
        <v>79.616226196</v>
      </c>
      <c r="E1110">
        <v>50</v>
      </c>
      <c r="F1110">
        <v>50.096115112</v>
      </c>
      <c r="G1110">
        <v>1327.1577147999999</v>
      </c>
      <c r="H1110">
        <v>1324.9946289</v>
      </c>
      <c r="I1110">
        <v>1345.7365723</v>
      </c>
      <c r="J1110">
        <v>1340.9683838000001</v>
      </c>
      <c r="K1110">
        <v>0</v>
      </c>
      <c r="L1110">
        <v>2400</v>
      </c>
      <c r="M1110">
        <v>2400</v>
      </c>
      <c r="N1110">
        <v>0</v>
      </c>
    </row>
    <row r="1111" spans="1:14" x14ac:dyDescent="0.25">
      <c r="A1111">
        <v>551.24445300000002</v>
      </c>
      <c r="B1111" s="1">
        <f>DATE(2011,11,3) + TIME(5,52,0)</f>
        <v>40850.244444444441</v>
      </c>
      <c r="C1111">
        <v>80</v>
      </c>
      <c r="D1111">
        <v>79.593109131000006</v>
      </c>
      <c r="E1111">
        <v>50</v>
      </c>
      <c r="F1111">
        <v>50.070697783999996</v>
      </c>
      <c r="G1111">
        <v>1327.1513672000001</v>
      </c>
      <c r="H1111">
        <v>1324.9859618999999</v>
      </c>
      <c r="I1111">
        <v>1345.7144774999999</v>
      </c>
      <c r="J1111">
        <v>1340.9550781</v>
      </c>
      <c r="K1111">
        <v>0</v>
      </c>
      <c r="L1111">
        <v>2400</v>
      </c>
      <c r="M1111">
        <v>2400</v>
      </c>
      <c r="N1111">
        <v>0</v>
      </c>
    </row>
    <row r="1112" spans="1:14" x14ac:dyDescent="0.25">
      <c r="A1112">
        <v>551.42025999999998</v>
      </c>
      <c r="B1112" s="1">
        <f>DATE(2011,11,3) + TIME(10,5,10)</f>
        <v>40850.420254629629</v>
      </c>
      <c r="C1112">
        <v>80</v>
      </c>
      <c r="D1112">
        <v>79.569366454999994</v>
      </c>
      <c r="E1112">
        <v>50</v>
      </c>
      <c r="F1112">
        <v>50.049823760999999</v>
      </c>
      <c r="G1112">
        <v>1327.1446533000001</v>
      </c>
      <c r="H1112">
        <v>1324.9769286999999</v>
      </c>
      <c r="I1112">
        <v>1345.6933594</v>
      </c>
      <c r="J1112">
        <v>1340.9423827999999</v>
      </c>
      <c r="K1112">
        <v>0</v>
      </c>
      <c r="L1112">
        <v>2400</v>
      </c>
      <c r="M1112">
        <v>2400</v>
      </c>
      <c r="N1112">
        <v>0</v>
      </c>
    </row>
    <row r="1113" spans="1:14" x14ac:dyDescent="0.25">
      <c r="A1113">
        <v>551.60219400000005</v>
      </c>
      <c r="B1113" s="1">
        <f>DATE(2011,11,3) + TIME(14,27,9)</f>
        <v>40850.602187500001</v>
      </c>
      <c r="C1113">
        <v>80</v>
      </c>
      <c r="D1113">
        <v>79.545036315999994</v>
      </c>
      <c r="E1113">
        <v>50</v>
      </c>
      <c r="F1113">
        <v>50.032836914000001</v>
      </c>
      <c r="G1113">
        <v>1327.1375731999999</v>
      </c>
      <c r="H1113">
        <v>1324.9672852000001</v>
      </c>
      <c r="I1113">
        <v>1345.6730957</v>
      </c>
      <c r="J1113">
        <v>1340.9301757999999</v>
      </c>
      <c r="K1113">
        <v>0</v>
      </c>
      <c r="L1113">
        <v>2400</v>
      </c>
      <c r="M1113">
        <v>2400</v>
      </c>
      <c r="N1113">
        <v>0</v>
      </c>
    </row>
    <row r="1114" spans="1:14" x14ac:dyDescent="0.25">
      <c r="A1114">
        <v>551.78927299999998</v>
      </c>
      <c r="B1114" s="1">
        <f>DATE(2011,11,3) + TIME(18,56,33)</f>
        <v>40850.789270833331</v>
      </c>
      <c r="C1114">
        <v>80</v>
      </c>
      <c r="D1114">
        <v>79.520225525000001</v>
      </c>
      <c r="E1114">
        <v>50</v>
      </c>
      <c r="F1114">
        <v>50.019172668000003</v>
      </c>
      <c r="G1114">
        <v>1327.1301269999999</v>
      </c>
      <c r="H1114">
        <v>1324.9572754000001</v>
      </c>
      <c r="I1114">
        <v>1345.6535644999999</v>
      </c>
      <c r="J1114">
        <v>1340.918457</v>
      </c>
      <c r="K1114">
        <v>0</v>
      </c>
      <c r="L1114">
        <v>2400</v>
      </c>
      <c r="M1114">
        <v>2400</v>
      </c>
      <c r="N1114">
        <v>0</v>
      </c>
    </row>
    <row r="1115" spans="1:14" x14ac:dyDescent="0.25">
      <c r="A1115">
        <v>551.98183300000005</v>
      </c>
      <c r="B1115" s="1">
        <f>DATE(2011,11,3) + TIME(23,33,50)</f>
        <v>40850.981828703705</v>
      </c>
      <c r="C1115">
        <v>80</v>
      </c>
      <c r="D1115">
        <v>79.494895935000002</v>
      </c>
      <c r="E1115">
        <v>50</v>
      </c>
      <c r="F1115">
        <v>50.008228301999999</v>
      </c>
      <c r="G1115">
        <v>1327.1224365</v>
      </c>
      <c r="H1115">
        <v>1324.9466553</v>
      </c>
      <c r="I1115">
        <v>1345.6346435999999</v>
      </c>
      <c r="J1115">
        <v>1340.9072266000001</v>
      </c>
      <c r="K1115">
        <v>0</v>
      </c>
      <c r="L1115">
        <v>2400</v>
      </c>
      <c r="M1115">
        <v>2400</v>
      </c>
      <c r="N1115">
        <v>0</v>
      </c>
    </row>
    <row r="1116" spans="1:14" x14ac:dyDescent="0.25">
      <c r="A1116">
        <v>552.179171</v>
      </c>
      <c r="B1116" s="1">
        <f>DATE(2011,11,4) + TIME(4,18,0)</f>
        <v>40851.179166666669</v>
      </c>
      <c r="C1116">
        <v>80</v>
      </c>
      <c r="D1116">
        <v>79.469131469999994</v>
      </c>
      <c r="E1116">
        <v>50</v>
      </c>
      <c r="F1116">
        <v>49.999546051000003</v>
      </c>
      <c r="G1116">
        <v>1327.1143798999999</v>
      </c>
      <c r="H1116">
        <v>1324.9357910000001</v>
      </c>
      <c r="I1116">
        <v>1345.6163329999999</v>
      </c>
      <c r="J1116">
        <v>1340.8962402</v>
      </c>
      <c r="K1116">
        <v>0</v>
      </c>
      <c r="L1116">
        <v>2400</v>
      </c>
      <c r="M1116">
        <v>2400</v>
      </c>
      <c r="N1116">
        <v>0</v>
      </c>
    </row>
    <row r="1117" spans="1:14" x14ac:dyDescent="0.25">
      <c r="A1117">
        <v>552.37895600000002</v>
      </c>
      <c r="B1117" s="1">
        <f>DATE(2011,11,4) + TIME(9,5,41)</f>
        <v>40851.378946759258</v>
      </c>
      <c r="C1117">
        <v>80</v>
      </c>
      <c r="D1117">
        <v>79.443199157999999</v>
      </c>
      <c r="E1117">
        <v>50</v>
      </c>
      <c r="F1117">
        <v>49.992748259999999</v>
      </c>
      <c r="G1117">
        <v>1327.1060791</v>
      </c>
      <c r="H1117">
        <v>1324.9244385</v>
      </c>
      <c r="I1117">
        <v>1345.5986327999999</v>
      </c>
      <c r="J1117">
        <v>1340.8857422000001</v>
      </c>
      <c r="K1117">
        <v>0</v>
      </c>
      <c r="L1117">
        <v>2400</v>
      </c>
      <c r="M1117">
        <v>2400</v>
      </c>
      <c r="N1117">
        <v>0</v>
      </c>
    </row>
    <row r="1118" spans="1:14" x14ac:dyDescent="0.25">
      <c r="A1118">
        <v>552.58159599999999</v>
      </c>
      <c r="B1118" s="1">
        <f>DATE(2011,11,4) + TIME(13,57,29)</f>
        <v>40851.581585648149</v>
      </c>
      <c r="C1118">
        <v>80</v>
      </c>
      <c r="D1118">
        <v>79.417045592999997</v>
      </c>
      <c r="E1118">
        <v>50</v>
      </c>
      <c r="F1118">
        <v>49.987430572999997</v>
      </c>
      <c r="G1118">
        <v>1327.0975341999999</v>
      </c>
      <c r="H1118">
        <v>1324.9127197</v>
      </c>
      <c r="I1118">
        <v>1345.5816649999999</v>
      </c>
      <c r="J1118">
        <v>1340.8756103999999</v>
      </c>
      <c r="K1118">
        <v>0</v>
      </c>
      <c r="L1118">
        <v>2400</v>
      </c>
      <c r="M1118">
        <v>2400</v>
      </c>
      <c r="N1118">
        <v>0</v>
      </c>
    </row>
    <row r="1119" spans="1:14" x14ac:dyDescent="0.25">
      <c r="A1119">
        <v>552.78749700000003</v>
      </c>
      <c r="B1119" s="1">
        <f>DATE(2011,11,4) + TIME(18,53,59)</f>
        <v>40851.787488425929</v>
      </c>
      <c r="C1119">
        <v>80</v>
      </c>
      <c r="D1119">
        <v>79.390647888000004</v>
      </c>
      <c r="E1119">
        <v>50</v>
      </c>
      <c r="F1119">
        <v>49.983276367000002</v>
      </c>
      <c r="G1119">
        <v>1327.0887451000001</v>
      </c>
      <c r="H1119">
        <v>1324.9007568</v>
      </c>
      <c r="I1119">
        <v>1345.5651855000001</v>
      </c>
      <c r="J1119">
        <v>1340.8657227000001</v>
      </c>
      <c r="K1119">
        <v>0</v>
      </c>
      <c r="L1119">
        <v>2400</v>
      </c>
      <c r="M1119">
        <v>2400</v>
      </c>
      <c r="N1119">
        <v>0</v>
      </c>
    </row>
    <row r="1120" spans="1:14" x14ac:dyDescent="0.25">
      <c r="A1120">
        <v>552.99705400000005</v>
      </c>
      <c r="B1120" s="1">
        <f>DATE(2011,11,4) + TIME(23,55,45)</f>
        <v>40851.997048611112</v>
      </c>
      <c r="C1120">
        <v>80</v>
      </c>
      <c r="D1120">
        <v>79.363960266000007</v>
      </c>
      <c r="E1120">
        <v>50</v>
      </c>
      <c r="F1120">
        <v>49.980033874999997</v>
      </c>
      <c r="G1120">
        <v>1327.0798339999999</v>
      </c>
      <c r="H1120">
        <v>1324.8884277</v>
      </c>
      <c r="I1120">
        <v>1345.5490723</v>
      </c>
      <c r="J1120">
        <v>1340.8562012</v>
      </c>
      <c r="K1120">
        <v>0</v>
      </c>
      <c r="L1120">
        <v>2400</v>
      </c>
      <c r="M1120">
        <v>2400</v>
      </c>
      <c r="N1120">
        <v>0</v>
      </c>
    </row>
    <row r="1121" spans="1:14" x14ac:dyDescent="0.25">
      <c r="A1121">
        <v>553.21062900000004</v>
      </c>
      <c r="B1121" s="1">
        <f>DATE(2011,11,5) + TIME(5,3,18)</f>
        <v>40852.210625</v>
      </c>
      <c r="C1121">
        <v>80</v>
      </c>
      <c r="D1121">
        <v>79.336959839000002</v>
      </c>
      <c r="E1121">
        <v>50</v>
      </c>
      <c r="F1121">
        <v>49.977508544999999</v>
      </c>
      <c r="G1121">
        <v>1327.0706786999999</v>
      </c>
      <c r="H1121">
        <v>1324.8758545000001</v>
      </c>
      <c r="I1121">
        <v>1345.5334473</v>
      </c>
      <c r="J1121">
        <v>1340.8468018000001</v>
      </c>
      <c r="K1121">
        <v>0</v>
      </c>
      <c r="L1121">
        <v>2400</v>
      </c>
      <c r="M1121">
        <v>2400</v>
      </c>
      <c r="N1121">
        <v>0</v>
      </c>
    </row>
    <row r="1122" spans="1:14" x14ac:dyDescent="0.25">
      <c r="A1122">
        <v>553.42852600000003</v>
      </c>
      <c r="B1122" s="1">
        <f>DATE(2011,11,5) + TIME(10,17,4)</f>
        <v>40852.428518518522</v>
      </c>
      <c r="C1122">
        <v>80</v>
      </c>
      <c r="D1122">
        <v>79.309623717999997</v>
      </c>
      <c r="E1122">
        <v>50</v>
      </c>
      <c r="F1122">
        <v>49.975543975999997</v>
      </c>
      <c r="G1122">
        <v>1327.0611572</v>
      </c>
      <c r="H1122">
        <v>1324.862793</v>
      </c>
      <c r="I1122">
        <v>1345.5183105000001</v>
      </c>
      <c r="J1122">
        <v>1340.8377685999999</v>
      </c>
      <c r="K1122">
        <v>0</v>
      </c>
      <c r="L1122">
        <v>2400</v>
      </c>
      <c r="M1122">
        <v>2400</v>
      </c>
      <c r="N1122">
        <v>0</v>
      </c>
    </row>
    <row r="1123" spans="1:14" x14ac:dyDescent="0.25">
      <c r="A1123">
        <v>553.651251</v>
      </c>
      <c r="B1123" s="1">
        <f>DATE(2011,11,5) + TIME(15,37,48)</f>
        <v>40852.651250000003</v>
      </c>
      <c r="C1123">
        <v>80</v>
      </c>
      <c r="D1123">
        <v>79.281890868999994</v>
      </c>
      <c r="E1123">
        <v>50</v>
      </c>
      <c r="F1123">
        <v>49.974021911999998</v>
      </c>
      <c r="G1123">
        <v>1327.0515137</v>
      </c>
      <c r="H1123">
        <v>1324.8494873</v>
      </c>
      <c r="I1123">
        <v>1345.503418</v>
      </c>
      <c r="J1123">
        <v>1340.8288574000001</v>
      </c>
      <c r="K1123">
        <v>0</v>
      </c>
      <c r="L1123">
        <v>2400</v>
      </c>
      <c r="M1123">
        <v>2400</v>
      </c>
      <c r="N1123">
        <v>0</v>
      </c>
    </row>
    <row r="1124" spans="1:14" x14ac:dyDescent="0.25">
      <c r="A1124">
        <v>553.87921200000005</v>
      </c>
      <c r="B1124" s="1">
        <f>DATE(2011,11,5) + TIME(21,6,3)</f>
        <v>40852.879201388889</v>
      </c>
      <c r="C1124">
        <v>80</v>
      </c>
      <c r="D1124">
        <v>79.253723144999995</v>
      </c>
      <c r="E1124">
        <v>50</v>
      </c>
      <c r="F1124">
        <v>49.972843169999997</v>
      </c>
      <c r="G1124">
        <v>1327.0415039</v>
      </c>
      <c r="H1124">
        <v>1324.8356934000001</v>
      </c>
      <c r="I1124">
        <v>1345.4887695</v>
      </c>
      <c r="J1124">
        <v>1340.8200684000001</v>
      </c>
      <c r="K1124">
        <v>0</v>
      </c>
      <c r="L1124">
        <v>2400</v>
      </c>
      <c r="M1124">
        <v>2400</v>
      </c>
      <c r="N1124">
        <v>0</v>
      </c>
    </row>
    <row r="1125" spans="1:14" x14ac:dyDescent="0.25">
      <c r="A1125">
        <v>554.11282700000004</v>
      </c>
      <c r="B1125" s="1">
        <f>DATE(2011,11,6) + TIME(2,42,28)</f>
        <v>40853.112824074073</v>
      </c>
      <c r="C1125">
        <v>80</v>
      </c>
      <c r="D1125">
        <v>79.225097656000003</v>
      </c>
      <c r="E1125">
        <v>50</v>
      </c>
      <c r="F1125">
        <v>49.971935272000003</v>
      </c>
      <c r="G1125">
        <v>1327.03125</v>
      </c>
      <c r="H1125">
        <v>1324.8215332</v>
      </c>
      <c r="I1125">
        <v>1345.4744873</v>
      </c>
      <c r="J1125">
        <v>1340.8115233999999</v>
      </c>
      <c r="K1125">
        <v>0</v>
      </c>
      <c r="L1125">
        <v>2400</v>
      </c>
      <c r="M1125">
        <v>2400</v>
      </c>
      <c r="N1125">
        <v>0</v>
      </c>
    </row>
    <row r="1126" spans="1:14" x14ac:dyDescent="0.25">
      <c r="A1126">
        <v>554.35253399999999</v>
      </c>
      <c r="B1126" s="1">
        <f>DATE(2011,11,6) + TIME(8,27,38)</f>
        <v>40853.352523148147</v>
      </c>
      <c r="C1126">
        <v>80</v>
      </c>
      <c r="D1126">
        <v>79.195960998999993</v>
      </c>
      <c r="E1126">
        <v>50</v>
      </c>
      <c r="F1126">
        <v>49.971233368</v>
      </c>
      <c r="G1126">
        <v>1327.0206298999999</v>
      </c>
      <c r="H1126">
        <v>1324.8068848</v>
      </c>
      <c r="I1126">
        <v>1345.4603271000001</v>
      </c>
      <c r="J1126">
        <v>1340.8031006000001</v>
      </c>
      <c r="K1126">
        <v>0</v>
      </c>
      <c r="L1126">
        <v>2400</v>
      </c>
      <c r="M1126">
        <v>2400</v>
      </c>
      <c r="N1126">
        <v>0</v>
      </c>
    </row>
    <row r="1127" spans="1:14" x14ac:dyDescent="0.25">
      <c r="A1127">
        <v>554.59879799999999</v>
      </c>
      <c r="B1127" s="1">
        <f>DATE(2011,11,6) + TIME(14,22,16)</f>
        <v>40853.598796296297</v>
      </c>
      <c r="C1127">
        <v>80</v>
      </c>
      <c r="D1127">
        <v>79.166275024000001</v>
      </c>
      <c r="E1127">
        <v>50</v>
      </c>
      <c r="F1127">
        <v>49.970691680999998</v>
      </c>
      <c r="G1127">
        <v>1327.0097656</v>
      </c>
      <c r="H1127">
        <v>1324.7918701000001</v>
      </c>
      <c r="I1127">
        <v>1345.4464111</v>
      </c>
      <c r="J1127">
        <v>1340.7947998</v>
      </c>
      <c r="K1127">
        <v>0</v>
      </c>
      <c r="L1127">
        <v>2400</v>
      </c>
      <c r="M1127">
        <v>2400</v>
      </c>
      <c r="N1127">
        <v>0</v>
      </c>
    </row>
    <row r="1128" spans="1:14" x14ac:dyDescent="0.25">
      <c r="A1128">
        <v>554.85211000000004</v>
      </c>
      <c r="B1128" s="1">
        <f>DATE(2011,11,6) + TIME(20,27,2)</f>
        <v>40853.852106481485</v>
      </c>
      <c r="C1128">
        <v>80</v>
      </c>
      <c r="D1128">
        <v>79.136001586999996</v>
      </c>
      <c r="E1128">
        <v>50</v>
      </c>
      <c r="F1128">
        <v>49.970279693999998</v>
      </c>
      <c r="G1128">
        <v>1326.9984131000001</v>
      </c>
      <c r="H1128">
        <v>1324.7762451000001</v>
      </c>
      <c r="I1128">
        <v>1345.4326172000001</v>
      </c>
      <c r="J1128">
        <v>1340.786499</v>
      </c>
      <c r="K1128">
        <v>0</v>
      </c>
      <c r="L1128">
        <v>2400</v>
      </c>
      <c r="M1128">
        <v>2400</v>
      </c>
      <c r="N1128">
        <v>0</v>
      </c>
    </row>
    <row r="1129" spans="1:14" x14ac:dyDescent="0.25">
      <c r="A1129">
        <v>555.11299699999995</v>
      </c>
      <c r="B1129" s="1">
        <f>DATE(2011,11,7) + TIME(2,42,42)</f>
        <v>40854.112986111111</v>
      </c>
      <c r="C1129">
        <v>80</v>
      </c>
      <c r="D1129">
        <v>79.105079650999997</v>
      </c>
      <c r="E1129">
        <v>50</v>
      </c>
      <c r="F1129">
        <v>49.969963073999999</v>
      </c>
      <c r="G1129">
        <v>1326.9868164</v>
      </c>
      <c r="H1129">
        <v>1324.7601318</v>
      </c>
      <c r="I1129">
        <v>1345.4189452999999</v>
      </c>
      <c r="J1129">
        <v>1340.7783202999999</v>
      </c>
      <c r="K1129">
        <v>0</v>
      </c>
      <c r="L1129">
        <v>2400</v>
      </c>
      <c r="M1129">
        <v>2400</v>
      </c>
      <c r="N1129">
        <v>0</v>
      </c>
    </row>
    <row r="1130" spans="1:14" x14ac:dyDescent="0.25">
      <c r="A1130">
        <v>555.38203299999998</v>
      </c>
      <c r="B1130" s="1">
        <f>DATE(2011,11,7) + TIME(9,10,7)</f>
        <v>40854.382025462961</v>
      </c>
      <c r="C1130">
        <v>80</v>
      </c>
      <c r="D1130">
        <v>79.073471068999993</v>
      </c>
      <c r="E1130">
        <v>50</v>
      </c>
      <c r="F1130">
        <v>49.969718933000003</v>
      </c>
      <c r="G1130">
        <v>1326.9747314000001</v>
      </c>
      <c r="H1130">
        <v>1324.7434082</v>
      </c>
      <c r="I1130">
        <v>1345.4053954999999</v>
      </c>
      <c r="J1130">
        <v>1340.7702637</v>
      </c>
      <c r="K1130">
        <v>0</v>
      </c>
      <c r="L1130">
        <v>2400</v>
      </c>
      <c r="M1130">
        <v>2400</v>
      </c>
      <c r="N1130">
        <v>0</v>
      </c>
    </row>
    <row r="1131" spans="1:14" x14ac:dyDescent="0.25">
      <c r="A1131">
        <v>555.65983700000004</v>
      </c>
      <c r="B1131" s="1">
        <f>DATE(2011,11,7) + TIME(15,50,9)</f>
        <v>40854.659826388888</v>
      </c>
      <c r="C1131">
        <v>80</v>
      </c>
      <c r="D1131">
        <v>79.041114807</v>
      </c>
      <c r="E1131">
        <v>50</v>
      </c>
      <c r="F1131">
        <v>49.969528197999999</v>
      </c>
      <c r="G1131">
        <v>1326.9622803</v>
      </c>
      <c r="H1131">
        <v>1324.7260742000001</v>
      </c>
      <c r="I1131">
        <v>1345.3920897999999</v>
      </c>
      <c r="J1131">
        <v>1340.762207</v>
      </c>
      <c r="K1131">
        <v>0</v>
      </c>
      <c r="L1131">
        <v>2400</v>
      </c>
      <c r="M1131">
        <v>2400</v>
      </c>
      <c r="N1131">
        <v>0</v>
      </c>
    </row>
    <row r="1132" spans="1:14" x14ac:dyDescent="0.25">
      <c r="A1132">
        <v>555.946956</v>
      </c>
      <c r="B1132" s="1">
        <f>DATE(2011,11,7) + TIME(22,43,37)</f>
        <v>40854.946956018517</v>
      </c>
      <c r="C1132">
        <v>80</v>
      </c>
      <c r="D1132">
        <v>79.007972717000001</v>
      </c>
      <c r="E1132">
        <v>50</v>
      </c>
      <c r="F1132">
        <v>49.969383239999999</v>
      </c>
      <c r="G1132">
        <v>1326.9493408000001</v>
      </c>
      <c r="H1132">
        <v>1324.7081298999999</v>
      </c>
      <c r="I1132">
        <v>1345.3786620999999</v>
      </c>
      <c r="J1132">
        <v>1340.7542725000001</v>
      </c>
      <c r="K1132">
        <v>0</v>
      </c>
      <c r="L1132">
        <v>2400</v>
      </c>
      <c r="M1132">
        <v>2400</v>
      </c>
      <c r="N1132">
        <v>0</v>
      </c>
    </row>
    <row r="1133" spans="1:14" x14ac:dyDescent="0.25">
      <c r="A1133">
        <v>556.24421800000005</v>
      </c>
      <c r="B1133" s="1">
        <f>DATE(2011,11,8) + TIME(5,51,40)</f>
        <v>40855.244212962964</v>
      </c>
      <c r="C1133">
        <v>80</v>
      </c>
      <c r="D1133">
        <v>78.973968506000006</v>
      </c>
      <c r="E1133">
        <v>50</v>
      </c>
      <c r="F1133">
        <v>49.969268798999998</v>
      </c>
      <c r="G1133">
        <v>1326.9359131000001</v>
      </c>
      <c r="H1133">
        <v>1324.6895752</v>
      </c>
      <c r="I1133">
        <v>1345.3654785000001</v>
      </c>
      <c r="J1133">
        <v>1340.7463379000001</v>
      </c>
      <c r="K1133">
        <v>0</v>
      </c>
      <c r="L1133">
        <v>2400</v>
      </c>
      <c r="M1133">
        <v>2400</v>
      </c>
      <c r="N1133">
        <v>0</v>
      </c>
    </row>
    <row r="1134" spans="1:14" x14ac:dyDescent="0.25">
      <c r="A1134">
        <v>556.55241799999999</v>
      </c>
      <c r="B1134" s="1">
        <f>DATE(2011,11,8) + TIME(13,15,28)</f>
        <v>40855.552407407406</v>
      </c>
      <c r="C1134">
        <v>80</v>
      </c>
      <c r="D1134">
        <v>78.939033507999994</v>
      </c>
      <c r="E1134">
        <v>50</v>
      </c>
      <c r="F1134">
        <v>49.969181061</v>
      </c>
      <c r="G1134">
        <v>1326.9219971</v>
      </c>
      <c r="H1134">
        <v>1324.6701660000001</v>
      </c>
      <c r="I1134">
        <v>1345.3521728999999</v>
      </c>
      <c r="J1134">
        <v>1340.7384033000001</v>
      </c>
      <c r="K1134">
        <v>0</v>
      </c>
      <c r="L1134">
        <v>2400</v>
      </c>
      <c r="M1134">
        <v>2400</v>
      </c>
      <c r="N1134">
        <v>0</v>
      </c>
    </row>
    <row r="1135" spans="1:14" x14ac:dyDescent="0.25">
      <c r="A1135">
        <v>556.87242700000002</v>
      </c>
      <c r="B1135" s="1">
        <f>DATE(2011,11,8) + TIME(20,56,17)</f>
        <v>40855.872418981482</v>
      </c>
      <c r="C1135">
        <v>80</v>
      </c>
      <c r="D1135">
        <v>78.903099060000002</v>
      </c>
      <c r="E1135">
        <v>50</v>
      </c>
      <c r="F1135">
        <v>49.969108581999997</v>
      </c>
      <c r="G1135">
        <v>1326.9074707</v>
      </c>
      <c r="H1135">
        <v>1324.6500243999999</v>
      </c>
      <c r="I1135">
        <v>1345.3389893000001</v>
      </c>
      <c r="J1135">
        <v>1340.7304687999999</v>
      </c>
      <c r="K1135">
        <v>0</v>
      </c>
      <c r="L1135">
        <v>2400</v>
      </c>
      <c r="M1135">
        <v>2400</v>
      </c>
      <c r="N1135">
        <v>0</v>
      </c>
    </row>
    <row r="1136" spans="1:14" x14ac:dyDescent="0.25">
      <c r="A1136">
        <v>557.205198</v>
      </c>
      <c r="B1136" s="1">
        <f>DATE(2011,11,9) + TIME(4,55,29)</f>
        <v>40856.205196759256</v>
      </c>
      <c r="C1136">
        <v>80</v>
      </c>
      <c r="D1136">
        <v>78.866088867000002</v>
      </c>
      <c r="E1136">
        <v>50</v>
      </c>
      <c r="F1136">
        <v>49.969051360999998</v>
      </c>
      <c r="G1136">
        <v>1326.8924560999999</v>
      </c>
      <c r="H1136">
        <v>1324.6290283000001</v>
      </c>
      <c r="I1136">
        <v>1345.3256836</v>
      </c>
      <c r="J1136">
        <v>1340.7226562000001</v>
      </c>
      <c r="K1136">
        <v>0</v>
      </c>
      <c r="L1136">
        <v>2400</v>
      </c>
      <c r="M1136">
        <v>2400</v>
      </c>
      <c r="N1136">
        <v>0</v>
      </c>
    </row>
    <row r="1137" spans="1:14" x14ac:dyDescent="0.25">
      <c r="A1137">
        <v>557.551782</v>
      </c>
      <c r="B1137" s="1">
        <f>DATE(2011,11,9) + TIME(13,14,34)</f>
        <v>40856.551782407405</v>
      </c>
      <c r="C1137">
        <v>80</v>
      </c>
      <c r="D1137">
        <v>78.827919006000002</v>
      </c>
      <c r="E1137">
        <v>50</v>
      </c>
      <c r="F1137">
        <v>49.969005584999998</v>
      </c>
      <c r="G1137">
        <v>1326.8767089999999</v>
      </c>
      <c r="H1137">
        <v>1324.6071777</v>
      </c>
      <c r="I1137">
        <v>1345.3125</v>
      </c>
      <c r="J1137">
        <v>1340.7147216999999</v>
      </c>
      <c r="K1137">
        <v>0</v>
      </c>
      <c r="L1137">
        <v>2400</v>
      </c>
      <c r="M1137">
        <v>2400</v>
      </c>
      <c r="N1137">
        <v>0</v>
      </c>
    </row>
    <row r="1138" spans="1:14" x14ac:dyDescent="0.25">
      <c r="A1138">
        <v>557.91335100000003</v>
      </c>
      <c r="B1138" s="1">
        <f>DATE(2011,11,9) + TIME(21,55,13)</f>
        <v>40856.913344907407</v>
      </c>
      <c r="C1138">
        <v>80</v>
      </c>
      <c r="D1138">
        <v>78.788497925000001</v>
      </c>
      <c r="E1138">
        <v>50</v>
      </c>
      <c r="F1138">
        <v>49.968963623</v>
      </c>
      <c r="G1138">
        <v>1326.8602295000001</v>
      </c>
      <c r="H1138">
        <v>1324.5843506000001</v>
      </c>
      <c r="I1138">
        <v>1345.2990723</v>
      </c>
      <c r="J1138">
        <v>1340.7067870999999</v>
      </c>
      <c r="K1138">
        <v>0</v>
      </c>
      <c r="L1138">
        <v>2400</v>
      </c>
      <c r="M1138">
        <v>2400</v>
      </c>
      <c r="N1138">
        <v>0</v>
      </c>
    </row>
    <row r="1139" spans="1:14" x14ac:dyDescent="0.25">
      <c r="A1139">
        <v>558.291201</v>
      </c>
      <c r="B1139" s="1">
        <f>DATE(2011,11,10) + TIME(6,59,19)</f>
        <v>40857.291192129633</v>
      </c>
      <c r="C1139">
        <v>80</v>
      </c>
      <c r="D1139">
        <v>78.747726439999994</v>
      </c>
      <c r="E1139">
        <v>50</v>
      </c>
      <c r="F1139">
        <v>49.968929291000002</v>
      </c>
      <c r="G1139">
        <v>1326.8430175999999</v>
      </c>
      <c r="H1139">
        <v>1324.5604248</v>
      </c>
      <c r="I1139">
        <v>1345.2857666</v>
      </c>
      <c r="J1139">
        <v>1340.6987305</v>
      </c>
      <c r="K1139">
        <v>0</v>
      </c>
      <c r="L1139">
        <v>2400</v>
      </c>
      <c r="M1139">
        <v>2400</v>
      </c>
      <c r="N1139">
        <v>0</v>
      </c>
    </row>
    <row r="1140" spans="1:14" x14ac:dyDescent="0.25">
      <c r="A1140">
        <v>558.686781</v>
      </c>
      <c r="B1140" s="1">
        <f>DATE(2011,11,10) + TIME(16,28,57)</f>
        <v>40857.68677083333</v>
      </c>
      <c r="C1140">
        <v>80</v>
      </c>
      <c r="D1140">
        <v>78.705482482999997</v>
      </c>
      <c r="E1140">
        <v>50</v>
      </c>
      <c r="F1140">
        <v>49.968894958</v>
      </c>
      <c r="G1140">
        <v>1326.8250731999999</v>
      </c>
      <c r="H1140">
        <v>1324.5354004000001</v>
      </c>
      <c r="I1140">
        <v>1345.2723389</v>
      </c>
      <c r="J1140">
        <v>1340.6907959</v>
      </c>
      <c r="K1140">
        <v>0</v>
      </c>
      <c r="L1140">
        <v>2400</v>
      </c>
      <c r="M1140">
        <v>2400</v>
      </c>
      <c r="N1140">
        <v>0</v>
      </c>
    </row>
    <row r="1141" spans="1:14" x14ac:dyDescent="0.25">
      <c r="A1141">
        <v>559.101721</v>
      </c>
      <c r="B1141" s="1">
        <f>DATE(2011,11,11) + TIME(2,26,28)</f>
        <v>40858.101712962962</v>
      </c>
      <c r="C1141">
        <v>80</v>
      </c>
      <c r="D1141">
        <v>78.661659240999995</v>
      </c>
      <c r="E1141">
        <v>50</v>
      </c>
      <c r="F1141">
        <v>49.968868256</v>
      </c>
      <c r="G1141">
        <v>1326.8061522999999</v>
      </c>
      <c r="H1141">
        <v>1324.5091553</v>
      </c>
      <c r="I1141">
        <v>1345.2586670000001</v>
      </c>
      <c r="J1141">
        <v>1340.6827393000001</v>
      </c>
      <c r="K1141">
        <v>0</v>
      </c>
      <c r="L1141">
        <v>2400</v>
      </c>
      <c r="M1141">
        <v>2400</v>
      </c>
      <c r="N1141">
        <v>0</v>
      </c>
    </row>
    <row r="1142" spans="1:14" x14ac:dyDescent="0.25">
      <c r="A1142">
        <v>559.53402400000004</v>
      </c>
      <c r="B1142" s="1">
        <f>DATE(2011,11,11) + TIME(12,48,59)</f>
        <v>40858.534016203703</v>
      </c>
      <c r="C1142">
        <v>80</v>
      </c>
      <c r="D1142">
        <v>78.616386414000004</v>
      </c>
      <c r="E1142">
        <v>50</v>
      </c>
      <c r="F1142">
        <v>49.968841552999997</v>
      </c>
      <c r="G1142">
        <v>1326.7863769999999</v>
      </c>
      <c r="H1142">
        <v>1324.4815673999999</v>
      </c>
      <c r="I1142">
        <v>1345.2449951000001</v>
      </c>
      <c r="J1142">
        <v>1340.6745605000001</v>
      </c>
      <c r="K1142">
        <v>0</v>
      </c>
      <c r="L1142">
        <v>2400</v>
      </c>
      <c r="M1142">
        <v>2400</v>
      </c>
      <c r="N1142">
        <v>0</v>
      </c>
    </row>
    <row r="1143" spans="1:14" x14ac:dyDescent="0.25">
      <c r="A1143">
        <v>559.98519799999997</v>
      </c>
      <c r="B1143" s="1">
        <f>DATE(2011,11,11) + TIME(23,38,41)</f>
        <v>40858.985196759262</v>
      </c>
      <c r="C1143">
        <v>80</v>
      </c>
      <c r="D1143">
        <v>78.569580078000001</v>
      </c>
      <c r="E1143">
        <v>50</v>
      </c>
      <c r="F1143">
        <v>49.968814850000001</v>
      </c>
      <c r="G1143">
        <v>1326.7657471</v>
      </c>
      <c r="H1143">
        <v>1324.4527588000001</v>
      </c>
      <c r="I1143">
        <v>1345.2312012</v>
      </c>
      <c r="J1143">
        <v>1340.6663818</v>
      </c>
      <c r="K1143">
        <v>0</v>
      </c>
      <c r="L1143">
        <v>2400</v>
      </c>
      <c r="M1143">
        <v>2400</v>
      </c>
      <c r="N1143">
        <v>0</v>
      </c>
    </row>
    <row r="1144" spans="1:14" x14ac:dyDescent="0.25">
      <c r="A1144">
        <v>560.44439899999998</v>
      </c>
      <c r="B1144" s="1">
        <f>DATE(2011,11,12) + TIME(10,39,56)</f>
        <v>40859.444398148145</v>
      </c>
      <c r="C1144">
        <v>80</v>
      </c>
      <c r="D1144">
        <v>78.521995544000006</v>
      </c>
      <c r="E1144">
        <v>50</v>
      </c>
      <c r="F1144">
        <v>49.968788146999998</v>
      </c>
      <c r="G1144">
        <v>1326.7441406</v>
      </c>
      <c r="H1144">
        <v>1324.4227295000001</v>
      </c>
      <c r="I1144">
        <v>1345.2174072</v>
      </c>
      <c r="J1144">
        <v>1340.6582031</v>
      </c>
      <c r="K1144">
        <v>0</v>
      </c>
      <c r="L1144">
        <v>2400</v>
      </c>
      <c r="M1144">
        <v>2400</v>
      </c>
      <c r="N1144">
        <v>0</v>
      </c>
    </row>
    <row r="1145" spans="1:14" x14ac:dyDescent="0.25">
      <c r="A1145">
        <v>560.91026299999999</v>
      </c>
      <c r="B1145" s="1">
        <f>DATE(2011,11,12) + TIME(21,50,46)</f>
        <v>40859.910254629627</v>
      </c>
      <c r="C1145">
        <v>80</v>
      </c>
      <c r="D1145">
        <v>78.473861693999993</v>
      </c>
      <c r="E1145">
        <v>50</v>
      </c>
      <c r="F1145">
        <v>49.968765259000001</v>
      </c>
      <c r="G1145">
        <v>1326.7220459</v>
      </c>
      <c r="H1145">
        <v>1324.3919678</v>
      </c>
      <c r="I1145">
        <v>1345.2039795000001</v>
      </c>
      <c r="J1145">
        <v>1340.6501464999999</v>
      </c>
      <c r="K1145">
        <v>0</v>
      </c>
      <c r="L1145">
        <v>2400</v>
      </c>
      <c r="M1145">
        <v>2400</v>
      </c>
      <c r="N1145">
        <v>0</v>
      </c>
    </row>
    <row r="1146" spans="1:14" x14ac:dyDescent="0.25">
      <c r="A1146">
        <v>561.38376100000005</v>
      </c>
      <c r="B1146" s="1">
        <f>DATE(2011,11,13) + TIME(9,12,36)</f>
        <v>40860.383750000001</v>
      </c>
      <c r="C1146">
        <v>80</v>
      </c>
      <c r="D1146">
        <v>78.425224303999997</v>
      </c>
      <c r="E1146">
        <v>50</v>
      </c>
      <c r="F1146">
        <v>49.968746185000001</v>
      </c>
      <c r="G1146">
        <v>1326.6995850000001</v>
      </c>
      <c r="H1146">
        <v>1324.3607178</v>
      </c>
      <c r="I1146">
        <v>1345.1906738</v>
      </c>
      <c r="J1146">
        <v>1340.6423339999999</v>
      </c>
      <c r="K1146">
        <v>0</v>
      </c>
      <c r="L1146">
        <v>2400</v>
      </c>
      <c r="M1146">
        <v>2400</v>
      </c>
      <c r="N1146">
        <v>0</v>
      </c>
    </row>
    <row r="1147" spans="1:14" x14ac:dyDescent="0.25">
      <c r="A1147">
        <v>561.86586</v>
      </c>
      <c r="B1147" s="1">
        <f>DATE(2011,11,13) + TIME(20,46,50)</f>
        <v>40860.865856481483</v>
      </c>
      <c r="C1147">
        <v>80</v>
      </c>
      <c r="D1147">
        <v>78.376083374000004</v>
      </c>
      <c r="E1147">
        <v>50</v>
      </c>
      <c r="F1147">
        <v>49.968723296999997</v>
      </c>
      <c r="G1147">
        <v>1326.6767577999999</v>
      </c>
      <c r="H1147">
        <v>1324.3288574000001</v>
      </c>
      <c r="I1147">
        <v>1345.1777344</v>
      </c>
      <c r="J1147">
        <v>1340.6346435999999</v>
      </c>
      <c r="K1147">
        <v>0</v>
      </c>
      <c r="L1147">
        <v>2400</v>
      </c>
      <c r="M1147">
        <v>2400</v>
      </c>
      <c r="N1147">
        <v>0</v>
      </c>
    </row>
    <row r="1148" spans="1:14" x14ac:dyDescent="0.25">
      <c r="A1148">
        <v>562.35754699999995</v>
      </c>
      <c r="B1148" s="1">
        <f>DATE(2011,11,14) + TIME(8,34,52)</f>
        <v>40861.357546296298</v>
      </c>
      <c r="C1148">
        <v>80</v>
      </c>
      <c r="D1148">
        <v>78.326423645000006</v>
      </c>
      <c r="E1148">
        <v>50</v>
      </c>
      <c r="F1148">
        <v>49.968704224</v>
      </c>
      <c r="G1148">
        <v>1326.6534423999999</v>
      </c>
      <c r="H1148">
        <v>1324.2962646000001</v>
      </c>
      <c r="I1148">
        <v>1345.1650391000001</v>
      </c>
      <c r="J1148">
        <v>1340.6271973</v>
      </c>
      <c r="K1148">
        <v>0</v>
      </c>
      <c r="L1148">
        <v>2400</v>
      </c>
      <c r="M1148">
        <v>2400</v>
      </c>
      <c r="N1148">
        <v>0</v>
      </c>
    </row>
    <row r="1149" spans="1:14" x14ac:dyDescent="0.25">
      <c r="A1149">
        <v>562.85982999999999</v>
      </c>
      <c r="B1149" s="1">
        <f>DATE(2011,11,14) + TIME(20,38,9)</f>
        <v>40861.859826388885</v>
      </c>
      <c r="C1149">
        <v>80</v>
      </c>
      <c r="D1149">
        <v>78.276191710999996</v>
      </c>
      <c r="E1149">
        <v>50</v>
      </c>
      <c r="F1149">
        <v>49.968685149999999</v>
      </c>
      <c r="G1149">
        <v>1326.6296387</v>
      </c>
      <c r="H1149">
        <v>1324.2630615</v>
      </c>
      <c r="I1149">
        <v>1345.1525879000001</v>
      </c>
      <c r="J1149">
        <v>1340.619751</v>
      </c>
      <c r="K1149">
        <v>0</v>
      </c>
      <c r="L1149">
        <v>2400</v>
      </c>
      <c r="M1149">
        <v>2400</v>
      </c>
      <c r="N1149">
        <v>0</v>
      </c>
    </row>
    <row r="1150" spans="1:14" x14ac:dyDescent="0.25">
      <c r="A1150">
        <v>563.37376700000004</v>
      </c>
      <c r="B1150" s="1">
        <f>DATE(2011,11,15) + TIME(8,58,13)</f>
        <v>40862.373761574076</v>
      </c>
      <c r="C1150">
        <v>80</v>
      </c>
      <c r="D1150">
        <v>78.225334167</v>
      </c>
      <c r="E1150">
        <v>50</v>
      </c>
      <c r="F1150">
        <v>49.968666077000002</v>
      </c>
      <c r="G1150">
        <v>1326.6053466999999</v>
      </c>
      <c r="H1150">
        <v>1324.229126</v>
      </c>
      <c r="I1150">
        <v>1345.1402588000001</v>
      </c>
      <c r="J1150">
        <v>1340.6125488</v>
      </c>
      <c r="K1150">
        <v>0</v>
      </c>
      <c r="L1150">
        <v>2400</v>
      </c>
      <c r="M1150">
        <v>2400</v>
      </c>
      <c r="N1150">
        <v>0</v>
      </c>
    </row>
    <row r="1151" spans="1:14" x14ac:dyDescent="0.25">
      <c r="A1151">
        <v>563.90047300000003</v>
      </c>
      <c r="B1151" s="1">
        <f>DATE(2011,11,15) + TIME(21,36,40)</f>
        <v>40862.900462962964</v>
      </c>
      <c r="C1151">
        <v>80</v>
      </c>
      <c r="D1151">
        <v>78.173789978000002</v>
      </c>
      <c r="E1151">
        <v>50</v>
      </c>
      <c r="F1151">
        <v>49.968647003000001</v>
      </c>
      <c r="G1151">
        <v>1326.5804443</v>
      </c>
      <c r="H1151">
        <v>1324.1944579999999</v>
      </c>
      <c r="I1151">
        <v>1345.1280518000001</v>
      </c>
      <c r="J1151">
        <v>1340.6053466999999</v>
      </c>
      <c r="K1151">
        <v>0</v>
      </c>
      <c r="L1151">
        <v>2400</v>
      </c>
      <c r="M1151">
        <v>2400</v>
      </c>
      <c r="N1151">
        <v>0</v>
      </c>
    </row>
    <row r="1152" spans="1:14" x14ac:dyDescent="0.25">
      <c r="A1152">
        <v>564.44111199999998</v>
      </c>
      <c r="B1152" s="1">
        <f>DATE(2011,11,16) + TIME(10,35,12)</f>
        <v>40863.441111111111</v>
      </c>
      <c r="C1152">
        <v>80</v>
      </c>
      <c r="D1152">
        <v>78.121482849000003</v>
      </c>
      <c r="E1152">
        <v>50</v>
      </c>
      <c r="F1152">
        <v>49.968631744</v>
      </c>
      <c r="G1152">
        <v>1326.5549315999999</v>
      </c>
      <c r="H1152">
        <v>1324.1589355000001</v>
      </c>
      <c r="I1152">
        <v>1345.1159668</v>
      </c>
      <c r="J1152">
        <v>1340.5982666</v>
      </c>
      <c r="K1152">
        <v>0</v>
      </c>
      <c r="L1152">
        <v>2400</v>
      </c>
      <c r="M1152">
        <v>2400</v>
      </c>
      <c r="N1152">
        <v>0</v>
      </c>
    </row>
    <row r="1153" spans="1:14" x14ac:dyDescent="0.25">
      <c r="A1153">
        <v>564.99681099999998</v>
      </c>
      <c r="B1153" s="1">
        <f>DATE(2011,11,16) + TIME(23,55,24)</f>
        <v>40863.996805555558</v>
      </c>
      <c r="C1153">
        <v>80</v>
      </c>
      <c r="D1153">
        <v>78.068336486999996</v>
      </c>
      <c r="E1153">
        <v>50</v>
      </c>
      <c r="F1153">
        <v>49.968612671000002</v>
      </c>
      <c r="G1153">
        <v>1326.5288086</v>
      </c>
      <c r="H1153">
        <v>1324.1224365</v>
      </c>
      <c r="I1153">
        <v>1345.1040039</v>
      </c>
      <c r="J1153">
        <v>1340.5911865</v>
      </c>
      <c r="K1153">
        <v>0</v>
      </c>
      <c r="L1153">
        <v>2400</v>
      </c>
      <c r="M1153">
        <v>2400</v>
      </c>
      <c r="N1153">
        <v>0</v>
      </c>
    </row>
    <row r="1154" spans="1:14" x14ac:dyDescent="0.25">
      <c r="A1154">
        <v>565.56885199999999</v>
      </c>
      <c r="B1154" s="1">
        <f>DATE(2011,11,17) + TIME(13,39,8)</f>
        <v>40864.568842592591</v>
      </c>
      <c r="C1154">
        <v>80</v>
      </c>
      <c r="D1154">
        <v>78.014266968000001</v>
      </c>
      <c r="E1154">
        <v>50</v>
      </c>
      <c r="F1154">
        <v>49.968597412000001</v>
      </c>
      <c r="G1154">
        <v>1326.5019531</v>
      </c>
      <c r="H1154">
        <v>1324.0849608999999</v>
      </c>
      <c r="I1154">
        <v>1345.0920410000001</v>
      </c>
      <c r="J1154">
        <v>1340.5842285000001</v>
      </c>
      <c r="K1154">
        <v>0</v>
      </c>
      <c r="L1154">
        <v>2400</v>
      </c>
      <c r="M1154">
        <v>2400</v>
      </c>
      <c r="N1154">
        <v>0</v>
      </c>
    </row>
    <row r="1155" spans="1:14" x14ac:dyDescent="0.25">
      <c r="A1155">
        <v>566.15877399999999</v>
      </c>
      <c r="B1155" s="1">
        <f>DATE(2011,11,18) + TIME(3,48,38)</f>
        <v>40865.158773148149</v>
      </c>
      <c r="C1155">
        <v>80</v>
      </c>
      <c r="D1155">
        <v>77.959182738999999</v>
      </c>
      <c r="E1155">
        <v>50</v>
      </c>
      <c r="F1155">
        <v>49.968582153</v>
      </c>
      <c r="G1155">
        <v>1326.4742432</v>
      </c>
      <c r="H1155">
        <v>1324.0463867000001</v>
      </c>
      <c r="I1155">
        <v>1345.0802002</v>
      </c>
      <c r="J1155">
        <v>1340.5772704999999</v>
      </c>
      <c r="K1155">
        <v>0</v>
      </c>
      <c r="L1155">
        <v>2400</v>
      </c>
      <c r="M1155">
        <v>2400</v>
      </c>
      <c r="N1155">
        <v>0</v>
      </c>
    </row>
    <row r="1156" spans="1:14" x14ac:dyDescent="0.25">
      <c r="A1156">
        <v>566.76812800000005</v>
      </c>
      <c r="B1156" s="1">
        <f>DATE(2011,11,18) + TIME(18,26,6)</f>
        <v>40865.768125000002</v>
      </c>
      <c r="C1156">
        <v>80</v>
      </c>
      <c r="D1156">
        <v>77.902984618999994</v>
      </c>
      <c r="E1156">
        <v>50</v>
      </c>
      <c r="F1156">
        <v>49.968566895000002</v>
      </c>
      <c r="G1156">
        <v>1326.4458007999999</v>
      </c>
      <c r="H1156">
        <v>1324.0067139</v>
      </c>
      <c r="I1156">
        <v>1345.0683594</v>
      </c>
      <c r="J1156">
        <v>1340.5704346</v>
      </c>
      <c r="K1156">
        <v>0</v>
      </c>
      <c r="L1156">
        <v>2400</v>
      </c>
      <c r="M1156">
        <v>2400</v>
      </c>
      <c r="N1156">
        <v>0</v>
      </c>
    </row>
    <row r="1157" spans="1:14" x14ac:dyDescent="0.25">
      <c r="A1157">
        <v>567.39860399999998</v>
      </c>
      <c r="B1157" s="1">
        <f>DATE(2011,11,19) + TIME(9,33,59)</f>
        <v>40866.398599537039</v>
      </c>
      <c r="C1157">
        <v>80</v>
      </c>
      <c r="D1157">
        <v>77.845565796000002</v>
      </c>
      <c r="E1157">
        <v>50</v>
      </c>
      <c r="F1157">
        <v>49.968551636000001</v>
      </c>
      <c r="G1157">
        <v>1326.4165039</v>
      </c>
      <c r="H1157">
        <v>1323.9656981999999</v>
      </c>
      <c r="I1157">
        <v>1345.0565185999999</v>
      </c>
      <c r="J1157">
        <v>1340.5634766000001</v>
      </c>
      <c r="K1157">
        <v>0</v>
      </c>
      <c r="L1157">
        <v>2400</v>
      </c>
      <c r="M1157">
        <v>2400</v>
      </c>
      <c r="N1157">
        <v>0</v>
      </c>
    </row>
    <row r="1158" spans="1:14" x14ac:dyDescent="0.25">
      <c r="A1158">
        <v>568.05204600000002</v>
      </c>
      <c r="B1158" s="1">
        <f>DATE(2011,11,20) + TIME(1,14,56)</f>
        <v>40867.052037037036</v>
      </c>
      <c r="C1158">
        <v>80</v>
      </c>
      <c r="D1158">
        <v>77.786811829000001</v>
      </c>
      <c r="E1158">
        <v>50</v>
      </c>
      <c r="F1158">
        <v>49.968540191999999</v>
      </c>
      <c r="G1158">
        <v>1326.3861084</v>
      </c>
      <c r="H1158">
        <v>1323.9234618999999</v>
      </c>
      <c r="I1158">
        <v>1345.0446777</v>
      </c>
      <c r="J1158">
        <v>1340.5566406</v>
      </c>
      <c r="K1158">
        <v>0</v>
      </c>
      <c r="L1158">
        <v>2400</v>
      </c>
      <c r="M1158">
        <v>2400</v>
      </c>
      <c r="N1158">
        <v>0</v>
      </c>
    </row>
    <row r="1159" spans="1:14" x14ac:dyDescent="0.25">
      <c r="A1159">
        <v>568.73046299999999</v>
      </c>
      <c r="B1159" s="1">
        <f>DATE(2011,11,20) + TIME(17,31,52)</f>
        <v>40867.730462962965</v>
      </c>
      <c r="C1159">
        <v>80</v>
      </c>
      <c r="D1159">
        <v>77.726608275999993</v>
      </c>
      <c r="E1159">
        <v>50</v>
      </c>
      <c r="F1159">
        <v>49.968524932999998</v>
      </c>
      <c r="G1159">
        <v>1326.3548584</v>
      </c>
      <c r="H1159">
        <v>1323.8797606999999</v>
      </c>
      <c r="I1159">
        <v>1345.0328368999999</v>
      </c>
      <c r="J1159">
        <v>1340.5496826000001</v>
      </c>
      <c r="K1159">
        <v>0</v>
      </c>
      <c r="L1159">
        <v>2400</v>
      </c>
      <c r="M1159">
        <v>2400</v>
      </c>
      <c r="N1159">
        <v>0</v>
      </c>
    </row>
    <row r="1160" spans="1:14" x14ac:dyDescent="0.25">
      <c r="A1160">
        <v>569.43609000000004</v>
      </c>
      <c r="B1160" s="1">
        <f>DATE(2011,11,21) + TIME(10,27,58)</f>
        <v>40868.43608796296</v>
      </c>
      <c r="C1160">
        <v>80</v>
      </c>
      <c r="D1160">
        <v>77.664833068999997</v>
      </c>
      <c r="E1160">
        <v>50</v>
      </c>
      <c r="F1160">
        <v>49.968513489000003</v>
      </c>
      <c r="G1160">
        <v>1326.3222656</v>
      </c>
      <c r="H1160">
        <v>1323.8344727000001</v>
      </c>
      <c r="I1160">
        <v>1345.020874</v>
      </c>
      <c r="J1160">
        <v>1340.5428466999999</v>
      </c>
      <c r="K1160">
        <v>0</v>
      </c>
      <c r="L1160">
        <v>2400</v>
      </c>
      <c r="M1160">
        <v>2400</v>
      </c>
      <c r="N1160">
        <v>0</v>
      </c>
    </row>
    <row r="1161" spans="1:14" x14ac:dyDescent="0.25">
      <c r="A1161">
        <v>570.17139599999996</v>
      </c>
      <c r="B1161" s="1">
        <f>DATE(2011,11,22) + TIME(4,6,48)</f>
        <v>40869.171388888892</v>
      </c>
      <c r="C1161">
        <v>80</v>
      </c>
      <c r="D1161">
        <v>77.601333617999998</v>
      </c>
      <c r="E1161">
        <v>50</v>
      </c>
      <c r="F1161">
        <v>49.968502045000001</v>
      </c>
      <c r="G1161">
        <v>1326.2885742000001</v>
      </c>
      <c r="H1161">
        <v>1323.7874756000001</v>
      </c>
      <c r="I1161">
        <v>1345.0089111</v>
      </c>
      <c r="J1161">
        <v>1340.5358887</v>
      </c>
      <c r="K1161">
        <v>0</v>
      </c>
      <c r="L1161">
        <v>2400</v>
      </c>
      <c r="M1161">
        <v>2400</v>
      </c>
      <c r="N1161">
        <v>0</v>
      </c>
    </row>
    <row r="1162" spans="1:14" x14ac:dyDescent="0.25">
      <c r="A1162">
        <v>570.93866000000003</v>
      </c>
      <c r="B1162" s="1">
        <f>DATE(2011,11,22) + TIME(22,31,40)</f>
        <v>40869.938657407409</v>
      </c>
      <c r="C1162">
        <v>80</v>
      </c>
      <c r="D1162">
        <v>77.535987853999998</v>
      </c>
      <c r="E1162">
        <v>50</v>
      </c>
      <c r="F1162">
        <v>49.968490600999999</v>
      </c>
      <c r="G1162">
        <v>1326.2535399999999</v>
      </c>
      <c r="H1162">
        <v>1323.7386475000001</v>
      </c>
      <c r="I1162">
        <v>1344.9968262</v>
      </c>
      <c r="J1162">
        <v>1340.5289307</v>
      </c>
      <c r="K1162">
        <v>0</v>
      </c>
      <c r="L1162">
        <v>2400</v>
      </c>
      <c r="M1162">
        <v>2400</v>
      </c>
      <c r="N1162">
        <v>0</v>
      </c>
    </row>
    <row r="1163" spans="1:14" x14ac:dyDescent="0.25">
      <c r="A1163">
        <v>571.72190899999998</v>
      </c>
      <c r="B1163" s="1">
        <f>DATE(2011,11,23) + TIME(17,19,32)</f>
        <v>40870.721898148149</v>
      </c>
      <c r="C1163">
        <v>80</v>
      </c>
      <c r="D1163">
        <v>77.469459533999995</v>
      </c>
      <c r="E1163">
        <v>50</v>
      </c>
      <c r="F1163">
        <v>49.968479156000001</v>
      </c>
      <c r="G1163">
        <v>1326.2171631000001</v>
      </c>
      <c r="H1163">
        <v>1323.6879882999999</v>
      </c>
      <c r="I1163">
        <v>1344.9846190999999</v>
      </c>
      <c r="J1163">
        <v>1340.5218506000001</v>
      </c>
      <c r="K1163">
        <v>0</v>
      </c>
      <c r="L1163">
        <v>2400</v>
      </c>
      <c r="M1163">
        <v>2400</v>
      </c>
      <c r="N1163">
        <v>0</v>
      </c>
    </row>
    <row r="1164" spans="1:14" x14ac:dyDescent="0.25">
      <c r="A1164">
        <v>572.51668299999994</v>
      </c>
      <c r="B1164" s="1">
        <f>DATE(2011,11,24) + TIME(12,24,1)</f>
        <v>40871.51667824074</v>
      </c>
      <c r="C1164">
        <v>80</v>
      </c>
      <c r="D1164">
        <v>77.402259826999995</v>
      </c>
      <c r="E1164">
        <v>50</v>
      </c>
      <c r="F1164">
        <v>49.968467711999999</v>
      </c>
      <c r="G1164">
        <v>1326.1800536999999</v>
      </c>
      <c r="H1164">
        <v>1323.6363524999999</v>
      </c>
      <c r="I1164">
        <v>1344.9726562000001</v>
      </c>
      <c r="J1164">
        <v>1340.5150146000001</v>
      </c>
      <c r="K1164">
        <v>0</v>
      </c>
      <c r="L1164">
        <v>2400</v>
      </c>
      <c r="M1164">
        <v>2400</v>
      </c>
      <c r="N1164">
        <v>0</v>
      </c>
    </row>
    <row r="1165" spans="1:14" x14ac:dyDescent="0.25">
      <c r="A1165">
        <v>573.32473000000005</v>
      </c>
      <c r="B1165" s="1">
        <f>DATE(2011,11,25) + TIME(7,47,36)</f>
        <v>40872.32472222222</v>
      </c>
      <c r="C1165">
        <v>80</v>
      </c>
      <c r="D1165">
        <v>77.334579468000001</v>
      </c>
      <c r="E1165">
        <v>50</v>
      </c>
      <c r="F1165">
        <v>49.968460082999997</v>
      </c>
      <c r="G1165">
        <v>1326.1423339999999</v>
      </c>
      <c r="H1165">
        <v>1323.5837402</v>
      </c>
      <c r="I1165">
        <v>1344.9608154</v>
      </c>
      <c r="J1165">
        <v>1340.5081786999999</v>
      </c>
      <c r="K1165">
        <v>0</v>
      </c>
      <c r="L1165">
        <v>2400</v>
      </c>
      <c r="M1165">
        <v>2400</v>
      </c>
      <c r="N1165">
        <v>0</v>
      </c>
    </row>
    <row r="1166" spans="1:14" x14ac:dyDescent="0.25">
      <c r="A1166">
        <v>574.14776199999994</v>
      </c>
      <c r="B1166" s="1">
        <f>DATE(2011,11,26) + TIME(3,32,46)</f>
        <v>40873.14775462963</v>
      </c>
      <c r="C1166">
        <v>80</v>
      </c>
      <c r="D1166">
        <v>77.266448975000003</v>
      </c>
      <c r="E1166">
        <v>50</v>
      </c>
      <c r="F1166">
        <v>49.968448639000002</v>
      </c>
      <c r="G1166">
        <v>1326.1040039</v>
      </c>
      <c r="H1166">
        <v>1323.5303954999999</v>
      </c>
      <c r="I1166">
        <v>1344.9492187999999</v>
      </c>
      <c r="J1166">
        <v>1340.5015868999999</v>
      </c>
      <c r="K1166">
        <v>0</v>
      </c>
      <c r="L1166">
        <v>2400</v>
      </c>
      <c r="M1166">
        <v>2400</v>
      </c>
      <c r="N1166">
        <v>0</v>
      </c>
    </row>
    <row r="1167" spans="1:14" x14ac:dyDescent="0.25">
      <c r="A1167">
        <v>574.98757799999998</v>
      </c>
      <c r="B1167" s="1">
        <f>DATE(2011,11,26) + TIME(23,42,6)</f>
        <v>40873.987569444442</v>
      </c>
      <c r="C1167">
        <v>80</v>
      </c>
      <c r="D1167">
        <v>77.197845459000007</v>
      </c>
      <c r="E1167">
        <v>50</v>
      </c>
      <c r="F1167">
        <v>49.968441009999999</v>
      </c>
      <c r="G1167">
        <v>1326.0650635</v>
      </c>
      <c r="H1167">
        <v>1323.4761963000001</v>
      </c>
      <c r="I1167">
        <v>1344.9377440999999</v>
      </c>
      <c r="J1167">
        <v>1340.4949951000001</v>
      </c>
      <c r="K1167">
        <v>0</v>
      </c>
      <c r="L1167">
        <v>2400</v>
      </c>
      <c r="M1167">
        <v>2400</v>
      </c>
      <c r="N1167">
        <v>0</v>
      </c>
    </row>
    <row r="1168" spans="1:14" x14ac:dyDescent="0.25">
      <c r="A1168">
        <v>575.84608800000001</v>
      </c>
      <c r="B1168" s="1">
        <f>DATE(2011,11,27) + TIME(20,18,21)</f>
        <v>40874.846076388887</v>
      </c>
      <c r="C1168">
        <v>80</v>
      </c>
      <c r="D1168">
        <v>77.128669739000003</v>
      </c>
      <c r="E1168">
        <v>50</v>
      </c>
      <c r="F1168">
        <v>49.96843338</v>
      </c>
      <c r="G1168">
        <v>1326.0255127</v>
      </c>
      <c r="H1168">
        <v>1323.4210204999999</v>
      </c>
      <c r="I1168">
        <v>1344.9265137</v>
      </c>
      <c r="J1168">
        <v>1340.4885254000001</v>
      </c>
      <c r="K1168">
        <v>0</v>
      </c>
      <c r="L1168">
        <v>2400</v>
      </c>
      <c r="M1168">
        <v>2400</v>
      </c>
      <c r="N1168">
        <v>0</v>
      </c>
    </row>
    <row r="1169" spans="1:14" x14ac:dyDescent="0.25">
      <c r="A1169">
        <v>576.72524599999997</v>
      </c>
      <c r="B1169" s="1">
        <f>DATE(2011,11,28) + TIME(17,24,21)</f>
        <v>40875.725243055553</v>
      </c>
      <c r="C1169">
        <v>80</v>
      </c>
      <c r="D1169">
        <v>77.058830260999997</v>
      </c>
      <c r="E1169">
        <v>50</v>
      </c>
      <c r="F1169">
        <v>49.968429565000001</v>
      </c>
      <c r="G1169">
        <v>1325.9852295000001</v>
      </c>
      <c r="H1169">
        <v>1323.3647461</v>
      </c>
      <c r="I1169">
        <v>1344.9152832</v>
      </c>
      <c r="J1169">
        <v>1340.4821777</v>
      </c>
      <c r="K1169">
        <v>0</v>
      </c>
      <c r="L1169">
        <v>2400</v>
      </c>
      <c r="M1169">
        <v>2400</v>
      </c>
      <c r="N1169">
        <v>0</v>
      </c>
    </row>
    <row r="1170" spans="1:14" x14ac:dyDescent="0.25">
      <c r="A1170">
        <v>577.62699699999996</v>
      </c>
      <c r="B1170" s="1">
        <f>DATE(2011,11,29) + TIME(15,2,52)</f>
        <v>40876.62699074074</v>
      </c>
      <c r="C1170">
        <v>80</v>
      </c>
      <c r="D1170">
        <v>76.988204956000004</v>
      </c>
      <c r="E1170">
        <v>50</v>
      </c>
      <c r="F1170">
        <v>49.968421935999999</v>
      </c>
      <c r="G1170">
        <v>1325.9439697</v>
      </c>
      <c r="H1170">
        <v>1323.3074951000001</v>
      </c>
      <c r="I1170">
        <v>1344.9041748</v>
      </c>
      <c r="J1170">
        <v>1340.4758300999999</v>
      </c>
      <c r="K1170">
        <v>0</v>
      </c>
      <c r="L1170">
        <v>2400</v>
      </c>
      <c r="M1170">
        <v>2400</v>
      </c>
      <c r="N1170">
        <v>0</v>
      </c>
    </row>
    <row r="1171" spans="1:14" x14ac:dyDescent="0.25">
      <c r="A1171">
        <v>578.55326600000001</v>
      </c>
      <c r="B1171" s="1">
        <f>DATE(2011,11,30) + TIME(13,16,42)</f>
        <v>40877.553263888891</v>
      </c>
      <c r="C1171">
        <v>80</v>
      </c>
      <c r="D1171">
        <v>76.916694641000007</v>
      </c>
      <c r="E1171">
        <v>50</v>
      </c>
      <c r="F1171">
        <v>49.968418120999999</v>
      </c>
      <c r="G1171">
        <v>1325.9019774999999</v>
      </c>
      <c r="H1171">
        <v>1323.2489014</v>
      </c>
      <c r="I1171">
        <v>1344.8930664</v>
      </c>
      <c r="J1171">
        <v>1340.4696045000001</v>
      </c>
      <c r="K1171">
        <v>0</v>
      </c>
      <c r="L1171">
        <v>2400</v>
      </c>
      <c r="M1171">
        <v>2400</v>
      </c>
      <c r="N1171">
        <v>0</v>
      </c>
    </row>
    <row r="1172" spans="1:14" x14ac:dyDescent="0.25">
      <c r="A1172">
        <v>579</v>
      </c>
      <c r="B1172" s="1">
        <f>DATE(2011,12,1) + TIME(0,0,0)</f>
        <v>40878</v>
      </c>
      <c r="C1172">
        <v>80</v>
      </c>
      <c r="D1172">
        <v>76.868942261000001</v>
      </c>
      <c r="E1172">
        <v>50</v>
      </c>
      <c r="F1172">
        <v>49.968410491999997</v>
      </c>
      <c r="G1172">
        <v>1325.8616943</v>
      </c>
      <c r="H1172">
        <v>1323.1943358999999</v>
      </c>
      <c r="I1172">
        <v>1344.8818358999999</v>
      </c>
      <c r="J1172">
        <v>1340.4631348</v>
      </c>
      <c r="K1172">
        <v>0</v>
      </c>
      <c r="L1172">
        <v>2400</v>
      </c>
      <c r="M1172">
        <v>2400</v>
      </c>
      <c r="N1172">
        <v>0</v>
      </c>
    </row>
    <row r="1173" spans="1:14" x14ac:dyDescent="0.25">
      <c r="A1173">
        <v>579.95331999999996</v>
      </c>
      <c r="B1173" s="1">
        <f>DATE(2011,12,1) + TIME(22,52,46)</f>
        <v>40878.953310185185</v>
      </c>
      <c r="C1173">
        <v>80</v>
      </c>
      <c r="D1173">
        <v>76.803779602000006</v>
      </c>
      <c r="E1173">
        <v>50</v>
      </c>
      <c r="F1173">
        <v>49.968410491999997</v>
      </c>
      <c r="G1173">
        <v>1325.8353271000001</v>
      </c>
      <c r="H1173">
        <v>1323.1552733999999</v>
      </c>
      <c r="I1173">
        <v>1344.8769531</v>
      </c>
      <c r="J1173">
        <v>1340.4604492000001</v>
      </c>
      <c r="K1173">
        <v>0</v>
      </c>
      <c r="L1173">
        <v>2400</v>
      </c>
      <c r="M1173">
        <v>2400</v>
      </c>
      <c r="N1173">
        <v>0</v>
      </c>
    </row>
    <row r="1174" spans="1:14" x14ac:dyDescent="0.25">
      <c r="A1174">
        <v>580.95125299999995</v>
      </c>
      <c r="B1174" s="1">
        <f>DATE(2011,12,2) + TIME(22,49,48)</f>
        <v>40879.951249999998</v>
      </c>
      <c r="C1174">
        <v>80</v>
      </c>
      <c r="D1174">
        <v>76.733238220000004</v>
      </c>
      <c r="E1174">
        <v>50</v>
      </c>
      <c r="F1174">
        <v>49.968410491999997</v>
      </c>
      <c r="G1174">
        <v>1325.7927245999999</v>
      </c>
      <c r="H1174">
        <v>1323.0965576000001</v>
      </c>
      <c r="I1174">
        <v>1344.8660889</v>
      </c>
      <c r="J1174">
        <v>1340.4543457</v>
      </c>
      <c r="K1174">
        <v>0</v>
      </c>
      <c r="L1174">
        <v>2400</v>
      </c>
      <c r="M1174">
        <v>2400</v>
      </c>
      <c r="N1174">
        <v>0</v>
      </c>
    </row>
    <row r="1175" spans="1:14" x14ac:dyDescent="0.25">
      <c r="A1175">
        <v>581.98237500000005</v>
      </c>
      <c r="B1175" s="1">
        <f>DATE(2011,12,3) + TIME(23,34,37)</f>
        <v>40880.982372685183</v>
      </c>
      <c r="C1175">
        <v>80</v>
      </c>
      <c r="D1175">
        <v>76.659233092999997</v>
      </c>
      <c r="E1175">
        <v>50</v>
      </c>
      <c r="F1175">
        <v>49.968410491999997</v>
      </c>
      <c r="G1175">
        <v>1325.7478027</v>
      </c>
      <c r="H1175">
        <v>1323.0341797000001</v>
      </c>
      <c r="I1175">
        <v>1344.8551024999999</v>
      </c>
      <c r="J1175">
        <v>1340.4481201000001</v>
      </c>
      <c r="K1175">
        <v>0</v>
      </c>
      <c r="L1175">
        <v>2400</v>
      </c>
      <c r="M1175">
        <v>2400</v>
      </c>
      <c r="N1175">
        <v>0</v>
      </c>
    </row>
    <row r="1176" spans="1:14" x14ac:dyDescent="0.25">
      <c r="A1176">
        <v>583.05027500000006</v>
      </c>
      <c r="B1176" s="1">
        <f>DATE(2011,12,5) + TIME(1,12,23)</f>
        <v>40882.050266203703</v>
      </c>
      <c r="C1176">
        <v>80</v>
      </c>
      <c r="D1176">
        <v>76.582733153999996</v>
      </c>
      <c r="E1176">
        <v>50</v>
      </c>
      <c r="F1176">
        <v>49.968410491999997</v>
      </c>
      <c r="G1176">
        <v>1325.7010498</v>
      </c>
      <c r="H1176">
        <v>1322.9693603999999</v>
      </c>
      <c r="I1176">
        <v>1344.8439940999999</v>
      </c>
      <c r="J1176">
        <v>1340.4418945</v>
      </c>
      <c r="K1176">
        <v>0</v>
      </c>
      <c r="L1176">
        <v>2400</v>
      </c>
      <c r="M1176">
        <v>2400</v>
      </c>
      <c r="N1176">
        <v>0</v>
      </c>
    </row>
    <row r="1177" spans="1:14" x14ac:dyDescent="0.25">
      <c r="A1177">
        <v>584.15836200000001</v>
      </c>
      <c r="B1177" s="1">
        <f>DATE(2011,12,6) + TIME(3,48,2)</f>
        <v>40883.158356481479</v>
      </c>
      <c r="C1177">
        <v>80</v>
      </c>
      <c r="D1177">
        <v>76.504074097</v>
      </c>
      <c r="E1177">
        <v>50</v>
      </c>
      <c r="F1177">
        <v>49.968410491999997</v>
      </c>
      <c r="G1177">
        <v>1325.6525879000001</v>
      </c>
      <c r="H1177">
        <v>1322.9020995999999</v>
      </c>
      <c r="I1177">
        <v>1344.8328856999999</v>
      </c>
      <c r="J1177">
        <v>1340.4356689000001</v>
      </c>
      <c r="K1177">
        <v>0</v>
      </c>
      <c r="L1177">
        <v>2400</v>
      </c>
      <c r="M1177">
        <v>2400</v>
      </c>
      <c r="N1177">
        <v>0</v>
      </c>
    </row>
    <row r="1178" spans="1:14" x14ac:dyDescent="0.25">
      <c r="A1178">
        <v>585.31040199999995</v>
      </c>
      <c r="B1178" s="1">
        <f>DATE(2011,12,7) + TIME(7,26,58)</f>
        <v>40884.310393518521</v>
      </c>
      <c r="C1178">
        <v>80</v>
      </c>
      <c r="D1178">
        <v>76.423301696999999</v>
      </c>
      <c r="E1178">
        <v>50</v>
      </c>
      <c r="F1178">
        <v>49.968414307000003</v>
      </c>
      <c r="G1178">
        <v>1325.6025391000001</v>
      </c>
      <c r="H1178">
        <v>1322.8325195</v>
      </c>
      <c r="I1178">
        <v>1344.8217772999999</v>
      </c>
      <c r="J1178">
        <v>1340.4294434000001</v>
      </c>
      <c r="K1178">
        <v>0</v>
      </c>
      <c r="L1178">
        <v>2400</v>
      </c>
      <c r="M1178">
        <v>2400</v>
      </c>
      <c r="N1178">
        <v>0</v>
      </c>
    </row>
    <row r="1179" spans="1:14" x14ac:dyDescent="0.25">
      <c r="A1179">
        <v>586.50534700000003</v>
      </c>
      <c r="B1179" s="1">
        <f>DATE(2011,12,8) + TIME(12,7,41)</f>
        <v>40885.505335648151</v>
      </c>
      <c r="C1179">
        <v>80</v>
      </c>
      <c r="D1179">
        <v>76.340461731000005</v>
      </c>
      <c r="E1179">
        <v>50</v>
      </c>
      <c r="F1179">
        <v>49.968414307000003</v>
      </c>
      <c r="G1179">
        <v>1325.5507812000001</v>
      </c>
      <c r="H1179">
        <v>1322.7606201000001</v>
      </c>
      <c r="I1179">
        <v>1344.8105469</v>
      </c>
      <c r="J1179">
        <v>1340.4232178</v>
      </c>
      <c r="K1179">
        <v>0</v>
      </c>
      <c r="L1179">
        <v>2400</v>
      </c>
      <c r="M1179">
        <v>2400</v>
      </c>
      <c r="N1179">
        <v>0</v>
      </c>
    </row>
    <row r="1180" spans="1:14" x14ac:dyDescent="0.25">
      <c r="A1180">
        <v>587.71835099999998</v>
      </c>
      <c r="B1180" s="1">
        <f>DATE(2011,12,9) + TIME(17,14,25)</f>
        <v>40886.718344907407</v>
      </c>
      <c r="C1180">
        <v>80</v>
      </c>
      <c r="D1180">
        <v>76.256278992000006</v>
      </c>
      <c r="E1180">
        <v>50</v>
      </c>
      <c r="F1180">
        <v>49.968418120999999</v>
      </c>
      <c r="G1180">
        <v>1325.4973144999999</v>
      </c>
      <c r="H1180">
        <v>1322.6865233999999</v>
      </c>
      <c r="I1180">
        <v>1344.7991943</v>
      </c>
      <c r="J1180">
        <v>1340.4169922000001</v>
      </c>
      <c r="K1180">
        <v>0</v>
      </c>
      <c r="L1180">
        <v>2400</v>
      </c>
      <c r="M1180">
        <v>2400</v>
      </c>
      <c r="N1180">
        <v>0</v>
      </c>
    </row>
    <row r="1181" spans="1:14" x14ac:dyDescent="0.25">
      <c r="A1181">
        <v>588.95245999999997</v>
      </c>
      <c r="B1181" s="1">
        <f>DATE(2011,12,10) + TIME(22,51,32)</f>
        <v>40887.952453703707</v>
      </c>
      <c r="C1181">
        <v>80</v>
      </c>
      <c r="D1181">
        <v>76.171340942</v>
      </c>
      <c r="E1181">
        <v>50</v>
      </c>
      <c r="F1181">
        <v>49.968421935999999</v>
      </c>
      <c r="G1181">
        <v>1325.4431152</v>
      </c>
      <c r="H1181">
        <v>1322.6113281</v>
      </c>
      <c r="I1181">
        <v>1344.7880858999999</v>
      </c>
      <c r="J1181">
        <v>1340.4107666</v>
      </c>
      <c r="K1181">
        <v>0</v>
      </c>
      <c r="L1181">
        <v>2400</v>
      </c>
      <c r="M1181">
        <v>2400</v>
      </c>
      <c r="N1181">
        <v>0</v>
      </c>
    </row>
    <row r="1182" spans="1:14" x14ac:dyDescent="0.25">
      <c r="A1182">
        <v>590.21040000000005</v>
      </c>
      <c r="B1182" s="1">
        <f>DATE(2011,12,12) + TIME(5,2,58)</f>
        <v>40889.210393518515</v>
      </c>
      <c r="C1182">
        <v>80</v>
      </c>
      <c r="D1182">
        <v>76.085762024000005</v>
      </c>
      <c r="E1182">
        <v>50</v>
      </c>
      <c r="F1182">
        <v>49.968425750999998</v>
      </c>
      <c r="G1182">
        <v>1325.3881836</v>
      </c>
      <c r="H1182">
        <v>1322.5350341999999</v>
      </c>
      <c r="I1182">
        <v>1344.7770995999999</v>
      </c>
      <c r="J1182">
        <v>1340.4046631000001</v>
      </c>
      <c r="K1182">
        <v>0</v>
      </c>
      <c r="L1182">
        <v>2400</v>
      </c>
      <c r="M1182">
        <v>2400</v>
      </c>
      <c r="N1182">
        <v>0</v>
      </c>
    </row>
    <row r="1183" spans="1:14" x14ac:dyDescent="0.25">
      <c r="A1183">
        <v>591.49508200000002</v>
      </c>
      <c r="B1183" s="1">
        <f>DATE(2011,12,13) + TIME(11,52,55)</f>
        <v>40890.495081018518</v>
      </c>
      <c r="C1183">
        <v>80</v>
      </c>
      <c r="D1183">
        <v>75.999465942</v>
      </c>
      <c r="E1183">
        <v>50</v>
      </c>
      <c r="F1183">
        <v>49.96843338</v>
      </c>
      <c r="G1183">
        <v>1325.3325195</v>
      </c>
      <c r="H1183">
        <v>1322.4576416</v>
      </c>
      <c r="I1183">
        <v>1344.7662353999999</v>
      </c>
      <c r="J1183">
        <v>1340.3986815999999</v>
      </c>
      <c r="K1183">
        <v>0</v>
      </c>
      <c r="L1183">
        <v>2400</v>
      </c>
      <c r="M1183">
        <v>2400</v>
      </c>
      <c r="N1183">
        <v>0</v>
      </c>
    </row>
    <row r="1184" spans="1:14" x14ac:dyDescent="0.25">
      <c r="A1184">
        <v>592.80960600000003</v>
      </c>
      <c r="B1184" s="1">
        <f>DATE(2011,12,14) + TIME(19,25,49)</f>
        <v>40891.809594907405</v>
      </c>
      <c r="C1184">
        <v>80</v>
      </c>
      <c r="D1184">
        <v>75.912292480000005</v>
      </c>
      <c r="E1184">
        <v>50</v>
      </c>
      <c r="F1184">
        <v>49.968441009999999</v>
      </c>
      <c r="G1184">
        <v>1325.276001</v>
      </c>
      <c r="H1184">
        <v>1322.3791504000001</v>
      </c>
      <c r="I1184">
        <v>1344.7554932</v>
      </c>
      <c r="J1184">
        <v>1340.3927002</v>
      </c>
      <c r="K1184">
        <v>0</v>
      </c>
      <c r="L1184">
        <v>2400</v>
      </c>
      <c r="M1184">
        <v>2400</v>
      </c>
      <c r="N1184">
        <v>0</v>
      </c>
    </row>
    <row r="1185" spans="1:14" x14ac:dyDescent="0.25">
      <c r="A1185">
        <v>594.15731200000005</v>
      </c>
      <c r="B1185" s="1">
        <f>DATE(2011,12,16) + TIME(3,46,31)</f>
        <v>40893.15730324074</v>
      </c>
      <c r="C1185">
        <v>80</v>
      </c>
      <c r="D1185">
        <v>75.824035644999995</v>
      </c>
      <c r="E1185">
        <v>50</v>
      </c>
      <c r="F1185">
        <v>49.968448639000002</v>
      </c>
      <c r="G1185">
        <v>1325.2185059000001</v>
      </c>
      <c r="H1185">
        <v>1322.2994385</v>
      </c>
      <c r="I1185">
        <v>1344.7448730000001</v>
      </c>
      <c r="J1185">
        <v>1340.3868408000001</v>
      </c>
      <c r="K1185">
        <v>0</v>
      </c>
      <c r="L1185">
        <v>2400</v>
      </c>
      <c r="M1185">
        <v>2400</v>
      </c>
      <c r="N1185">
        <v>0</v>
      </c>
    </row>
    <row r="1186" spans="1:14" x14ac:dyDescent="0.25">
      <c r="A1186">
        <v>595.54102899999998</v>
      </c>
      <c r="B1186" s="1">
        <f>DATE(2011,12,17) + TIME(12,59,4)</f>
        <v>40894.541018518517</v>
      </c>
      <c r="C1186">
        <v>80</v>
      </c>
      <c r="D1186">
        <v>75.734474182</v>
      </c>
      <c r="E1186">
        <v>50</v>
      </c>
      <c r="F1186">
        <v>49.968456267999997</v>
      </c>
      <c r="G1186">
        <v>1325.1600341999999</v>
      </c>
      <c r="H1186">
        <v>1322.2181396000001</v>
      </c>
      <c r="I1186">
        <v>1344.7341309000001</v>
      </c>
      <c r="J1186">
        <v>1340.3809814000001</v>
      </c>
      <c r="K1186">
        <v>0</v>
      </c>
      <c r="L1186">
        <v>2400</v>
      </c>
      <c r="M1186">
        <v>2400</v>
      </c>
      <c r="N1186">
        <v>0</v>
      </c>
    </row>
    <row r="1187" spans="1:14" x14ac:dyDescent="0.25">
      <c r="A1187">
        <v>596.96444499999996</v>
      </c>
      <c r="B1187" s="1">
        <f>DATE(2011,12,18) + TIME(23,8,48)</f>
        <v>40895.964444444442</v>
      </c>
      <c r="C1187">
        <v>80</v>
      </c>
      <c r="D1187">
        <v>75.643402100000003</v>
      </c>
      <c r="E1187">
        <v>50</v>
      </c>
      <c r="F1187">
        <v>49.968467711999999</v>
      </c>
      <c r="G1187">
        <v>1325.1003418</v>
      </c>
      <c r="H1187">
        <v>1322.135376</v>
      </c>
      <c r="I1187">
        <v>1344.7235106999999</v>
      </c>
      <c r="J1187">
        <v>1340.3751221</v>
      </c>
      <c r="K1187">
        <v>0</v>
      </c>
      <c r="L1187">
        <v>2400</v>
      </c>
      <c r="M1187">
        <v>2400</v>
      </c>
      <c r="N1187">
        <v>0</v>
      </c>
    </row>
    <row r="1188" spans="1:14" x14ac:dyDescent="0.25">
      <c r="A1188">
        <v>598.43157799999994</v>
      </c>
      <c r="B1188" s="1">
        <f>DATE(2011,12,20) + TIME(10,21,28)</f>
        <v>40897.431574074071</v>
      </c>
      <c r="C1188">
        <v>80</v>
      </c>
      <c r="D1188">
        <v>75.550552367999998</v>
      </c>
      <c r="E1188">
        <v>50</v>
      </c>
      <c r="F1188">
        <v>49.968479156000001</v>
      </c>
      <c r="G1188">
        <v>1325.0394286999999</v>
      </c>
      <c r="H1188">
        <v>1322.0509033000001</v>
      </c>
      <c r="I1188">
        <v>1344.7128906</v>
      </c>
      <c r="J1188">
        <v>1340.3692627</v>
      </c>
      <c r="K1188">
        <v>0</v>
      </c>
      <c r="L1188">
        <v>2400</v>
      </c>
      <c r="M1188">
        <v>2400</v>
      </c>
      <c r="N1188">
        <v>0</v>
      </c>
    </row>
    <row r="1189" spans="1:14" x14ac:dyDescent="0.25">
      <c r="A1189">
        <v>599.94673999999998</v>
      </c>
      <c r="B1189" s="1">
        <f>DATE(2011,12,21) + TIME(22,43,18)</f>
        <v>40898.946736111109</v>
      </c>
      <c r="C1189">
        <v>80</v>
      </c>
      <c r="D1189">
        <v>75.455650329999997</v>
      </c>
      <c r="E1189">
        <v>50</v>
      </c>
      <c r="F1189">
        <v>49.968490600999999</v>
      </c>
      <c r="G1189">
        <v>1324.9770507999999</v>
      </c>
      <c r="H1189">
        <v>1321.9644774999999</v>
      </c>
      <c r="I1189">
        <v>1344.7022704999999</v>
      </c>
      <c r="J1189">
        <v>1340.3635254000001</v>
      </c>
      <c r="K1189">
        <v>0</v>
      </c>
      <c r="L1189">
        <v>2400</v>
      </c>
      <c r="M1189">
        <v>2400</v>
      </c>
      <c r="N1189">
        <v>0</v>
      </c>
    </row>
    <row r="1190" spans="1:14" x14ac:dyDescent="0.25">
      <c r="A1190">
        <v>601.51462300000003</v>
      </c>
      <c r="B1190" s="1">
        <f>DATE(2011,12,23) + TIME(12,21,3)</f>
        <v>40900.514618055553</v>
      </c>
      <c r="C1190">
        <v>80</v>
      </c>
      <c r="D1190">
        <v>75.358406067000004</v>
      </c>
      <c r="E1190">
        <v>50</v>
      </c>
      <c r="F1190">
        <v>49.968505858999997</v>
      </c>
      <c r="G1190">
        <v>1324.9132079999999</v>
      </c>
      <c r="H1190">
        <v>1321.8759766000001</v>
      </c>
      <c r="I1190">
        <v>1344.6915283000001</v>
      </c>
      <c r="J1190">
        <v>1340.3576660000001</v>
      </c>
      <c r="K1190">
        <v>0</v>
      </c>
      <c r="L1190">
        <v>2400</v>
      </c>
      <c r="M1190">
        <v>2400</v>
      </c>
      <c r="N1190">
        <v>0</v>
      </c>
    </row>
    <row r="1191" spans="1:14" x14ac:dyDescent="0.25">
      <c r="A1191">
        <v>603.14035200000001</v>
      </c>
      <c r="B1191" s="1">
        <f>DATE(2011,12,25) + TIME(3,22,6)</f>
        <v>40902.140347222223</v>
      </c>
      <c r="C1191">
        <v>80</v>
      </c>
      <c r="D1191">
        <v>75.258468628000003</v>
      </c>
      <c r="E1191">
        <v>50</v>
      </c>
      <c r="F1191">
        <v>49.968521117999998</v>
      </c>
      <c r="G1191">
        <v>1324.8476562000001</v>
      </c>
      <c r="H1191">
        <v>1321.7850341999999</v>
      </c>
      <c r="I1191">
        <v>1344.6807861</v>
      </c>
      <c r="J1191">
        <v>1340.3518065999999</v>
      </c>
      <c r="K1191">
        <v>0</v>
      </c>
      <c r="L1191">
        <v>2400</v>
      </c>
      <c r="M1191">
        <v>2400</v>
      </c>
      <c r="N1191">
        <v>0</v>
      </c>
    </row>
    <row r="1192" spans="1:14" x14ac:dyDescent="0.25">
      <c r="A1192">
        <v>604.82957899999997</v>
      </c>
      <c r="B1192" s="1">
        <f>DATE(2011,12,26) + TIME(19,54,35)</f>
        <v>40903.829571759263</v>
      </c>
      <c r="C1192">
        <v>80</v>
      </c>
      <c r="D1192">
        <v>75.155502318999993</v>
      </c>
      <c r="E1192">
        <v>50</v>
      </c>
      <c r="F1192">
        <v>49.968536377</v>
      </c>
      <c r="G1192">
        <v>1324.7801514</v>
      </c>
      <c r="H1192">
        <v>1321.6916504000001</v>
      </c>
      <c r="I1192">
        <v>1344.6699219</v>
      </c>
      <c r="J1192">
        <v>1340.3458252</v>
      </c>
      <c r="K1192">
        <v>0</v>
      </c>
      <c r="L1192">
        <v>2400</v>
      </c>
      <c r="M1192">
        <v>2400</v>
      </c>
      <c r="N1192">
        <v>0</v>
      </c>
    </row>
    <row r="1193" spans="1:14" x14ac:dyDescent="0.25">
      <c r="A1193">
        <v>606.58395199999995</v>
      </c>
      <c r="B1193" s="1">
        <f>DATE(2011,12,28) + TIME(14,0,53)</f>
        <v>40905.58394675926</v>
      </c>
      <c r="C1193">
        <v>80</v>
      </c>
      <c r="D1193">
        <v>75.049194335999999</v>
      </c>
      <c r="E1193">
        <v>50</v>
      </c>
      <c r="F1193">
        <v>49.968555449999997</v>
      </c>
      <c r="G1193">
        <v>1324.7108154</v>
      </c>
      <c r="H1193">
        <v>1321.5955810999999</v>
      </c>
      <c r="I1193">
        <v>1344.6589355000001</v>
      </c>
      <c r="J1193">
        <v>1340.3398437999999</v>
      </c>
      <c r="K1193">
        <v>0</v>
      </c>
      <c r="L1193">
        <v>2400</v>
      </c>
      <c r="M1193">
        <v>2400</v>
      </c>
      <c r="N1193">
        <v>0</v>
      </c>
    </row>
    <row r="1194" spans="1:14" x14ac:dyDescent="0.25">
      <c r="A1194">
        <v>608.36872300000005</v>
      </c>
      <c r="B1194" s="1">
        <f>DATE(2011,12,30) + TIME(8,50,57)</f>
        <v>40907.368715277778</v>
      </c>
      <c r="C1194">
        <v>80</v>
      </c>
      <c r="D1194">
        <v>74.939865112000007</v>
      </c>
      <c r="E1194">
        <v>50</v>
      </c>
      <c r="F1194">
        <v>49.968574523999997</v>
      </c>
      <c r="G1194">
        <v>1324.6392822</v>
      </c>
      <c r="H1194">
        <v>1321.4967041</v>
      </c>
      <c r="I1194">
        <v>1344.6479492000001</v>
      </c>
      <c r="J1194">
        <v>1340.3338623</v>
      </c>
      <c r="K1194">
        <v>0</v>
      </c>
      <c r="L1194">
        <v>2400</v>
      </c>
      <c r="M1194">
        <v>2400</v>
      </c>
      <c r="N1194">
        <v>0</v>
      </c>
    </row>
    <row r="1195" spans="1:14" x14ac:dyDescent="0.25">
      <c r="A1195">
        <v>610</v>
      </c>
      <c r="B1195" s="1">
        <f>DATE(2012,1,1) + TIME(0,0,0)</f>
        <v>40909</v>
      </c>
      <c r="C1195">
        <v>80</v>
      </c>
      <c r="D1195">
        <v>74.831871032999999</v>
      </c>
      <c r="E1195">
        <v>50</v>
      </c>
      <c r="F1195">
        <v>49.968589782999999</v>
      </c>
      <c r="G1195">
        <v>1324.5673827999999</v>
      </c>
      <c r="H1195">
        <v>1321.3973389</v>
      </c>
      <c r="I1195">
        <v>1344.6369629000001</v>
      </c>
      <c r="J1195">
        <v>1340.3278809000001</v>
      </c>
      <c r="K1195">
        <v>0</v>
      </c>
      <c r="L1195">
        <v>2400</v>
      </c>
      <c r="M1195">
        <v>2400</v>
      </c>
      <c r="N1195">
        <v>0</v>
      </c>
    </row>
    <row r="1196" spans="1:14" x14ac:dyDescent="0.25">
      <c r="A1196">
        <v>611.81924100000003</v>
      </c>
      <c r="B1196" s="1">
        <f>DATE(2012,1,2) + TIME(19,39,42)</f>
        <v>40910.819236111114</v>
      </c>
      <c r="C1196">
        <v>80</v>
      </c>
      <c r="D1196">
        <v>74.724967957000004</v>
      </c>
      <c r="E1196">
        <v>50</v>
      </c>
      <c r="F1196">
        <v>49.968612671000002</v>
      </c>
      <c r="G1196">
        <v>1324.4996338000001</v>
      </c>
      <c r="H1196">
        <v>1321.3026123</v>
      </c>
      <c r="I1196">
        <v>1344.6271973</v>
      </c>
      <c r="J1196">
        <v>1340.3225098</v>
      </c>
      <c r="K1196">
        <v>0</v>
      </c>
      <c r="L1196">
        <v>2400</v>
      </c>
      <c r="M1196">
        <v>2400</v>
      </c>
      <c r="N1196">
        <v>0</v>
      </c>
    </row>
    <row r="1197" spans="1:14" x14ac:dyDescent="0.25">
      <c r="A1197">
        <v>613.71518600000002</v>
      </c>
      <c r="B1197" s="1">
        <f>DATE(2012,1,4) + TIME(17,9,52)</f>
        <v>40912.715185185189</v>
      </c>
      <c r="C1197">
        <v>80</v>
      </c>
      <c r="D1197">
        <v>74.612182617000002</v>
      </c>
      <c r="E1197">
        <v>50</v>
      </c>
      <c r="F1197">
        <v>49.968635558999999</v>
      </c>
      <c r="G1197">
        <v>1324.4278564000001</v>
      </c>
      <c r="H1197">
        <v>1321.2034911999999</v>
      </c>
      <c r="I1197">
        <v>1344.6165771000001</v>
      </c>
      <c r="J1197">
        <v>1340.3167725000001</v>
      </c>
      <c r="K1197">
        <v>0</v>
      </c>
      <c r="L1197">
        <v>2400</v>
      </c>
      <c r="M1197">
        <v>2400</v>
      </c>
      <c r="N1197">
        <v>0</v>
      </c>
    </row>
    <row r="1198" spans="1:14" x14ac:dyDescent="0.25">
      <c r="A1198">
        <v>615.65909899999997</v>
      </c>
      <c r="B1198" s="1">
        <f>DATE(2012,1,6) + TIME(15,49,6)</f>
        <v>40914.659097222226</v>
      </c>
      <c r="C1198">
        <v>80</v>
      </c>
      <c r="D1198">
        <v>74.494697571000003</v>
      </c>
      <c r="E1198">
        <v>50</v>
      </c>
      <c r="F1198">
        <v>49.968658447000003</v>
      </c>
      <c r="G1198">
        <v>1324.3535156</v>
      </c>
      <c r="H1198">
        <v>1321.1007079999999</v>
      </c>
      <c r="I1198">
        <v>1344.6058350000001</v>
      </c>
      <c r="J1198">
        <v>1340.3109131000001</v>
      </c>
      <c r="K1198">
        <v>0</v>
      </c>
      <c r="L1198">
        <v>2400</v>
      </c>
      <c r="M1198">
        <v>2400</v>
      </c>
      <c r="N1198">
        <v>0</v>
      </c>
    </row>
    <row r="1199" spans="1:14" x14ac:dyDescent="0.25">
      <c r="A1199">
        <v>617.65693999999996</v>
      </c>
      <c r="B1199" s="1">
        <f>DATE(2012,1,8) + TIME(15,45,59)</f>
        <v>40916.65693287037</v>
      </c>
      <c r="C1199">
        <v>80</v>
      </c>
      <c r="D1199">
        <v>74.373527526999993</v>
      </c>
      <c r="E1199">
        <v>50</v>
      </c>
      <c r="F1199">
        <v>49.968681334999999</v>
      </c>
      <c r="G1199">
        <v>1324.2777100000001</v>
      </c>
      <c r="H1199">
        <v>1320.9957274999999</v>
      </c>
      <c r="I1199">
        <v>1344.5950928</v>
      </c>
      <c r="J1199">
        <v>1340.3050536999999</v>
      </c>
      <c r="K1199">
        <v>0</v>
      </c>
      <c r="L1199">
        <v>2400</v>
      </c>
      <c r="M1199">
        <v>2400</v>
      </c>
      <c r="N1199">
        <v>0</v>
      </c>
    </row>
    <row r="1200" spans="1:14" x14ac:dyDescent="0.25">
      <c r="A1200">
        <v>619.71347100000003</v>
      </c>
      <c r="B1200" s="1">
        <f>DATE(2012,1,10) + TIME(17,7,23)</f>
        <v>40918.713460648149</v>
      </c>
      <c r="C1200">
        <v>80</v>
      </c>
      <c r="D1200">
        <v>74.248580933</v>
      </c>
      <c r="E1200">
        <v>50</v>
      </c>
      <c r="F1200">
        <v>49.968708038000003</v>
      </c>
      <c r="G1200">
        <v>1324.2004394999999</v>
      </c>
      <c r="H1200">
        <v>1320.8887939000001</v>
      </c>
      <c r="I1200">
        <v>1344.5843506000001</v>
      </c>
      <c r="J1200">
        <v>1340.2991943</v>
      </c>
      <c r="K1200">
        <v>0</v>
      </c>
      <c r="L1200">
        <v>2400</v>
      </c>
      <c r="M1200">
        <v>2400</v>
      </c>
      <c r="N1200">
        <v>0</v>
      </c>
    </row>
    <row r="1201" spans="1:14" x14ac:dyDescent="0.25">
      <c r="A1201">
        <v>621.82997599999999</v>
      </c>
      <c r="B1201" s="1">
        <f>DATE(2012,1,12) + TIME(19,55,9)</f>
        <v>40920.829965277779</v>
      </c>
      <c r="C1201">
        <v>80</v>
      </c>
      <c r="D1201">
        <v>74.119537354000002</v>
      </c>
      <c r="E1201">
        <v>50</v>
      </c>
      <c r="F1201">
        <v>49.968738555999998</v>
      </c>
      <c r="G1201">
        <v>1324.1218262</v>
      </c>
      <c r="H1201">
        <v>1320.7799072</v>
      </c>
      <c r="I1201">
        <v>1344.5734863</v>
      </c>
      <c r="J1201">
        <v>1340.2933350000001</v>
      </c>
      <c r="K1201">
        <v>0</v>
      </c>
      <c r="L1201">
        <v>2400</v>
      </c>
      <c r="M1201">
        <v>2400</v>
      </c>
      <c r="N1201">
        <v>0</v>
      </c>
    </row>
    <row r="1202" spans="1:14" x14ac:dyDescent="0.25">
      <c r="A1202">
        <v>623.99236800000006</v>
      </c>
      <c r="B1202" s="1">
        <f>DATE(2012,1,14) + TIME(23,49,0)</f>
        <v>40922.992361111108</v>
      </c>
      <c r="C1202">
        <v>80</v>
      </c>
      <c r="D1202">
        <v>73.986351013000004</v>
      </c>
      <c r="E1202">
        <v>50</v>
      </c>
      <c r="F1202">
        <v>49.968765259000001</v>
      </c>
      <c r="G1202">
        <v>1324.0417480000001</v>
      </c>
      <c r="H1202">
        <v>1320.6691894999999</v>
      </c>
      <c r="I1202">
        <v>1344.5626221</v>
      </c>
      <c r="J1202">
        <v>1340.2874756000001</v>
      </c>
      <c r="K1202">
        <v>0</v>
      </c>
      <c r="L1202">
        <v>2400</v>
      </c>
      <c r="M1202">
        <v>2400</v>
      </c>
      <c r="N1202">
        <v>0</v>
      </c>
    </row>
    <row r="1203" spans="1:14" x14ac:dyDescent="0.25">
      <c r="A1203">
        <v>626.216365</v>
      </c>
      <c r="B1203" s="1">
        <f>DATE(2012,1,17) + TIME(5,11,33)</f>
        <v>40925.216354166667</v>
      </c>
      <c r="C1203">
        <v>80</v>
      </c>
      <c r="D1203">
        <v>73.849105835000003</v>
      </c>
      <c r="E1203">
        <v>50</v>
      </c>
      <c r="F1203">
        <v>49.968799591</v>
      </c>
      <c r="G1203">
        <v>1323.9606934000001</v>
      </c>
      <c r="H1203">
        <v>1320.5570068</v>
      </c>
      <c r="I1203">
        <v>1344.5518798999999</v>
      </c>
      <c r="J1203">
        <v>1340.2814940999999</v>
      </c>
      <c r="K1203">
        <v>0</v>
      </c>
      <c r="L1203">
        <v>2400</v>
      </c>
      <c r="M1203">
        <v>2400</v>
      </c>
      <c r="N1203">
        <v>0</v>
      </c>
    </row>
    <row r="1204" spans="1:14" x14ac:dyDescent="0.25">
      <c r="A1204">
        <v>628.464022</v>
      </c>
      <c r="B1204" s="1">
        <f>DATE(2012,1,19) + TIME(11,8,11)</f>
        <v>40927.464016203703</v>
      </c>
      <c r="C1204">
        <v>80</v>
      </c>
      <c r="D1204">
        <v>73.707672118999994</v>
      </c>
      <c r="E1204">
        <v>50</v>
      </c>
      <c r="F1204">
        <v>49.968830109000002</v>
      </c>
      <c r="G1204">
        <v>1323.878418</v>
      </c>
      <c r="H1204">
        <v>1320.4431152</v>
      </c>
      <c r="I1204">
        <v>1344.5410156</v>
      </c>
      <c r="J1204">
        <v>1340.2755127</v>
      </c>
      <c r="K1204">
        <v>0</v>
      </c>
      <c r="L1204">
        <v>2400</v>
      </c>
      <c r="M1204">
        <v>2400</v>
      </c>
      <c r="N1204">
        <v>0</v>
      </c>
    </row>
    <row r="1205" spans="1:14" x14ac:dyDescent="0.25">
      <c r="A1205">
        <v>630.75265200000001</v>
      </c>
      <c r="B1205" s="1">
        <f>DATE(2012,1,21) + TIME(18,3,49)</f>
        <v>40929.752650462964</v>
      </c>
      <c r="C1205">
        <v>80</v>
      </c>
      <c r="D1205">
        <v>73.562950134000005</v>
      </c>
      <c r="E1205">
        <v>50</v>
      </c>
      <c r="F1205">
        <v>49.968860626000001</v>
      </c>
      <c r="G1205">
        <v>1323.7958983999999</v>
      </c>
      <c r="H1205">
        <v>1320.3288574000001</v>
      </c>
      <c r="I1205">
        <v>1344.5302733999999</v>
      </c>
      <c r="J1205">
        <v>1340.2696533000001</v>
      </c>
      <c r="K1205">
        <v>0</v>
      </c>
      <c r="L1205">
        <v>2400</v>
      </c>
      <c r="M1205">
        <v>2400</v>
      </c>
      <c r="N1205">
        <v>0</v>
      </c>
    </row>
    <row r="1206" spans="1:14" x14ac:dyDescent="0.25">
      <c r="A1206">
        <v>633.09979099999998</v>
      </c>
      <c r="B1206" s="1">
        <f>DATE(2012,1,24) + TIME(2,23,41)</f>
        <v>40932.099780092591</v>
      </c>
      <c r="C1206">
        <v>80</v>
      </c>
      <c r="D1206">
        <v>73.414176940999994</v>
      </c>
      <c r="E1206">
        <v>50</v>
      </c>
      <c r="F1206">
        <v>49.968894958</v>
      </c>
      <c r="G1206">
        <v>1323.7128906</v>
      </c>
      <c r="H1206">
        <v>1320.2138672000001</v>
      </c>
      <c r="I1206">
        <v>1344.5196533000001</v>
      </c>
      <c r="J1206">
        <v>1340.2637939000001</v>
      </c>
      <c r="K1206">
        <v>0</v>
      </c>
      <c r="L1206">
        <v>2400</v>
      </c>
      <c r="M1206">
        <v>2400</v>
      </c>
      <c r="N1206">
        <v>0</v>
      </c>
    </row>
    <row r="1207" spans="1:14" x14ac:dyDescent="0.25">
      <c r="A1207">
        <v>635.511889</v>
      </c>
      <c r="B1207" s="1">
        <f>DATE(2012,1,26) + TIME(12,17,7)</f>
        <v>40934.511886574073</v>
      </c>
      <c r="C1207">
        <v>80</v>
      </c>
      <c r="D1207">
        <v>73.260276794000006</v>
      </c>
      <c r="E1207">
        <v>50</v>
      </c>
      <c r="F1207">
        <v>49.968933104999998</v>
      </c>
      <c r="G1207">
        <v>1323.6289062000001</v>
      </c>
      <c r="H1207">
        <v>1320.0976562000001</v>
      </c>
      <c r="I1207">
        <v>1344.5089111</v>
      </c>
      <c r="J1207">
        <v>1340.2579346</v>
      </c>
      <c r="K1207">
        <v>0</v>
      </c>
      <c r="L1207">
        <v>2400</v>
      </c>
      <c r="M1207">
        <v>2400</v>
      </c>
      <c r="N1207">
        <v>0</v>
      </c>
    </row>
    <row r="1208" spans="1:14" x14ac:dyDescent="0.25">
      <c r="A1208">
        <v>637.97301500000003</v>
      </c>
      <c r="B1208" s="1">
        <f>DATE(2012,1,28) + TIME(23,21,8)</f>
        <v>40936.973009259258</v>
      </c>
      <c r="C1208">
        <v>80</v>
      </c>
      <c r="D1208">
        <v>73.100799561000002</v>
      </c>
      <c r="E1208">
        <v>50</v>
      </c>
      <c r="F1208">
        <v>49.968967438</v>
      </c>
      <c r="G1208">
        <v>1323.5438231999999</v>
      </c>
      <c r="H1208">
        <v>1319.9798584</v>
      </c>
      <c r="I1208">
        <v>1344.4981689000001</v>
      </c>
      <c r="J1208">
        <v>1340.2519531</v>
      </c>
      <c r="K1208">
        <v>0</v>
      </c>
      <c r="L1208">
        <v>2400</v>
      </c>
      <c r="M1208">
        <v>2400</v>
      </c>
      <c r="N1208">
        <v>0</v>
      </c>
    </row>
    <row r="1209" spans="1:14" x14ac:dyDescent="0.25">
      <c r="A1209">
        <v>640.49916599999995</v>
      </c>
      <c r="B1209" s="1">
        <f>DATE(2012,1,31) + TIME(11,58,47)</f>
        <v>40939.499155092592</v>
      </c>
      <c r="C1209">
        <v>80</v>
      </c>
      <c r="D1209">
        <v>72.935867310000006</v>
      </c>
      <c r="E1209">
        <v>50</v>
      </c>
      <c r="F1209">
        <v>49.969009399000001</v>
      </c>
      <c r="G1209">
        <v>1323.4580077999999</v>
      </c>
      <c r="H1209">
        <v>1319.8609618999999</v>
      </c>
      <c r="I1209">
        <v>1344.4874268000001</v>
      </c>
      <c r="J1209">
        <v>1340.2459716999999</v>
      </c>
      <c r="K1209">
        <v>0</v>
      </c>
      <c r="L1209">
        <v>2400</v>
      </c>
      <c r="M1209">
        <v>2400</v>
      </c>
      <c r="N1209">
        <v>0</v>
      </c>
    </row>
    <row r="1210" spans="1:14" x14ac:dyDescent="0.25">
      <c r="A1210">
        <v>641</v>
      </c>
      <c r="B1210" s="1">
        <f>DATE(2012,2,1) + TIME(0,0,0)</f>
        <v>40940</v>
      </c>
      <c r="C1210">
        <v>80</v>
      </c>
      <c r="D1210">
        <v>72.841468810999999</v>
      </c>
      <c r="E1210">
        <v>50</v>
      </c>
      <c r="F1210">
        <v>49.969005584999998</v>
      </c>
      <c r="G1210">
        <v>1323.3774414</v>
      </c>
      <c r="H1210">
        <v>1319.7553711</v>
      </c>
      <c r="I1210">
        <v>1344.4764404</v>
      </c>
      <c r="J1210">
        <v>1340.2397461</v>
      </c>
      <c r="K1210">
        <v>0</v>
      </c>
      <c r="L1210">
        <v>2400</v>
      </c>
      <c r="M1210">
        <v>2400</v>
      </c>
      <c r="N1210">
        <v>0</v>
      </c>
    </row>
    <row r="1211" spans="1:14" x14ac:dyDescent="0.25">
      <c r="A1211">
        <v>643.58599400000003</v>
      </c>
      <c r="B1211" s="1">
        <f>DATE(2012,2,3) + TIME(14,3,49)</f>
        <v>40942.5859837963</v>
      </c>
      <c r="C1211">
        <v>80</v>
      </c>
      <c r="D1211">
        <v>72.718658446999996</v>
      </c>
      <c r="E1211">
        <v>50</v>
      </c>
      <c r="F1211">
        <v>49.969055175999998</v>
      </c>
      <c r="G1211">
        <v>1323.3449707</v>
      </c>
      <c r="H1211">
        <v>1319.7009277</v>
      </c>
      <c r="I1211">
        <v>1344.4746094</v>
      </c>
      <c r="J1211">
        <v>1340.2387695</v>
      </c>
      <c r="K1211">
        <v>0</v>
      </c>
      <c r="L1211">
        <v>2400</v>
      </c>
      <c r="M1211">
        <v>2400</v>
      </c>
      <c r="N1211">
        <v>0</v>
      </c>
    </row>
    <row r="1212" spans="1:14" x14ac:dyDescent="0.25">
      <c r="A1212">
        <v>646.234059</v>
      </c>
      <c r="B1212" s="1">
        <f>DATE(2012,2,6) + TIME(5,37,2)</f>
        <v>40945.234050925923</v>
      </c>
      <c r="C1212">
        <v>80</v>
      </c>
      <c r="D1212">
        <v>72.550537109000004</v>
      </c>
      <c r="E1212">
        <v>50</v>
      </c>
      <c r="F1212">
        <v>49.969097136999999</v>
      </c>
      <c r="G1212">
        <v>1323.2644043</v>
      </c>
      <c r="H1212">
        <v>1319.5921631000001</v>
      </c>
      <c r="I1212">
        <v>1344.4638672000001</v>
      </c>
      <c r="J1212">
        <v>1340.2327881000001</v>
      </c>
      <c r="K1212">
        <v>0</v>
      </c>
      <c r="L1212">
        <v>2400</v>
      </c>
      <c r="M1212">
        <v>2400</v>
      </c>
      <c r="N1212">
        <v>0</v>
      </c>
    </row>
    <row r="1213" spans="1:14" x14ac:dyDescent="0.25">
      <c r="A1213">
        <v>648.94212300000004</v>
      </c>
      <c r="B1213" s="1">
        <f>DATE(2012,2,8) + TIME(22,36,39)</f>
        <v>40947.942118055558</v>
      </c>
      <c r="C1213">
        <v>80</v>
      </c>
      <c r="D1213">
        <v>72.367736816000004</v>
      </c>
      <c r="E1213">
        <v>50</v>
      </c>
      <c r="F1213">
        <v>49.969139099000003</v>
      </c>
      <c r="G1213">
        <v>1323.1774902</v>
      </c>
      <c r="H1213">
        <v>1319.4722899999999</v>
      </c>
      <c r="I1213">
        <v>1344.4530029</v>
      </c>
      <c r="J1213">
        <v>1340.2266846</v>
      </c>
      <c r="K1213">
        <v>0</v>
      </c>
      <c r="L1213">
        <v>2400</v>
      </c>
      <c r="M1213">
        <v>2400</v>
      </c>
      <c r="N1213">
        <v>0</v>
      </c>
    </row>
    <row r="1214" spans="1:14" x14ac:dyDescent="0.25">
      <c r="A1214">
        <v>651.70279400000004</v>
      </c>
      <c r="B1214" s="1">
        <f>DATE(2012,2,11) + TIME(16,52,1)</f>
        <v>40950.702789351853</v>
      </c>
      <c r="C1214">
        <v>80</v>
      </c>
      <c r="D1214">
        <v>72.176765442000004</v>
      </c>
      <c r="E1214">
        <v>50</v>
      </c>
      <c r="F1214">
        <v>49.969184875000003</v>
      </c>
      <c r="G1214">
        <v>1323.0886230000001</v>
      </c>
      <c r="H1214">
        <v>1319.3493652</v>
      </c>
      <c r="I1214">
        <v>1344.4421387</v>
      </c>
      <c r="J1214">
        <v>1340.2205810999999</v>
      </c>
      <c r="K1214">
        <v>0</v>
      </c>
      <c r="L1214">
        <v>2400</v>
      </c>
      <c r="M1214">
        <v>2400</v>
      </c>
      <c r="N1214">
        <v>0</v>
      </c>
    </row>
    <row r="1215" spans="1:14" x14ac:dyDescent="0.25">
      <c r="A1215">
        <v>654.50286600000004</v>
      </c>
      <c r="B1215" s="1">
        <f>DATE(2012,2,14) + TIME(12,4,7)</f>
        <v>40953.502858796295</v>
      </c>
      <c r="C1215">
        <v>80</v>
      </c>
      <c r="D1215">
        <v>71.979087829999997</v>
      </c>
      <c r="E1215">
        <v>50</v>
      </c>
      <c r="F1215">
        <v>49.969230652</v>
      </c>
      <c r="G1215">
        <v>1322.9990233999999</v>
      </c>
      <c r="H1215">
        <v>1319.2252197</v>
      </c>
      <c r="I1215">
        <v>1344.4312743999999</v>
      </c>
      <c r="J1215">
        <v>1340.2143555</v>
      </c>
      <c r="K1215">
        <v>0</v>
      </c>
      <c r="L1215">
        <v>2400</v>
      </c>
      <c r="M1215">
        <v>2400</v>
      </c>
      <c r="N1215">
        <v>0</v>
      </c>
    </row>
    <row r="1216" spans="1:14" x14ac:dyDescent="0.25">
      <c r="A1216">
        <v>657.35865999999999</v>
      </c>
      <c r="B1216" s="1">
        <f>DATE(2012,2,17) + TIME(8,36,28)</f>
        <v>40956.358657407407</v>
      </c>
      <c r="C1216">
        <v>80</v>
      </c>
      <c r="D1216">
        <v>71.775253296000002</v>
      </c>
      <c r="E1216">
        <v>50</v>
      </c>
      <c r="F1216">
        <v>49.969276428000001</v>
      </c>
      <c r="G1216">
        <v>1322.9093018000001</v>
      </c>
      <c r="H1216">
        <v>1319.1008300999999</v>
      </c>
      <c r="I1216">
        <v>1344.4205322</v>
      </c>
      <c r="J1216">
        <v>1340.2081298999999</v>
      </c>
      <c r="K1216">
        <v>0</v>
      </c>
      <c r="L1216">
        <v>2400</v>
      </c>
      <c r="M1216">
        <v>2400</v>
      </c>
      <c r="N1216">
        <v>0</v>
      </c>
    </row>
    <row r="1217" spans="1:14" x14ac:dyDescent="0.25">
      <c r="A1217">
        <v>660.29365600000006</v>
      </c>
      <c r="B1217" s="1">
        <f>DATE(2012,2,20) + TIME(7,2,51)</f>
        <v>40959.293645833335</v>
      </c>
      <c r="C1217">
        <v>80</v>
      </c>
      <c r="D1217">
        <v>71.564102172999995</v>
      </c>
      <c r="E1217">
        <v>50</v>
      </c>
      <c r="F1217">
        <v>49.969326019</v>
      </c>
      <c r="G1217">
        <v>1322.8193358999999</v>
      </c>
      <c r="H1217">
        <v>1318.9758300999999</v>
      </c>
      <c r="I1217">
        <v>1344.409668</v>
      </c>
      <c r="J1217">
        <v>1340.2019043</v>
      </c>
      <c r="K1217">
        <v>0</v>
      </c>
      <c r="L1217">
        <v>2400</v>
      </c>
      <c r="M1217">
        <v>2400</v>
      </c>
      <c r="N1217">
        <v>0</v>
      </c>
    </row>
    <row r="1218" spans="1:14" x14ac:dyDescent="0.25">
      <c r="A1218">
        <v>663.33347700000002</v>
      </c>
      <c r="B1218" s="1">
        <f>DATE(2012,2,23) + TIME(8,0,12)</f>
        <v>40962.333472222221</v>
      </c>
      <c r="C1218">
        <v>80</v>
      </c>
      <c r="D1218">
        <v>71.343780518000003</v>
      </c>
      <c r="E1218">
        <v>50</v>
      </c>
      <c r="F1218">
        <v>49.96937561</v>
      </c>
      <c r="G1218">
        <v>1322.7282714999999</v>
      </c>
      <c r="H1218">
        <v>1318.8496094</v>
      </c>
      <c r="I1218">
        <v>1344.3988036999999</v>
      </c>
      <c r="J1218">
        <v>1340.1955565999999</v>
      </c>
      <c r="K1218">
        <v>0</v>
      </c>
      <c r="L1218">
        <v>2400</v>
      </c>
      <c r="M1218">
        <v>2400</v>
      </c>
      <c r="N1218">
        <v>0</v>
      </c>
    </row>
    <row r="1219" spans="1:14" x14ac:dyDescent="0.25">
      <c r="A1219">
        <v>666.42146500000001</v>
      </c>
      <c r="B1219" s="1">
        <f>DATE(2012,2,26) + TIME(10,6,54)</f>
        <v>40965.421458333331</v>
      </c>
      <c r="C1219">
        <v>80</v>
      </c>
      <c r="D1219">
        <v>71.113029479999994</v>
      </c>
      <c r="E1219">
        <v>50</v>
      </c>
      <c r="F1219">
        <v>49.969429015999999</v>
      </c>
      <c r="G1219">
        <v>1322.6357422000001</v>
      </c>
      <c r="H1219">
        <v>1318.7214355000001</v>
      </c>
      <c r="I1219">
        <v>1344.3876952999999</v>
      </c>
      <c r="J1219">
        <v>1340.1890868999999</v>
      </c>
      <c r="K1219">
        <v>0</v>
      </c>
      <c r="L1219">
        <v>2400</v>
      </c>
      <c r="M1219">
        <v>2400</v>
      </c>
      <c r="N1219">
        <v>0</v>
      </c>
    </row>
    <row r="1220" spans="1:14" x14ac:dyDescent="0.25">
      <c r="A1220">
        <v>669.53113800000006</v>
      </c>
      <c r="B1220" s="1">
        <f>DATE(2012,2,29) + TIME(12,44,50)</f>
        <v>40968.531134259261</v>
      </c>
      <c r="C1220">
        <v>80</v>
      </c>
      <c r="D1220">
        <v>70.874603270999998</v>
      </c>
      <c r="E1220">
        <v>50</v>
      </c>
      <c r="F1220">
        <v>49.969478606999999</v>
      </c>
      <c r="G1220">
        <v>1322.5428466999999</v>
      </c>
      <c r="H1220">
        <v>1318.5924072</v>
      </c>
      <c r="I1220">
        <v>1344.3765868999999</v>
      </c>
      <c r="J1220">
        <v>1340.1824951000001</v>
      </c>
      <c r="K1220">
        <v>0</v>
      </c>
      <c r="L1220">
        <v>2400</v>
      </c>
      <c r="M1220">
        <v>2400</v>
      </c>
      <c r="N1220">
        <v>0</v>
      </c>
    </row>
    <row r="1221" spans="1:14" x14ac:dyDescent="0.25">
      <c r="A1221">
        <v>670</v>
      </c>
      <c r="B1221" s="1">
        <f>DATE(2012,3,1) + TIME(0,0,0)</f>
        <v>40969</v>
      </c>
      <c r="C1221">
        <v>80</v>
      </c>
      <c r="D1221">
        <v>70.745735167999996</v>
      </c>
      <c r="E1221">
        <v>50</v>
      </c>
      <c r="F1221">
        <v>49.969474792</v>
      </c>
      <c r="G1221">
        <v>1322.456543</v>
      </c>
      <c r="H1221">
        <v>1318.480957</v>
      </c>
      <c r="I1221">
        <v>1344.3652344</v>
      </c>
      <c r="J1221">
        <v>1340.1757812000001</v>
      </c>
      <c r="K1221">
        <v>0</v>
      </c>
      <c r="L1221">
        <v>2400</v>
      </c>
      <c r="M1221">
        <v>2400</v>
      </c>
      <c r="N1221">
        <v>0</v>
      </c>
    </row>
    <row r="1222" spans="1:14" x14ac:dyDescent="0.25">
      <c r="A1222">
        <v>673.15639899999996</v>
      </c>
      <c r="B1222" s="1">
        <f>DATE(2012,3,4) + TIME(3,45,12)</f>
        <v>40972.156388888892</v>
      </c>
      <c r="C1222">
        <v>80</v>
      </c>
      <c r="D1222">
        <v>70.578094481999997</v>
      </c>
      <c r="E1222">
        <v>50</v>
      </c>
      <c r="F1222">
        <v>49.969539642000001</v>
      </c>
      <c r="G1222">
        <v>1322.4276123</v>
      </c>
      <c r="H1222">
        <v>1318.4278564000001</v>
      </c>
      <c r="I1222">
        <v>1344.3638916</v>
      </c>
      <c r="J1222">
        <v>1340.1749268000001</v>
      </c>
      <c r="K1222">
        <v>0</v>
      </c>
      <c r="L1222">
        <v>2400</v>
      </c>
      <c r="M1222">
        <v>2400</v>
      </c>
      <c r="N1222">
        <v>0</v>
      </c>
    </row>
    <row r="1223" spans="1:14" x14ac:dyDescent="0.25">
      <c r="A1223">
        <v>676.39983500000005</v>
      </c>
      <c r="B1223" s="1">
        <f>DATE(2012,3,7) + TIME(9,35,45)</f>
        <v>40975.399826388886</v>
      </c>
      <c r="C1223">
        <v>80</v>
      </c>
      <c r="D1223">
        <v>70.337409973000007</v>
      </c>
      <c r="E1223">
        <v>50</v>
      </c>
      <c r="F1223">
        <v>49.969596863</v>
      </c>
      <c r="G1223">
        <v>1322.3433838000001</v>
      </c>
      <c r="H1223">
        <v>1318.3140868999999</v>
      </c>
      <c r="I1223">
        <v>1344.3529053</v>
      </c>
      <c r="J1223">
        <v>1340.168457</v>
      </c>
      <c r="K1223">
        <v>0</v>
      </c>
      <c r="L1223">
        <v>2400</v>
      </c>
      <c r="M1223">
        <v>2400</v>
      </c>
      <c r="N1223">
        <v>0</v>
      </c>
    </row>
    <row r="1224" spans="1:14" x14ac:dyDescent="0.25">
      <c r="A1224">
        <v>679.74730299999999</v>
      </c>
      <c r="B1224" s="1">
        <f>DATE(2012,3,10) + TIME(17,56,6)</f>
        <v>40978.747291666667</v>
      </c>
      <c r="C1224">
        <v>80</v>
      </c>
      <c r="D1224">
        <v>70.07484436</v>
      </c>
      <c r="E1224">
        <v>50</v>
      </c>
      <c r="F1224">
        <v>49.969654083000002</v>
      </c>
      <c r="G1224">
        <v>1322.2521973</v>
      </c>
      <c r="H1224">
        <v>1318.1879882999999</v>
      </c>
      <c r="I1224">
        <v>1344.3416748</v>
      </c>
      <c r="J1224">
        <v>1340.1616211</v>
      </c>
      <c r="K1224">
        <v>0</v>
      </c>
      <c r="L1224">
        <v>2400</v>
      </c>
      <c r="M1224">
        <v>2400</v>
      </c>
      <c r="N1224">
        <v>0</v>
      </c>
    </row>
    <row r="1225" spans="1:14" x14ac:dyDescent="0.25">
      <c r="A1225">
        <v>683.18004900000005</v>
      </c>
      <c r="B1225" s="1">
        <f>DATE(2012,3,14) + TIME(4,19,16)</f>
        <v>40982.180046296293</v>
      </c>
      <c r="C1225">
        <v>80</v>
      </c>
      <c r="D1225">
        <v>69.798149108999993</v>
      </c>
      <c r="E1225">
        <v>50</v>
      </c>
      <c r="F1225">
        <v>49.969715118000003</v>
      </c>
      <c r="G1225">
        <v>1322.1589355000001</v>
      </c>
      <c r="H1225">
        <v>1318.0582274999999</v>
      </c>
      <c r="I1225">
        <v>1344.3304443</v>
      </c>
      <c r="J1225">
        <v>1340.1547852000001</v>
      </c>
      <c r="K1225">
        <v>0</v>
      </c>
      <c r="L1225">
        <v>2400</v>
      </c>
      <c r="M1225">
        <v>2400</v>
      </c>
      <c r="N1225">
        <v>0</v>
      </c>
    </row>
    <row r="1226" spans="1:14" x14ac:dyDescent="0.25">
      <c r="A1226">
        <v>686.65219100000002</v>
      </c>
      <c r="B1226" s="1">
        <f>DATE(2012,3,17) + TIME(15,39,9)</f>
        <v>40985.652187500003</v>
      </c>
      <c r="C1226">
        <v>80</v>
      </c>
      <c r="D1226">
        <v>69.509399414000001</v>
      </c>
      <c r="E1226">
        <v>50</v>
      </c>
      <c r="F1226">
        <v>49.969772339000002</v>
      </c>
      <c r="G1226">
        <v>1322.0648193</v>
      </c>
      <c r="H1226">
        <v>1317.927124</v>
      </c>
      <c r="I1226">
        <v>1344.3189697</v>
      </c>
      <c r="J1226">
        <v>1340.1477050999999</v>
      </c>
      <c r="K1226">
        <v>0</v>
      </c>
      <c r="L1226">
        <v>2400</v>
      </c>
      <c r="M1226">
        <v>2400</v>
      </c>
      <c r="N1226">
        <v>0</v>
      </c>
    </row>
    <row r="1227" spans="1:14" x14ac:dyDescent="0.25">
      <c r="A1227">
        <v>690.16492400000004</v>
      </c>
      <c r="B1227" s="1">
        <f>DATE(2012,3,21) + TIME(3,57,29)</f>
        <v>40989.164918981478</v>
      </c>
      <c r="C1227">
        <v>80</v>
      </c>
      <c r="D1227">
        <v>69.211860657000003</v>
      </c>
      <c r="E1227">
        <v>50</v>
      </c>
      <c r="F1227">
        <v>49.969833373999997</v>
      </c>
      <c r="G1227">
        <v>1321.9708252</v>
      </c>
      <c r="H1227">
        <v>1317.7961425999999</v>
      </c>
      <c r="I1227">
        <v>1344.3074951000001</v>
      </c>
      <c r="J1227">
        <v>1340.140625</v>
      </c>
      <c r="K1227">
        <v>0</v>
      </c>
      <c r="L1227">
        <v>2400</v>
      </c>
      <c r="M1227">
        <v>2400</v>
      </c>
      <c r="N1227">
        <v>0</v>
      </c>
    </row>
    <row r="1228" spans="1:14" x14ac:dyDescent="0.25">
      <c r="A1228">
        <v>693.74741900000004</v>
      </c>
      <c r="B1228" s="1">
        <f>DATE(2012,3,24) + TIME(17,56,17)</f>
        <v>40992.747418981482</v>
      </c>
      <c r="C1228">
        <v>80</v>
      </c>
      <c r="D1228">
        <v>68.905059813999998</v>
      </c>
      <c r="E1228">
        <v>50</v>
      </c>
      <c r="F1228">
        <v>49.969894408999998</v>
      </c>
      <c r="G1228">
        <v>1321.8776855000001</v>
      </c>
      <c r="H1228">
        <v>1317.6657714999999</v>
      </c>
      <c r="I1228">
        <v>1344.2960204999999</v>
      </c>
      <c r="J1228">
        <v>1340.1335449000001</v>
      </c>
      <c r="K1228">
        <v>0</v>
      </c>
      <c r="L1228">
        <v>2400</v>
      </c>
      <c r="M1228">
        <v>2400</v>
      </c>
      <c r="N1228">
        <v>0</v>
      </c>
    </row>
    <row r="1229" spans="1:14" x14ac:dyDescent="0.25">
      <c r="A1229">
        <v>697.41992000000005</v>
      </c>
      <c r="B1229" s="1">
        <f>DATE(2012,3,28) + TIME(10,4,41)</f>
        <v>40996.419918981483</v>
      </c>
      <c r="C1229">
        <v>80</v>
      </c>
      <c r="D1229">
        <v>68.587066649999997</v>
      </c>
      <c r="E1229">
        <v>50</v>
      </c>
      <c r="F1229">
        <v>49.969959258999999</v>
      </c>
      <c r="G1229">
        <v>1321.7845459</v>
      </c>
      <c r="H1229">
        <v>1317.5356445</v>
      </c>
      <c r="I1229">
        <v>1344.2845459</v>
      </c>
      <c r="J1229">
        <v>1340.1262207</v>
      </c>
      <c r="K1229">
        <v>0</v>
      </c>
      <c r="L1229">
        <v>2400</v>
      </c>
      <c r="M1229">
        <v>2400</v>
      </c>
      <c r="N1229">
        <v>0</v>
      </c>
    </row>
    <row r="1230" spans="1:14" x14ac:dyDescent="0.25">
      <c r="A1230">
        <v>701</v>
      </c>
      <c r="B1230" s="1">
        <f>DATE(2012,4,1) + TIME(0,0,0)</f>
        <v>41000</v>
      </c>
      <c r="C1230">
        <v>80</v>
      </c>
      <c r="D1230">
        <v>68.257453917999996</v>
      </c>
      <c r="E1230">
        <v>50</v>
      </c>
      <c r="F1230">
        <v>49.970020294000001</v>
      </c>
      <c r="G1230">
        <v>1321.6914062000001</v>
      </c>
      <c r="H1230">
        <v>1317.4053954999999</v>
      </c>
      <c r="I1230">
        <v>1344.2728271000001</v>
      </c>
      <c r="J1230">
        <v>1340.1187743999999</v>
      </c>
      <c r="K1230">
        <v>0</v>
      </c>
      <c r="L1230">
        <v>2400</v>
      </c>
      <c r="M1230">
        <v>2400</v>
      </c>
      <c r="N1230">
        <v>0</v>
      </c>
    </row>
    <row r="1231" spans="1:14" x14ac:dyDescent="0.25">
      <c r="A1231">
        <v>704.75370099999998</v>
      </c>
      <c r="B1231" s="1">
        <f>DATE(2012,4,4) + TIME(18,5,19)</f>
        <v>41003.753692129627</v>
      </c>
      <c r="C1231">
        <v>80</v>
      </c>
      <c r="D1231">
        <v>67.925712584999999</v>
      </c>
      <c r="E1231">
        <v>50</v>
      </c>
      <c r="F1231">
        <v>49.970088959000002</v>
      </c>
      <c r="G1231">
        <v>1321.6011963000001</v>
      </c>
      <c r="H1231">
        <v>1317.2785644999999</v>
      </c>
      <c r="I1231">
        <v>1344.2615966999999</v>
      </c>
      <c r="J1231">
        <v>1340.1115723</v>
      </c>
      <c r="K1231">
        <v>0</v>
      </c>
      <c r="L1231">
        <v>2400</v>
      </c>
      <c r="M1231">
        <v>2400</v>
      </c>
      <c r="N1231">
        <v>0</v>
      </c>
    </row>
    <row r="1232" spans="1:14" x14ac:dyDescent="0.25">
      <c r="A1232">
        <v>708.65899899999999</v>
      </c>
      <c r="B1232" s="1">
        <f>DATE(2012,4,8) + TIME(15,48,57)</f>
        <v>41007.658993055556</v>
      </c>
      <c r="C1232">
        <v>80</v>
      </c>
      <c r="D1232">
        <v>67.574668884000005</v>
      </c>
      <c r="E1232">
        <v>50</v>
      </c>
      <c r="F1232">
        <v>49.970157622999999</v>
      </c>
      <c r="G1232">
        <v>1321.5101318</v>
      </c>
      <c r="H1232">
        <v>1317.1508789</v>
      </c>
      <c r="I1232">
        <v>1344.2498779</v>
      </c>
      <c r="J1232">
        <v>1340.1040039</v>
      </c>
      <c r="K1232">
        <v>0</v>
      </c>
      <c r="L1232">
        <v>2400</v>
      </c>
      <c r="M1232">
        <v>2400</v>
      </c>
      <c r="N1232">
        <v>0</v>
      </c>
    </row>
    <row r="1233" spans="1:14" x14ac:dyDescent="0.25">
      <c r="A1233">
        <v>712.62480100000005</v>
      </c>
      <c r="B1233" s="1">
        <f>DATE(2012,4,12) + TIME(14,59,42)</f>
        <v>41011.624791666669</v>
      </c>
      <c r="C1233">
        <v>80</v>
      </c>
      <c r="D1233">
        <v>67.204887389999996</v>
      </c>
      <c r="E1233">
        <v>50</v>
      </c>
      <c r="F1233">
        <v>49.970226287999999</v>
      </c>
      <c r="G1233">
        <v>1321.4177245999999</v>
      </c>
      <c r="H1233">
        <v>1317.0211182</v>
      </c>
      <c r="I1233">
        <v>1344.237793</v>
      </c>
      <c r="J1233">
        <v>1340.0960693</v>
      </c>
      <c r="K1233">
        <v>0</v>
      </c>
      <c r="L1233">
        <v>2400</v>
      </c>
      <c r="M1233">
        <v>2400</v>
      </c>
      <c r="N1233">
        <v>0</v>
      </c>
    </row>
    <row r="1234" spans="1:14" x14ac:dyDescent="0.25">
      <c r="A1234">
        <v>716.67873299999997</v>
      </c>
      <c r="B1234" s="1">
        <f>DATE(2012,4,16) + TIME(16,17,22)</f>
        <v>41015.678726851853</v>
      </c>
      <c r="C1234">
        <v>80</v>
      </c>
      <c r="D1234">
        <v>66.820983886999997</v>
      </c>
      <c r="E1234">
        <v>50</v>
      </c>
      <c r="F1234">
        <v>49.970298767000003</v>
      </c>
      <c r="G1234">
        <v>1321.3254394999999</v>
      </c>
      <c r="H1234">
        <v>1316.8912353999999</v>
      </c>
      <c r="I1234">
        <v>1344.2257079999999</v>
      </c>
      <c r="J1234">
        <v>1340.0881348</v>
      </c>
      <c r="K1234">
        <v>0</v>
      </c>
      <c r="L1234">
        <v>2400</v>
      </c>
      <c r="M1234">
        <v>2400</v>
      </c>
      <c r="N1234">
        <v>0</v>
      </c>
    </row>
    <row r="1235" spans="1:14" x14ac:dyDescent="0.25">
      <c r="A1235">
        <v>720.79505300000005</v>
      </c>
      <c r="B1235" s="1">
        <f>DATE(2012,4,20) + TIME(19,4,52)</f>
        <v>41019.795046296298</v>
      </c>
      <c r="C1235">
        <v>80</v>
      </c>
      <c r="D1235">
        <v>66.423545837000006</v>
      </c>
      <c r="E1235">
        <v>50</v>
      </c>
      <c r="F1235">
        <v>49.970371245999999</v>
      </c>
      <c r="G1235">
        <v>1321.2337646000001</v>
      </c>
      <c r="H1235">
        <v>1316.7618408000001</v>
      </c>
      <c r="I1235">
        <v>1344.213501</v>
      </c>
      <c r="J1235">
        <v>1340.0799560999999</v>
      </c>
      <c r="K1235">
        <v>0</v>
      </c>
      <c r="L1235">
        <v>2400</v>
      </c>
      <c r="M1235">
        <v>2400</v>
      </c>
      <c r="N1235">
        <v>0</v>
      </c>
    </row>
    <row r="1236" spans="1:14" x14ac:dyDescent="0.25">
      <c r="A1236">
        <v>725.00836300000003</v>
      </c>
      <c r="B1236" s="1">
        <f>DATE(2012,4,25) + TIME(0,12,2)</f>
        <v>41024.008356481485</v>
      </c>
      <c r="C1236">
        <v>80</v>
      </c>
      <c r="D1236">
        <v>66.011459350999999</v>
      </c>
      <c r="E1236">
        <v>50</v>
      </c>
      <c r="F1236">
        <v>49.970443725999999</v>
      </c>
      <c r="G1236">
        <v>1321.1429443</v>
      </c>
      <c r="H1236">
        <v>1316.6335449000001</v>
      </c>
      <c r="I1236">
        <v>1344.2010498</v>
      </c>
      <c r="J1236">
        <v>1340.0715332</v>
      </c>
      <c r="K1236">
        <v>0</v>
      </c>
      <c r="L1236">
        <v>2400</v>
      </c>
      <c r="M1236">
        <v>2400</v>
      </c>
      <c r="N1236">
        <v>0</v>
      </c>
    </row>
    <row r="1237" spans="1:14" x14ac:dyDescent="0.25">
      <c r="A1237">
        <v>729.29401299999995</v>
      </c>
      <c r="B1237" s="1">
        <f>DATE(2012,4,29) + TIME(7,3,22)</f>
        <v>41028.294004629628</v>
      </c>
      <c r="C1237">
        <v>80</v>
      </c>
      <c r="D1237">
        <v>65.586372374999996</v>
      </c>
      <c r="E1237">
        <v>50</v>
      </c>
      <c r="F1237">
        <v>49.970520020000002</v>
      </c>
      <c r="G1237">
        <v>1321.0527344</v>
      </c>
      <c r="H1237">
        <v>1316.5058594</v>
      </c>
      <c r="I1237">
        <v>1344.1885986</v>
      </c>
      <c r="J1237">
        <v>1340.0629882999999</v>
      </c>
      <c r="K1237">
        <v>0</v>
      </c>
      <c r="L1237">
        <v>2400</v>
      </c>
      <c r="M1237">
        <v>2400</v>
      </c>
      <c r="N1237">
        <v>0</v>
      </c>
    </row>
    <row r="1238" spans="1:14" x14ac:dyDescent="0.25">
      <c r="A1238">
        <v>731</v>
      </c>
      <c r="B1238" s="1">
        <f>DATE(2012,5,1) + TIME(0,0,0)</f>
        <v>41030</v>
      </c>
      <c r="C1238">
        <v>80</v>
      </c>
      <c r="D1238">
        <v>65.209648131999998</v>
      </c>
      <c r="E1238">
        <v>50</v>
      </c>
      <c r="F1238">
        <v>49.970535278</v>
      </c>
      <c r="G1238">
        <v>1320.9644774999999</v>
      </c>
      <c r="H1238">
        <v>1316.3854980000001</v>
      </c>
      <c r="I1238">
        <v>1344.1757812000001</v>
      </c>
      <c r="J1238">
        <v>1340.0541992000001</v>
      </c>
      <c r="K1238">
        <v>0</v>
      </c>
      <c r="L1238">
        <v>2400</v>
      </c>
      <c r="M1238">
        <v>2400</v>
      </c>
      <c r="N1238">
        <v>0</v>
      </c>
    </row>
    <row r="1239" spans="1:14" x14ac:dyDescent="0.25">
      <c r="A1239">
        <v>731.000001</v>
      </c>
      <c r="B1239" s="1">
        <f>DATE(2012,5,1) + TIME(0,0,0)</f>
        <v>41030</v>
      </c>
      <c r="C1239">
        <v>80</v>
      </c>
      <c r="D1239">
        <v>65.209823607999994</v>
      </c>
      <c r="E1239">
        <v>50</v>
      </c>
      <c r="F1239">
        <v>49.970439911</v>
      </c>
      <c r="G1239">
        <v>1326.6785889</v>
      </c>
      <c r="H1239">
        <v>1322.0672606999999</v>
      </c>
      <c r="I1239">
        <v>1339.2978516000001</v>
      </c>
      <c r="J1239">
        <v>1335.7502440999999</v>
      </c>
      <c r="K1239">
        <v>2400</v>
      </c>
      <c r="L1239">
        <v>0</v>
      </c>
      <c r="M1239">
        <v>0</v>
      </c>
      <c r="N1239">
        <v>2400</v>
      </c>
    </row>
    <row r="1240" spans="1:14" x14ac:dyDescent="0.25">
      <c r="A1240">
        <v>731.00000399999999</v>
      </c>
      <c r="B1240" s="1">
        <f>DATE(2012,5,1) + TIME(0,0,0)</f>
        <v>41030</v>
      </c>
      <c r="C1240">
        <v>80</v>
      </c>
      <c r="D1240">
        <v>65.210166931000003</v>
      </c>
      <c r="E1240">
        <v>50</v>
      </c>
      <c r="F1240">
        <v>49.970252991000002</v>
      </c>
      <c r="G1240">
        <v>1328.3524170000001</v>
      </c>
      <c r="H1240">
        <v>1324.0087891000001</v>
      </c>
      <c r="I1240">
        <v>1337.8160399999999</v>
      </c>
      <c r="J1240">
        <v>1334.2683105000001</v>
      </c>
      <c r="K1240">
        <v>2400</v>
      </c>
      <c r="L1240">
        <v>0</v>
      </c>
      <c r="M1240">
        <v>0</v>
      </c>
      <c r="N1240">
        <v>2400</v>
      </c>
    </row>
    <row r="1241" spans="1:14" x14ac:dyDescent="0.25">
      <c r="A1241">
        <v>731.00001299999997</v>
      </c>
      <c r="B1241" s="1">
        <f>DATE(2012,5,1) + TIME(0,0,1)</f>
        <v>41030.000011574077</v>
      </c>
      <c r="C1241">
        <v>80</v>
      </c>
      <c r="D1241">
        <v>65.210723877000007</v>
      </c>
      <c r="E1241">
        <v>50</v>
      </c>
      <c r="F1241">
        <v>49.969989777000002</v>
      </c>
      <c r="G1241">
        <v>1330.7943115</v>
      </c>
      <c r="H1241">
        <v>1326.5090332</v>
      </c>
      <c r="I1241">
        <v>1335.7347411999999</v>
      </c>
      <c r="J1241">
        <v>1332.1877440999999</v>
      </c>
      <c r="K1241">
        <v>2400</v>
      </c>
      <c r="L1241">
        <v>0</v>
      </c>
      <c r="M1241">
        <v>0</v>
      </c>
      <c r="N1241">
        <v>2400</v>
      </c>
    </row>
    <row r="1242" spans="1:14" x14ac:dyDescent="0.25">
      <c r="A1242">
        <v>731.00004000000001</v>
      </c>
      <c r="B1242" s="1">
        <f>DATE(2012,5,1) + TIME(0,0,3)</f>
        <v>41030.000034722223</v>
      </c>
      <c r="C1242">
        <v>80</v>
      </c>
      <c r="D1242">
        <v>65.211776732999994</v>
      </c>
      <c r="E1242">
        <v>50</v>
      </c>
      <c r="F1242">
        <v>49.969703674000002</v>
      </c>
      <c r="G1242">
        <v>1333.5444336</v>
      </c>
      <c r="H1242">
        <v>1329.1669922000001</v>
      </c>
      <c r="I1242">
        <v>1333.4925536999999</v>
      </c>
      <c r="J1242">
        <v>1329.9470214999999</v>
      </c>
      <c r="K1242">
        <v>2400</v>
      </c>
      <c r="L1242">
        <v>0</v>
      </c>
      <c r="M1242">
        <v>0</v>
      </c>
      <c r="N1242">
        <v>2400</v>
      </c>
    </row>
    <row r="1243" spans="1:14" x14ac:dyDescent="0.25">
      <c r="A1243">
        <v>731.00012100000004</v>
      </c>
      <c r="B1243" s="1">
        <f>DATE(2012,5,1) + TIME(0,0,10)</f>
        <v>41030.000115740739</v>
      </c>
      <c r="C1243">
        <v>80</v>
      </c>
      <c r="D1243">
        <v>65.214271545000003</v>
      </c>
      <c r="E1243">
        <v>50</v>
      </c>
      <c r="F1243">
        <v>49.969417571999998</v>
      </c>
      <c r="G1243">
        <v>1336.3123779</v>
      </c>
      <c r="H1243">
        <v>1331.8314209</v>
      </c>
      <c r="I1243">
        <v>1331.2734375</v>
      </c>
      <c r="J1243">
        <v>1327.729126</v>
      </c>
      <c r="K1243">
        <v>2400</v>
      </c>
      <c r="L1243">
        <v>0</v>
      </c>
      <c r="M1243">
        <v>0</v>
      </c>
      <c r="N1243">
        <v>2400</v>
      </c>
    </row>
    <row r="1244" spans="1:14" x14ac:dyDescent="0.25">
      <c r="A1244">
        <v>731.00036399999999</v>
      </c>
      <c r="B1244" s="1">
        <f>DATE(2012,5,1) + TIME(0,0,31)</f>
        <v>41030.000358796293</v>
      </c>
      <c r="C1244">
        <v>80</v>
      </c>
      <c r="D1244">
        <v>65.221168517999999</v>
      </c>
      <c r="E1244">
        <v>50</v>
      </c>
      <c r="F1244">
        <v>49.969104766999997</v>
      </c>
      <c r="G1244">
        <v>1339.0767822</v>
      </c>
      <c r="H1244">
        <v>1334.4927978999999</v>
      </c>
      <c r="I1244">
        <v>1329.0537108999999</v>
      </c>
      <c r="J1244">
        <v>1325.5004882999999</v>
      </c>
      <c r="K1244">
        <v>2400</v>
      </c>
      <c r="L1244">
        <v>0</v>
      </c>
      <c r="M1244">
        <v>0</v>
      </c>
      <c r="N1244">
        <v>2400</v>
      </c>
    </row>
    <row r="1245" spans="1:14" x14ac:dyDescent="0.25">
      <c r="A1245">
        <v>731.00109299999997</v>
      </c>
      <c r="B1245" s="1">
        <f>DATE(2012,5,1) + TIME(0,1,34)</f>
        <v>41030.001087962963</v>
      </c>
      <c r="C1245">
        <v>80</v>
      </c>
      <c r="D1245">
        <v>65.241584778000004</v>
      </c>
      <c r="E1245">
        <v>50</v>
      </c>
      <c r="F1245">
        <v>49.968719481999997</v>
      </c>
      <c r="G1245">
        <v>1341.7972411999999</v>
      </c>
      <c r="H1245">
        <v>1337.1071777</v>
      </c>
      <c r="I1245">
        <v>1326.7907714999999</v>
      </c>
      <c r="J1245">
        <v>1323.2003173999999</v>
      </c>
      <c r="K1245">
        <v>2400</v>
      </c>
      <c r="L1245">
        <v>0</v>
      </c>
      <c r="M1245">
        <v>0</v>
      </c>
      <c r="N1245">
        <v>2400</v>
      </c>
    </row>
    <row r="1246" spans="1:14" x14ac:dyDescent="0.25">
      <c r="A1246">
        <v>731.00328000000002</v>
      </c>
      <c r="B1246" s="1">
        <f>DATE(2012,5,1) + TIME(0,4,43)</f>
        <v>41030.003275462965</v>
      </c>
      <c r="C1246">
        <v>80</v>
      </c>
      <c r="D1246">
        <v>65.302986145000006</v>
      </c>
      <c r="E1246">
        <v>50</v>
      </c>
      <c r="F1246">
        <v>49.968158721999998</v>
      </c>
      <c r="G1246">
        <v>1344.1538086</v>
      </c>
      <c r="H1246">
        <v>1339.3780518000001</v>
      </c>
      <c r="I1246">
        <v>1324.6632079999999</v>
      </c>
      <c r="J1246">
        <v>1321.0264893000001</v>
      </c>
      <c r="K1246">
        <v>2400</v>
      </c>
      <c r="L1246">
        <v>0</v>
      </c>
      <c r="M1246">
        <v>0</v>
      </c>
      <c r="N1246">
        <v>2400</v>
      </c>
    </row>
    <row r="1247" spans="1:14" x14ac:dyDescent="0.25">
      <c r="A1247">
        <v>731.00984100000005</v>
      </c>
      <c r="B1247" s="1">
        <f>DATE(2012,5,1) + TIME(0,14,10)</f>
        <v>41030.009837962964</v>
      </c>
      <c r="C1247">
        <v>80</v>
      </c>
      <c r="D1247">
        <v>65.485816955999994</v>
      </c>
      <c r="E1247">
        <v>50</v>
      </c>
      <c r="F1247">
        <v>49.967090607000003</v>
      </c>
      <c r="G1247">
        <v>1345.6468506000001</v>
      </c>
      <c r="H1247">
        <v>1340.8400879000001</v>
      </c>
      <c r="I1247">
        <v>1323.2485352000001</v>
      </c>
      <c r="J1247">
        <v>1319.5869141000001</v>
      </c>
      <c r="K1247">
        <v>2400</v>
      </c>
      <c r="L1247">
        <v>0</v>
      </c>
      <c r="M1247">
        <v>0</v>
      </c>
      <c r="N1247">
        <v>2400</v>
      </c>
    </row>
    <row r="1248" spans="1:14" x14ac:dyDescent="0.25">
      <c r="A1248">
        <v>731.02952400000004</v>
      </c>
      <c r="B1248" s="1">
        <f>DATE(2012,5,1) + TIME(0,42,30)</f>
        <v>41030.029513888891</v>
      </c>
      <c r="C1248">
        <v>80</v>
      </c>
      <c r="D1248">
        <v>66.013908385999997</v>
      </c>
      <c r="E1248">
        <v>50</v>
      </c>
      <c r="F1248">
        <v>49.964405059999997</v>
      </c>
      <c r="G1248">
        <v>1346.1363524999999</v>
      </c>
      <c r="H1248">
        <v>1341.3641356999999</v>
      </c>
      <c r="I1248">
        <v>1322.7937012</v>
      </c>
      <c r="J1248">
        <v>1319.1252440999999</v>
      </c>
      <c r="K1248">
        <v>2400</v>
      </c>
      <c r="L1248">
        <v>0</v>
      </c>
      <c r="M1248">
        <v>0</v>
      </c>
      <c r="N1248">
        <v>2400</v>
      </c>
    </row>
    <row r="1249" spans="1:14" x14ac:dyDescent="0.25">
      <c r="A1249">
        <v>731.05034999999998</v>
      </c>
      <c r="B1249" s="1">
        <f>DATE(2012,5,1) + TIME(1,12,30)</f>
        <v>41030.050347222219</v>
      </c>
      <c r="C1249">
        <v>80</v>
      </c>
      <c r="D1249">
        <v>66.551597595000004</v>
      </c>
      <c r="E1249">
        <v>50</v>
      </c>
      <c r="F1249">
        <v>49.961643219000003</v>
      </c>
      <c r="G1249">
        <v>1346.1767577999999</v>
      </c>
      <c r="H1249">
        <v>1341.4366454999999</v>
      </c>
      <c r="I1249">
        <v>1322.7484131000001</v>
      </c>
      <c r="J1249">
        <v>1319.0791016000001</v>
      </c>
      <c r="K1249">
        <v>2400</v>
      </c>
      <c r="L1249">
        <v>0</v>
      </c>
      <c r="M1249">
        <v>0</v>
      </c>
      <c r="N1249">
        <v>2400</v>
      </c>
    </row>
    <row r="1250" spans="1:14" x14ac:dyDescent="0.25">
      <c r="A1250">
        <v>731.07160799999997</v>
      </c>
      <c r="B1250" s="1">
        <f>DATE(2012,5,1) + TIME(1,43,6)</f>
        <v>41030.071597222224</v>
      </c>
      <c r="C1250">
        <v>80</v>
      </c>
      <c r="D1250">
        <v>67.079383849999999</v>
      </c>
      <c r="E1250">
        <v>50</v>
      </c>
      <c r="F1250">
        <v>49.958850861000002</v>
      </c>
      <c r="G1250">
        <v>1346.1473389</v>
      </c>
      <c r="H1250">
        <v>1341.4381103999999</v>
      </c>
      <c r="I1250">
        <v>1322.746582</v>
      </c>
      <c r="J1250">
        <v>1319.0772704999999</v>
      </c>
      <c r="K1250">
        <v>2400</v>
      </c>
      <c r="L1250">
        <v>0</v>
      </c>
      <c r="M1250">
        <v>0</v>
      </c>
      <c r="N1250">
        <v>2400</v>
      </c>
    </row>
    <row r="1251" spans="1:14" x14ac:dyDescent="0.25">
      <c r="A1251">
        <v>731.09331899999995</v>
      </c>
      <c r="B1251" s="1">
        <f>DATE(2012,5,1) + TIME(2,14,22)</f>
        <v>41030.093310185184</v>
      </c>
      <c r="C1251">
        <v>80</v>
      </c>
      <c r="D1251">
        <v>67.597320557000003</v>
      </c>
      <c r="E1251">
        <v>50</v>
      </c>
      <c r="F1251">
        <v>49.956020355</v>
      </c>
      <c r="G1251">
        <v>1346.1082764</v>
      </c>
      <c r="H1251">
        <v>1341.4285889</v>
      </c>
      <c r="I1251">
        <v>1322.7475586</v>
      </c>
      <c r="J1251">
        <v>1319.0780029</v>
      </c>
      <c r="K1251">
        <v>2400</v>
      </c>
      <c r="L1251">
        <v>0</v>
      </c>
      <c r="M1251">
        <v>0</v>
      </c>
      <c r="N1251">
        <v>2400</v>
      </c>
    </row>
    <row r="1252" spans="1:14" x14ac:dyDescent="0.25">
      <c r="A1252">
        <v>731.11547700000006</v>
      </c>
      <c r="B1252" s="1">
        <f>DATE(2012,5,1) + TIME(2,46,17)</f>
        <v>41030.115474537037</v>
      </c>
      <c r="C1252">
        <v>80</v>
      </c>
      <c r="D1252">
        <v>68.10484314</v>
      </c>
      <c r="E1252">
        <v>50</v>
      </c>
      <c r="F1252">
        <v>49.953159331999998</v>
      </c>
      <c r="G1252">
        <v>1346.0699463000001</v>
      </c>
      <c r="H1252">
        <v>1341.4179687999999</v>
      </c>
      <c r="I1252">
        <v>1322.7480469</v>
      </c>
      <c r="J1252">
        <v>1319.0784911999999</v>
      </c>
      <c r="K1252">
        <v>2400</v>
      </c>
      <c r="L1252">
        <v>0</v>
      </c>
      <c r="M1252">
        <v>0</v>
      </c>
      <c r="N1252">
        <v>2400</v>
      </c>
    </row>
    <row r="1253" spans="1:14" x14ac:dyDescent="0.25">
      <c r="A1253">
        <v>731.13805300000001</v>
      </c>
      <c r="B1253" s="1">
        <f>DATE(2012,5,1) + TIME(3,18,47)</f>
        <v>41030.138043981482</v>
      </c>
      <c r="C1253">
        <v>80</v>
      </c>
      <c r="D1253">
        <v>68.600990295000003</v>
      </c>
      <c r="E1253">
        <v>50</v>
      </c>
      <c r="F1253">
        <v>49.950260161999999</v>
      </c>
      <c r="G1253">
        <v>1346.0344238</v>
      </c>
      <c r="H1253">
        <v>1341.4084473</v>
      </c>
      <c r="I1253">
        <v>1322.7482910000001</v>
      </c>
      <c r="J1253">
        <v>1319.0786132999999</v>
      </c>
      <c r="K1253">
        <v>2400</v>
      </c>
      <c r="L1253">
        <v>0</v>
      </c>
      <c r="M1253">
        <v>0</v>
      </c>
      <c r="N1253">
        <v>2400</v>
      </c>
    </row>
    <row r="1254" spans="1:14" x14ac:dyDescent="0.25">
      <c r="A1254">
        <v>731.161067</v>
      </c>
      <c r="B1254" s="1">
        <f>DATE(2012,5,1) + TIME(3,51,56)</f>
        <v>41030.161064814813</v>
      </c>
      <c r="C1254">
        <v>80</v>
      </c>
      <c r="D1254">
        <v>69.085922241000006</v>
      </c>
      <c r="E1254">
        <v>50</v>
      </c>
      <c r="F1254">
        <v>49.947334290000001</v>
      </c>
      <c r="G1254">
        <v>1346.0017089999999</v>
      </c>
      <c r="H1254">
        <v>1341.4002685999999</v>
      </c>
      <c r="I1254">
        <v>1322.7484131000001</v>
      </c>
      <c r="J1254">
        <v>1319.0786132999999</v>
      </c>
      <c r="K1254">
        <v>2400</v>
      </c>
      <c r="L1254">
        <v>0</v>
      </c>
      <c r="M1254">
        <v>0</v>
      </c>
      <c r="N1254">
        <v>2400</v>
      </c>
    </row>
    <row r="1255" spans="1:14" x14ac:dyDescent="0.25">
      <c r="A1255">
        <v>731.18454099999997</v>
      </c>
      <c r="B1255" s="1">
        <f>DATE(2012,5,1) + TIME(4,25,44)</f>
        <v>41030.184537037036</v>
      </c>
      <c r="C1255">
        <v>80</v>
      </c>
      <c r="D1255">
        <v>69.559745789000004</v>
      </c>
      <c r="E1255">
        <v>50</v>
      </c>
      <c r="F1255">
        <v>49.94437027</v>
      </c>
      <c r="G1255">
        <v>1345.9718018000001</v>
      </c>
      <c r="H1255">
        <v>1341.3934326000001</v>
      </c>
      <c r="I1255">
        <v>1322.7485352000001</v>
      </c>
      <c r="J1255">
        <v>1319.0786132999999</v>
      </c>
      <c r="K1255">
        <v>2400</v>
      </c>
      <c r="L1255">
        <v>0</v>
      </c>
      <c r="M1255">
        <v>0</v>
      </c>
      <c r="N1255">
        <v>2400</v>
      </c>
    </row>
    <row r="1256" spans="1:14" x14ac:dyDescent="0.25">
      <c r="A1256">
        <v>731.20849799999996</v>
      </c>
      <c r="B1256" s="1">
        <f>DATE(2012,5,1) + TIME(5,0,14)</f>
        <v>41030.208495370367</v>
      </c>
      <c r="C1256">
        <v>80</v>
      </c>
      <c r="D1256">
        <v>70.022575377999999</v>
      </c>
      <c r="E1256">
        <v>50</v>
      </c>
      <c r="F1256">
        <v>49.941371918000002</v>
      </c>
      <c r="G1256">
        <v>1345.9445800999999</v>
      </c>
      <c r="H1256">
        <v>1341.3878173999999</v>
      </c>
      <c r="I1256">
        <v>1322.7485352000001</v>
      </c>
      <c r="J1256">
        <v>1319.0786132999999</v>
      </c>
      <c r="K1256">
        <v>2400</v>
      </c>
      <c r="L1256">
        <v>0</v>
      </c>
      <c r="M1256">
        <v>0</v>
      </c>
      <c r="N1256">
        <v>2400</v>
      </c>
    </row>
    <row r="1257" spans="1:14" x14ac:dyDescent="0.25">
      <c r="A1257">
        <v>731.23296000000005</v>
      </c>
      <c r="B1257" s="1">
        <f>DATE(2012,5,1) + TIME(5,35,27)</f>
        <v>41030.232951388891</v>
      </c>
      <c r="C1257">
        <v>80</v>
      </c>
      <c r="D1257">
        <v>70.474205017000003</v>
      </c>
      <c r="E1257">
        <v>50</v>
      </c>
      <c r="F1257">
        <v>49.938331603999998</v>
      </c>
      <c r="G1257">
        <v>1345.9200439000001</v>
      </c>
      <c r="H1257">
        <v>1341.3834228999999</v>
      </c>
      <c r="I1257">
        <v>1322.7486572</v>
      </c>
      <c r="J1257">
        <v>1319.0786132999999</v>
      </c>
      <c r="K1257">
        <v>2400</v>
      </c>
      <c r="L1257">
        <v>0</v>
      </c>
      <c r="M1257">
        <v>0</v>
      </c>
      <c r="N1257">
        <v>2400</v>
      </c>
    </row>
    <row r="1258" spans="1:14" x14ac:dyDescent="0.25">
      <c r="A1258">
        <v>731.25795400000004</v>
      </c>
      <c r="B1258" s="1">
        <f>DATE(2012,5,1) + TIME(6,11,27)</f>
        <v>41030.257951388892</v>
      </c>
      <c r="C1258">
        <v>80</v>
      </c>
      <c r="D1258">
        <v>70.915016174000002</v>
      </c>
      <c r="E1258">
        <v>50</v>
      </c>
      <c r="F1258">
        <v>49.935253142999997</v>
      </c>
      <c r="G1258">
        <v>1345.8980713000001</v>
      </c>
      <c r="H1258">
        <v>1341.380249</v>
      </c>
      <c r="I1258">
        <v>1322.7486572</v>
      </c>
      <c r="J1258">
        <v>1319.0784911999999</v>
      </c>
      <c r="K1258">
        <v>2400</v>
      </c>
      <c r="L1258">
        <v>0</v>
      </c>
      <c r="M1258">
        <v>0</v>
      </c>
      <c r="N1258">
        <v>2400</v>
      </c>
    </row>
    <row r="1259" spans="1:14" x14ac:dyDescent="0.25">
      <c r="A1259">
        <v>731.28350599999999</v>
      </c>
      <c r="B1259" s="1">
        <f>DATE(2012,5,1) + TIME(6,48,14)</f>
        <v>41030.283495370371</v>
      </c>
      <c r="C1259">
        <v>80</v>
      </c>
      <c r="D1259">
        <v>71.345092773000005</v>
      </c>
      <c r="E1259">
        <v>50</v>
      </c>
      <c r="F1259">
        <v>49.932132721000002</v>
      </c>
      <c r="G1259">
        <v>1345.878418</v>
      </c>
      <c r="H1259">
        <v>1341.3781738</v>
      </c>
      <c r="I1259">
        <v>1322.7486572</v>
      </c>
      <c r="J1259">
        <v>1319.0784911999999</v>
      </c>
      <c r="K1259">
        <v>2400</v>
      </c>
      <c r="L1259">
        <v>0</v>
      </c>
      <c r="M1259">
        <v>0</v>
      </c>
      <c r="N1259">
        <v>2400</v>
      </c>
    </row>
    <row r="1260" spans="1:14" x14ac:dyDescent="0.25">
      <c r="A1260">
        <v>731.30964400000005</v>
      </c>
      <c r="B1260" s="1">
        <f>DATE(2012,5,1) + TIME(7,25,53)</f>
        <v>41030.309641203705</v>
      </c>
      <c r="C1260">
        <v>80</v>
      </c>
      <c r="D1260">
        <v>71.764457703000005</v>
      </c>
      <c r="E1260">
        <v>50</v>
      </c>
      <c r="F1260">
        <v>49.928966522000003</v>
      </c>
      <c r="G1260">
        <v>1345.8609618999999</v>
      </c>
      <c r="H1260">
        <v>1341.3770752</v>
      </c>
      <c r="I1260">
        <v>1322.7486572</v>
      </c>
      <c r="J1260">
        <v>1319.0783690999999</v>
      </c>
      <c r="K1260">
        <v>2400</v>
      </c>
      <c r="L1260">
        <v>0</v>
      </c>
      <c r="M1260">
        <v>0</v>
      </c>
      <c r="N1260">
        <v>2400</v>
      </c>
    </row>
    <row r="1261" spans="1:14" x14ac:dyDescent="0.25">
      <c r="A1261">
        <v>731.33639500000004</v>
      </c>
      <c r="B1261" s="1">
        <f>DATE(2012,5,1) + TIME(8,4,24)</f>
        <v>41030.336388888885</v>
      </c>
      <c r="C1261">
        <v>80</v>
      </c>
      <c r="D1261">
        <v>72.173126221000004</v>
      </c>
      <c r="E1261">
        <v>50</v>
      </c>
      <c r="F1261">
        <v>49.925750731999997</v>
      </c>
      <c r="G1261">
        <v>1345.8458252</v>
      </c>
      <c r="H1261">
        <v>1341.3770752</v>
      </c>
      <c r="I1261">
        <v>1322.7486572</v>
      </c>
      <c r="J1261">
        <v>1319.0782471</v>
      </c>
      <c r="K1261">
        <v>2400</v>
      </c>
      <c r="L1261">
        <v>0</v>
      </c>
      <c r="M1261">
        <v>0</v>
      </c>
      <c r="N1261">
        <v>2400</v>
      </c>
    </row>
    <row r="1262" spans="1:14" x14ac:dyDescent="0.25">
      <c r="A1262">
        <v>731.36379599999998</v>
      </c>
      <c r="B1262" s="1">
        <f>DATE(2012,5,1) + TIME(8,43,51)</f>
        <v>41030.36378472222</v>
      </c>
      <c r="C1262">
        <v>80</v>
      </c>
      <c r="D1262">
        <v>72.571182250999996</v>
      </c>
      <c r="E1262">
        <v>50</v>
      </c>
      <c r="F1262">
        <v>49.922485352000002</v>
      </c>
      <c r="G1262">
        <v>1345.8326416</v>
      </c>
      <c r="H1262">
        <v>1341.3780518000001</v>
      </c>
      <c r="I1262">
        <v>1322.7486572</v>
      </c>
      <c r="J1262">
        <v>1319.078125</v>
      </c>
      <c r="K1262">
        <v>2400</v>
      </c>
      <c r="L1262">
        <v>0</v>
      </c>
      <c r="M1262">
        <v>0</v>
      </c>
      <c r="N1262">
        <v>2400</v>
      </c>
    </row>
    <row r="1263" spans="1:14" x14ac:dyDescent="0.25">
      <c r="A1263">
        <v>731.39188200000001</v>
      </c>
      <c r="B1263" s="1">
        <f>DATE(2012,5,1) + TIME(9,24,18)</f>
        <v>41030.391875000001</v>
      </c>
      <c r="C1263">
        <v>80</v>
      </c>
      <c r="D1263">
        <v>72.958671570000007</v>
      </c>
      <c r="E1263">
        <v>50</v>
      </c>
      <c r="F1263">
        <v>49.919166564999998</v>
      </c>
      <c r="G1263">
        <v>1345.8214111</v>
      </c>
      <c r="H1263">
        <v>1341.3800048999999</v>
      </c>
      <c r="I1263">
        <v>1322.7486572</v>
      </c>
      <c r="J1263">
        <v>1319.0780029</v>
      </c>
      <c r="K1263">
        <v>2400</v>
      </c>
      <c r="L1263">
        <v>0</v>
      </c>
      <c r="M1263">
        <v>0</v>
      </c>
      <c r="N1263">
        <v>2400</v>
      </c>
    </row>
    <row r="1264" spans="1:14" x14ac:dyDescent="0.25">
      <c r="A1264">
        <v>731.42069100000003</v>
      </c>
      <c r="B1264" s="1">
        <f>DATE(2012,5,1) + TIME(10,5,47)</f>
        <v>41030.420682870368</v>
      </c>
      <c r="C1264">
        <v>80</v>
      </c>
      <c r="D1264">
        <v>73.335609435999999</v>
      </c>
      <c r="E1264">
        <v>50</v>
      </c>
      <c r="F1264">
        <v>49.915790557999998</v>
      </c>
      <c r="G1264">
        <v>1345.8121338000001</v>
      </c>
      <c r="H1264">
        <v>1341.3828125</v>
      </c>
      <c r="I1264">
        <v>1322.7486572</v>
      </c>
      <c r="J1264">
        <v>1319.0778809000001</v>
      </c>
      <c r="K1264">
        <v>2400</v>
      </c>
      <c r="L1264">
        <v>0</v>
      </c>
      <c r="M1264">
        <v>0</v>
      </c>
      <c r="N1264">
        <v>2400</v>
      </c>
    </row>
    <row r="1265" spans="1:14" x14ac:dyDescent="0.25">
      <c r="A1265">
        <v>731.45022400000005</v>
      </c>
      <c r="B1265" s="1">
        <f>DATE(2012,5,1) + TIME(10,48,19)</f>
        <v>41030.450219907405</v>
      </c>
      <c r="C1265">
        <v>80</v>
      </c>
      <c r="D1265">
        <v>73.701530457000004</v>
      </c>
      <c r="E1265">
        <v>50</v>
      </c>
      <c r="F1265">
        <v>49.912361144999998</v>
      </c>
      <c r="G1265">
        <v>1345.8046875</v>
      </c>
      <c r="H1265">
        <v>1341.3863524999999</v>
      </c>
      <c r="I1265">
        <v>1322.7485352000001</v>
      </c>
      <c r="J1265">
        <v>1319.0776367000001</v>
      </c>
      <c r="K1265">
        <v>2400</v>
      </c>
      <c r="L1265">
        <v>0</v>
      </c>
      <c r="M1265">
        <v>0</v>
      </c>
      <c r="N1265">
        <v>2400</v>
      </c>
    </row>
    <row r="1266" spans="1:14" x14ac:dyDescent="0.25">
      <c r="A1266">
        <v>731.48049100000003</v>
      </c>
      <c r="B1266" s="1">
        <f>DATE(2012,5,1) + TIME(11,31,54)</f>
        <v>41030.480486111112</v>
      </c>
      <c r="C1266">
        <v>80</v>
      </c>
      <c r="D1266">
        <v>74.056152343999997</v>
      </c>
      <c r="E1266">
        <v>50</v>
      </c>
      <c r="F1266">
        <v>49.908874511999997</v>
      </c>
      <c r="G1266">
        <v>1345.7990723</v>
      </c>
      <c r="H1266">
        <v>1341.3907471</v>
      </c>
      <c r="I1266">
        <v>1322.7485352000001</v>
      </c>
      <c r="J1266">
        <v>1319.0775146000001</v>
      </c>
      <c r="K1266">
        <v>2400</v>
      </c>
      <c r="L1266">
        <v>0</v>
      </c>
      <c r="M1266">
        <v>0</v>
      </c>
      <c r="N1266">
        <v>2400</v>
      </c>
    </row>
    <row r="1267" spans="1:14" x14ac:dyDescent="0.25">
      <c r="A1267">
        <v>731.511528</v>
      </c>
      <c r="B1267" s="1">
        <f>DATE(2012,5,1) + TIME(12,16,36)</f>
        <v>41030.51152777778</v>
      </c>
      <c r="C1267">
        <v>80</v>
      </c>
      <c r="D1267">
        <v>74.399497986</v>
      </c>
      <c r="E1267">
        <v>50</v>
      </c>
      <c r="F1267">
        <v>49.905330657999997</v>
      </c>
      <c r="G1267">
        <v>1345.7949219</v>
      </c>
      <c r="H1267">
        <v>1341.395874</v>
      </c>
      <c r="I1267">
        <v>1322.7484131000001</v>
      </c>
      <c r="J1267">
        <v>1319.0772704999999</v>
      </c>
      <c r="K1267">
        <v>2400</v>
      </c>
      <c r="L1267">
        <v>0</v>
      </c>
      <c r="M1267">
        <v>0</v>
      </c>
      <c r="N1267">
        <v>2400</v>
      </c>
    </row>
    <row r="1268" spans="1:14" x14ac:dyDescent="0.25">
      <c r="A1268">
        <v>731.54338499999994</v>
      </c>
      <c r="B1268" s="1">
        <f>DATE(2012,5,1) + TIME(13,2,28)</f>
        <v>41030.543379629627</v>
      </c>
      <c r="C1268">
        <v>80</v>
      </c>
      <c r="D1268">
        <v>74.731666564999998</v>
      </c>
      <c r="E1268">
        <v>50</v>
      </c>
      <c r="F1268">
        <v>49.901721954000003</v>
      </c>
      <c r="G1268">
        <v>1345.7923584</v>
      </c>
      <c r="H1268">
        <v>1341.4016113</v>
      </c>
      <c r="I1268">
        <v>1322.7482910000001</v>
      </c>
      <c r="J1268">
        <v>1319.0770264</v>
      </c>
      <c r="K1268">
        <v>2400</v>
      </c>
      <c r="L1268">
        <v>0</v>
      </c>
      <c r="M1268">
        <v>0</v>
      </c>
      <c r="N1268">
        <v>2400</v>
      </c>
    </row>
    <row r="1269" spans="1:14" x14ac:dyDescent="0.25">
      <c r="A1269">
        <v>731.57610499999998</v>
      </c>
      <c r="B1269" s="1">
        <f>DATE(2012,5,1) + TIME(13,49,35)</f>
        <v>41030.576099537036</v>
      </c>
      <c r="C1269">
        <v>80</v>
      </c>
      <c r="D1269">
        <v>75.052658081000004</v>
      </c>
      <c r="E1269">
        <v>50</v>
      </c>
      <c r="F1269">
        <v>49.898048400999997</v>
      </c>
      <c r="G1269">
        <v>1345.7911377</v>
      </c>
      <c r="H1269">
        <v>1341.4079589999999</v>
      </c>
      <c r="I1269">
        <v>1322.7481689000001</v>
      </c>
      <c r="J1269">
        <v>1319.0767822</v>
      </c>
      <c r="K1269">
        <v>2400</v>
      </c>
      <c r="L1269">
        <v>0</v>
      </c>
      <c r="M1269">
        <v>0</v>
      </c>
      <c r="N1269">
        <v>2400</v>
      </c>
    </row>
    <row r="1270" spans="1:14" x14ac:dyDescent="0.25">
      <c r="A1270">
        <v>731.60973899999999</v>
      </c>
      <c r="B1270" s="1">
        <f>DATE(2012,5,1) + TIME(14,38,1)</f>
        <v>41030.609733796293</v>
      </c>
      <c r="C1270">
        <v>80</v>
      </c>
      <c r="D1270">
        <v>75.362358092999997</v>
      </c>
      <c r="E1270">
        <v>50</v>
      </c>
      <c r="F1270">
        <v>49.894306182999998</v>
      </c>
      <c r="G1270">
        <v>1345.7912598</v>
      </c>
      <c r="H1270">
        <v>1341.4149170000001</v>
      </c>
      <c r="I1270">
        <v>1322.7480469</v>
      </c>
      <c r="J1270">
        <v>1319.0765381000001</v>
      </c>
      <c r="K1270">
        <v>2400</v>
      </c>
      <c r="L1270">
        <v>0</v>
      </c>
      <c r="M1270">
        <v>0</v>
      </c>
      <c r="N1270">
        <v>2400</v>
      </c>
    </row>
    <row r="1271" spans="1:14" x14ac:dyDescent="0.25">
      <c r="A1271">
        <v>731.64433899999995</v>
      </c>
      <c r="B1271" s="1">
        <f>DATE(2012,5,1) + TIME(15,27,50)</f>
        <v>41030.644328703704</v>
      </c>
      <c r="C1271">
        <v>80</v>
      </c>
      <c r="D1271">
        <v>75.660980225000003</v>
      </c>
      <c r="E1271">
        <v>50</v>
      </c>
      <c r="F1271">
        <v>49.890491486000002</v>
      </c>
      <c r="G1271">
        <v>1345.7927245999999</v>
      </c>
      <c r="H1271">
        <v>1341.4222411999999</v>
      </c>
      <c r="I1271">
        <v>1322.7479248</v>
      </c>
      <c r="J1271">
        <v>1319.0762939000001</v>
      </c>
      <c r="K1271">
        <v>2400</v>
      </c>
      <c r="L1271">
        <v>0</v>
      </c>
      <c r="M1271">
        <v>0</v>
      </c>
      <c r="N1271">
        <v>2400</v>
      </c>
    </row>
    <row r="1272" spans="1:14" x14ac:dyDescent="0.25">
      <c r="A1272">
        <v>731.67996300000004</v>
      </c>
      <c r="B1272" s="1">
        <f>DATE(2012,5,1) + TIME(16,19,8)</f>
        <v>41030.6799537037</v>
      </c>
      <c r="C1272">
        <v>80</v>
      </c>
      <c r="D1272">
        <v>75.948570251000007</v>
      </c>
      <c r="E1272">
        <v>50</v>
      </c>
      <c r="F1272">
        <v>49.886596679999997</v>
      </c>
      <c r="G1272">
        <v>1345.7951660000001</v>
      </c>
      <c r="H1272">
        <v>1341.4301757999999</v>
      </c>
      <c r="I1272">
        <v>1322.7478027</v>
      </c>
      <c r="J1272">
        <v>1319.0760498</v>
      </c>
      <c r="K1272">
        <v>2400</v>
      </c>
      <c r="L1272">
        <v>0</v>
      </c>
      <c r="M1272">
        <v>0</v>
      </c>
      <c r="N1272">
        <v>2400</v>
      </c>
    </row>
    <row r="1273" spans="1:14" x14ac:dyDescent="0.25">
      <c r="A1273">
        <v>731.71667300000001</v>
      </c>
      <c r="B1273" s="1">
        <f>DATE(2012,5,1) + TIME(17,12,0)</f>
        <v>41030.716666666667</v>
      </c>
      <c r="C1273">
        <v>80</v>
      </c>
      <c r="D1273">
        <v>76.225158691000004</v>
      </c>
      <c r="E1273">
        <v>50</v>
      </c>
      <c r="F1273">
        <v>49.882617949999997</v>
      </c>
      <c r="G1273">
        <v>1345.7988281</v>
      </c>
      <c r="H1273">
        <v>1341.4384766000001</v>
      </c>
      <c r="I1273">
        <v>1322.7476807</v>
      </c>
      <c r="J1273">
        <v>1319.0756836</v>
      </c>
      <c r="K1273">
        <v>2400</v>
      </c>
      <c r="L1273">
        <v>0</v>
      </c>
      <c r="M1273">
        <v>0</v>
      </c>
      <c r="N1273">
        <v>2400</v>
      </c>
    </row>
    <row r="1274" spans="1:14" x14ac:dyDescent="0.25">
      <c r="A1274">
        <v>731.75453500000003</v>
      </c>
      <c r="B1274" s="1">
        <f>DATE(2012,5,1) + TIME(18,6,31)</f>
        <v>41030.754525462966</v>
      </c>
      <c r="C1274">
        <v>80</v>
      </c>
      <c r="D1274">
        <v>76.490776061999995</v>
      </c>
      <c r="E1274">
        <v>50</v>
      </c>
      <c r="F1274">
        <v>49.878551483000003</v>
      </c>
      <c r="G1274">
        <v>1345.8033447</v>
      </c>
      <c r="H1274">
        <v>1341.4470214999999</v>
      </c>
      <c r="I1274">
        <v>1322.7475586</v>
      </c>
      <c r="J1274">
        <v>1319.0754394999999</v>
      </c>
      <c r="K1274">
        <v>2400</v>
      </c>
      <c r="L1274">
        <v>0</v>
      </c>
      <c r="M1274">
        <v>0</v>
      </c>
      <c r="N1274">
        <v>2400</v>
      </c>
    </row>
    <row r="1275" spans="1:14" x14ac:dyDescent="0.25">
      <c r="A1275">
        <v>731.79362400000002</v>
      </c>
      <c r="B1275" s="1">
        <f>DATE(2012,5,1) + TIME(19,2,49)</f>
        <v>41030.793622685182</v>
      </c>
      <c r="C1275">
        <v>80</v>
      </c>
      <c r="D1275">
        <v>76.74546814</v>
      </c>
      <c r="E1275">
        <v>50</v>
      </c>
      <c r="F1275">
        <v>49.874389647999998</v>
      </c>
      <c r="G1275">
        <v>1345.8088379000001</v>
      </c>
      <c r="H1275">
        <v>1341.4559326000001</v>
      </c>
      <c r="I1275">
        <v>1322.7473144999999</v>
      </c>
      <c r="J1275">
        <v>1319.0750731999999</v>
      </c>
      <c r="K1275">
        <v>2400</v>
      </c>
      <c r="L1275">
        <v>0</v>
      </c>
      <c r="M1275">
        <v>0</v>
      </c>
      <c r="N1275">
        <v>2400</v>
      </c>
    </row>
    <row r="1276" spans="1:14" x14ac:dyDescent="0.25">
      <c r="A1276">
        <v>731.83401700000002</v>
      </c>
      <c r="B1276" s="1">
        <f>DATE(2012,5,1) + TIME(20,0,59)</f>
        <v>41030.834016203706</v>
      </c>
      <c r="C1276">
        <v>80</v>
      </c>
      <c r="D1276">
        <v>76.989280700999998</v>
      </c>
      <c r="E1276">
        <v>50</v>
      </c>
      <c r="F1276">
        <v>49.870132446</v>
      </c>
      <c r="G1276">
        <v>1345.8150635</v>
      </c>
      <c r="H1276">
        <v>1341.4652100000001</v>
      </c>
      <c r="I1276">
        <v>1322.7471923999999</v>
      </c>
      <c r="J1276">
        <v>1319.074707</v>
      </c>
      <c r="K1276">
        <v>2400</v>
      </c>
      <c r="L1276">
        <v>0</v>
      </c>
      <c r="M1276">
        <v>0</v>
      </c>
      <c r="N1276">
        <v>2400</v>
      </c>
    </row>
    <row r="1277" spans="1:14" x14ac:dyDescent="0.25">
      <c r="A1277">
        <v>731.87582299999997</v>
      </c>
      <c r="B1277" s="1">
        <f>DATE(2012,5,1) + TIME(21,1,11)</f>
        <v>41030.875821759262</v>
      </c>
      <c r="C1277">
        <v>80</v>
      </c>
      <c r="D1277">
        <v>77.222358704000001</v>
      </c>
      <c r="E1277">
        <v>50</v>
      </c>
      <c r="F1277">
        <v>49.865760803000001</v>
      </c>
      <c r="G1277">
        <v>1345.8221435999999</v>
      </c>
      <c r="H1277">
        <v>1341.4746094</v>
      </c>
      <c r="I1277">
        <v>1322.7469481999999</v>
      </c>
      <c r="J1277">
        <v>1319.0744629000001</v>
      </c>
      <c r="K1277">
        <v>2400</v>
      </c>
      <c r="L1277">
        <v>0</v>
      </c>
      <c r="M1277">
        <v>0</v>
      </c>
      <c r="N1277">
        <v>2400</v>
      </c>
    </row>
    <row r="1278" spans="1:14" x14ac:dyDescent="0.25">
      <c r="A1278">
        <v>731.91911900000002</v>
      </c>
      <c r="B1278" s="1">
        <f>DATE(2012,5,1) + TIME(22,3,31)</f>
        <v>41030.919108796297</v>
      </c>
      <c r="C1278">
        <v>80</v>
      </c>
      <c r="D1278">
        <v>77.444656371999997</v>
      </c>
      <c r="E1278">
        <v>50</v>
      </c>
      <c r="F1278">
        <v>49.861278534</v>
      </c>
      <c r="G1278">
        <v>1345.8298339999999</v>
      </c>
      <c r="H1278">
        <v>1341.4841309000001</v>
      </c>
      <c r="I1278">
        <v>1322.7467041</v>
      </c>
      <c r="J1278">
        <v>1319.0740966999999</v>
      </c>
      <c r="K1278">
        <v>2400</v>
      </c>
      <c r="L1278">
        <v>0</v>
      </c>
      <c r="M1278">
        <v>0</v>
      </c>
      <c r="N1278">
        <v>2400</v>
      </c>
    </row>
    <row r="1279" spans="1:14" x14ac:dyDescent="0.25">
      <c r="A1279">
        <v>731.96401200000003</v>
      </c>
      <c r="B1279" s="1">
        <f>DATE(2012,5,1) + TIME(23,8,10)</f>
        <v>41030.964004629626</v>
      </c>
      <c r="C1279">
        <v>80</v>
      </c>
      <c r="D1279">
        <v>77.656234741000006</v>
      </c>
      <c r="E1279">
        <v>50</v>
      </c>
      <c r="F1279">
        <v>49.856674194</v>
      </c>
      <c r="G1279">
        <v>1345.8380127</v>
      </c>
      <c r="H1279">
        <v>1341.4938964999999</v>
      </c>
      <c r="I1279">
        <v>1322.7464600000001</v>
      </c>
      <c r="J1279">
        <v>1319.0737305</v>
      </c>
      <c r="K1279">
        <v>2400</v>
      </c>
      <c r="L1279">
        <v>0</v>
      </c>
      <c r="M1279">
        <v>0</v>
      </c>
      <c r="N1279">
        <v>2400</v>
      </c>
    </row>
    <row r="1280" spans="1:14" x14ac:dyDescent="0.25">
      <c r="A1280">
        <v>732.01061500000003</v>
      </c>
      <c r="B1280" s="1">
        <f>DATE(2012,5,2) + TIME(0,15,17)</f>
        <v>41031.010613425926</v>
      </c>
      <c r="C1280">
        <v>80</v>
      </c>
      <c r="D1280">
        <v>77.857170104999994</v>
      </c>
      <c r="E1280">
        <v>50</v>
      </c>
      <c r="F1280">
        <v>49.851936340000002</v>
      </c>
      <c r="G1280">
        <v>1345.8468018000001</v>
      </c>
      <c r="H1280">
        <v>1341.5037841999999</v>
      </c>
      <c r="I1280">
        <v>1322.7462158000001</v>
      </c>
      <c r="J1280">
        <v>1319.0732422000001</v>
      </c>
      <c r="K1280">
        <v>2400</v>
      </c>
      <c r="L1280">
        <v>0</v>
      </c>
      <c r="M1280">
        <v>0</v>
      </c>
      <c r="N1280">
        <v>2400</v>
      </c>
    </row>
    <row r="1281" spans="1:14" x14ac:dyDescent="0.25">
      <c r="A1281">
        <v>732.05905900000005</v>
      </c>
      <c r="B1281" s="1">
        <f>DATE(2012,5,2) + TIME(1,25,2)</f>
        <v>41031.059050925927</v>
      </c>
      <c r="C1281">
        <v>80</v>
      </c>
      <c r="D1281">
        <v>78.047538756999998</v>
      </c>
      <c r="E1281">
        <v>50</v>
      </c>
      <c r="F1281">
        <v>49.847061156999999</v>
      </c>
      <c r="G1281">
        <v>1345.855957</v>
      </c>
      <c r="H1281">
        <v>1341.5135498</v>
      </c>
      <c r="I1281">
        <v>1322.7459716999999</v>
      </c>
      <c r="J1281">
        <v>1319.072876</v>
      </c>
      <c r="K1281">
        <v>2400</v>
      </c>
      <c r="L1281">
        <v>0</v>
      </c>
      <c r="M1281">
        <v>0</v>
      </c>
      <c r="N1281">
        <v>2400</v>
      </c>
    </row>
    <row r="1282" spans="1:14" x14ac:dyDescent="0.25">
      <c r="A1282">
        <v>732.10948699999994</v>
      </c>
      <c r="B1282" s="1">
        <f>DATE(2012,5,2) + TIME(2,37,39)</f>
        <v>41031.109479166669</v>
      </c>
      <c r="C1282">
        <v>80</v>
      </c>
      <c r="D1282">
        <v>78.227447510000005</v>
      </c>
      <c r="E1282">
        <v>50</v>
      </c>
      <c r="F1282">
        <v>49.842033385999997</v>
      </c>
      <c r="G1282">
        <v>1345.8654785000001</v>
      </c>
      <c r="H1282">
        <v>1341.5234375</v>
      </c>
      <c r="I1282">
        <v>1322.7457274999999</v>
      </c>
      <c r="J1282">
        <v>1319.0723877</v>
      </c>
      <c r="K1282">
        <v>2400</v>
      </c>
      <c r="L1282">
        <v>0</v>
      </c>
      <c r="M1282">
        <v>0</v>
      </c>
      <c r="N1282">
        <v>2400</v>
      </c>
    </row>
    <row r="1283" spans="1:14" x14ac:dyDescent="0.25">
      <c r="A1283">
        <v>732.16196100000002</v>
      </c>
      <c r="B1283" s="1">
        <f>DATE(2012,5,2) + TIME(3,53,13)</f>
        <v>41031.161956018521</v>
      </c>
      <c r="C1283">
        <v>80</v>
      </c>
      <c r="D1283">
        <v>78.396713257000002</v>
      </c>
      <c r="E1283">
        <v>50</v>
      </c>
      <c r="F1283">
        <v>49.836853026999997</v>
      </c>
      <c r="G1283">
        <v>1345.8752440999999</v>
      </c>
      <c r="H1283">
        <v>1341.5332031</v>
      </c>
      <c r="I1283">
        <v>1322.7454834</v>
      </c>
      <c r="J1283">
        <v>1319.0720214999999</v>
      </c>
      <c r="K1283">
        <v>2400</v>
      </c>
      <c r="L1283">
        <v>0</v>
      </c>
      <c r="M1283">
        <v>0</v>
      </c>
      <c r="N1283">
        <v>2400</v>
      </c>
    </row>
    <row r="1284" spans="1:14" x14ac:dyDescent="0.25">
      <c r="A1284">
        <v>732.21662300000003</v>
      </c>
      <c r="B1284" s="1">
        <f>DATE(2012,5,2) + TIME(5,11,56)</f>
        <v>41031.216620370367</v>
      </c>
      <c r="C1284">
        <v>80</v>
      </c>
      <c r="D1284">
        <v>78.555450438999998</v>
      </c>
      <c r="E1284">
        <v>50</v>
      </c>
      <c r="F1284">
        <v>49.831504821999999</v>
      </c>
      <c r="G1284">
        <v>1345.8852539</v>
      </c>
      <c r="H1284">
        <v>1341.5428466999999</v>
      </c>
      <c r="I1284">
        <v>1322.7452393000001</v>
      </c>
      <c r="J1284">
        <v>1319.0715332</v>
      </c>
      <c r="K1284">
        <v>2400</v>
      </c>
      <c r="L1284">
        <v>0</v>
      </c>
      <c r="M1284">
        <v>0</v>
      </c>
      <c r="N1284">
        <v>2400</v>
      </c>
    </row>
    <row r="1285" spans="1:14" x14ac:dyDescent="0.25">
      <c r="A1285">
        <v>732.273639</v>
      </c>
      <c r="B1285" s="1">
        <f>DATE(2012,5,2) + TIME(6,34,2)</f>
        <v>41031.273634259262</v>
      </c>
      <c r="C1285">
        <v>80</v>
      </c>
      <c r="D1285">
        <v>78.703826903999996</v>
      </c>
      <c r="E1285">
        <v>50</v>
      </c>
      <c r="F1285">
        <v>49.825981140000003</v>
      </c>
      <c r="G1285">
        <v>1345.8953856999999</v>
      </c>
      <c r="H1285">
        <v>1341.5524902</v>
      </c>
      <c r="I1285">
        <v>1322.7448730000001</v>
      </c>
      <c r="J1285">
        <v>1319.0710449000001</v>
      </c>
      <c r="K1285">
        <v>2400</v>
      </c>
      <c r="L1285">
        <v>0</v>
      </c>
      <c r="M1285">
        <v>0</v>
      </c>
      <c r="N1285">
        <v>2400</v>
      </c>
    </row>
    <row r="1286" spans="1:14" x14ac:dyDescent="0.25">
      <c r="A1286">
        <v>732.33319900000004</v>
      </c>
      <c r="B1286" s="1">
        <f>DATE(2012,5,2) + TIME(7,59,48)</f>
        <v>41031.333194444444</v>
      </c>
      <c r="C1286">
        <v>80</v>
      </c>
      <c r="D1286">
        <v>78.842033385999997</v>
      </c>
      <c r="E1286">
        <v>50</v>
      </c>
      <c r="F1286">
        <v>49.820270538000003</v>
      </c>
      <c r="G1286">
        <v>1345.9053954999999</v>
      </c>
      <c r="H1286">
        <v>1341.5617675999999</v>
      </c>
      <c r="I1286">
        <v>1322.7446289</v>
      </c>
      <c r="J1286">
        <v>1319.0705565999999</v>
      </c>
      <c r="K1286">
        <v>2400</v>
      </c>
      <c r="L1286">
        <v>0</v>
      </c>
      <c r="M1286">
        <v>0</v>
      </c>
      <c r="N1286">
        <v>2400</v>
      </c>
    </row>
    <row r="1287" spans="1:14" x14ac:dyDescent="0.25">
      <c r="A1287">
        <v>732.39550899999995</v>
      </c>
      <c r="B1287" s="1">
        <f>DATE(2012,5,2) + TIME(9,29,31)</f>
        <v>41031.395497685182</v>
      </c>
      <c r="C1287">
        <v>80</v>
      </c>
      <c r="D1287">
        <v>78.970275878999999</v>
      </c>
      <c r="E1287">
        <v>50</v>
      </c>
      <c r="F1287">
        <v>49.814353943</v>
      </c>
      <c r="G1287">
        <v>1345.9154053</v>
      </c>
      <c r="H1287">
        <v>1341.5708007999999</v>
      </c>
      <c r="I1287">
        <v>1322.7442627</v>
      </c>
      <c r="J1287">
        <v>1319.0700684000001</v>
      </c>
      <c r="K1287">
        <v>2400</v>
      </c>
      <c r="L1287">
        <v>0</v>
      </c>
      <c r="M1287">
        <v>0</v>
      </c>
      <c r="N1287">
        <v>2400</v>
      </c>
    </row>
    <row r="1288" spans="1:14" x14ac:dyDescent="0.25">
      <c r="A1288">
        <v>732.46080300000006</v>
      </c>
      <c r="B1288" s="1">
        <f>DATE(2012,5,2) + TIME(11,3,33)</f>
        <v>41031.460798611108</v>
      </c>
      <c r="C1288">
        <v>80</v>
      </c>
      <c r="D1288">
        <v>79.088790893999999</v>
      </c>
      <c r="E1288">
        <v>50</v>
      </c>
      <c r="F1288">
        <v>49.808216094999999</v>
      </c>
      <c r="G1288">
        <v>1345.925293</v>
      </c>
      <c r="H1288">
        <v>1341.5795897999999</v>
      </c>
      <c r="I1288">
        <v>1322.7438964999999</v>
      </c>
      <c r="J1288">
        <v>1319.0694579999999</v>
      </c>
      <c r="K1288">
        <v>2400</v>
      </c>
      <c r="L1288">
        <v>0</v>
      </c>
      <c r="M1288">
        <v>0</v>
      </c>
      <c r="N1288">
        <v>2400</v>
      </c>
    </row>
    <row r="1289" spans="1:14" x14ac:dyDescent="0.25">
      <c r="A1289">
        <v>732.52934400000004</v>
      </c>
      <c r="B1289" s="1">
        <f>DATE(2012,5,2) + TIME(12,42,15)</f>
        <v>41031.529340277775</v>
      </c>
      <c r="C1289">
        <v>80</v>
      </c>
      <c r="D1289">
        <v>79.197822571000003</v>
      </c>
      <c r="E1289">
        <v>50</v>
      </c>
      <c r="F1289">
        <v>49.801834106000001</v>
      </c>
      <c r="G1289">
        <v>1345.9348144999999</v>
      </c>
      <c r="H1289">
        <v>1341.5878906</v>
      </c>
      <c r="I1289">
        <v>1322.7435303</v>
      </c>
      <c r="J1289">
        <v>1319.0689697</v>
      </c>
      <c r="K1289">
        <v>2400</v>
      </c>
      <c r="L1289">
        <v>0</v>
      </c>
      <c r="M1289">
        <v>0</v>
      </c>
      <c r="N1289">
        <v>2400</v>
      </c>
    </row>
    <row r="1290" spans="1:14" x14ac:dyDescent="0.25">
      <c r="A1290">
        <v>732.60142599999995</v>
      </c>
      <c r="B1290" s="1">
        <f>DATE(2012,5,2) + TIME(14,26,3)</f>
        <v>41031.601423611108</v>
      </c>
      <c r="C1290">
        <v>80</v>
      </c>
      <c r="D1290">
        <v>79.297660828000005</v>
      </c>
      <c r="E1290">
        <v>50</v>
      </c>
      <c r="F1290">
        <v>49.795196533000002</v>
      </c>
      <c r="G1290">
        <v>1345.9439697</v>
      </c>
      <c r="H1290">
        <v>1341.5959473</v>
      </c>
      <c r="I1290">
        <v>1322.7431641000001</v>
      </c>
      <c r="J1290">
        <v>1319.0683594</v>
      </c>
      <c r="K1290">
        <v>2400</v>
      </c>
      <c r="L1290">
        <v>0</v>
      </c>
      <c r="M1290">
        <v>0</v>
      </c>
      <c r="N1290">
        <v>2400</v>
      </c>
    </row>
    <row r="1291" spans="1:14" x14ac:dyDescent="0.25">
      <c r="A1291">
        <v>732.67739800000004</v>
      </c>
      <c r="B1291" s="1">
        <f>DATE(2012,5,2) + TIME(16,15,27)</f>
        <v>41031.677395833336</v>
      </c>
      <c r="C1291">
        <v>80</v>
      </c>
      <c r="D1291">
        <v>79.388603209999999</v>
      </c>
      <c r="E1291">
        <v>50</v>
      </c>
      <c r="F1291">
        <v>49.788269043</v>
      </c>
      <c r="G1291">
        <v>1345.9527588000001</v>
      </c>
      <c r="H1291">
        <v>1341.6033935999999</v>
      </c>
      <c r="I1291">
        <v>1322.7426757999999</v>
      </c>
      <c r="J1291">
        <v>1319.067749</v>
      </c>
      <c r="K1291">
        <v>2400</v>
      </c>
      <c r="L1291">
        <v>0</v>
      </c>
      <c r="M1291">
        <v>0</v>
      </c>
      <c r="N1291">
        <v>2400</v>
      </c>
    </row>
    <row r="1292" spans="1:14" x14ac:dyDescent="0.25">
      <c r="A1292">
        <v>732.75768300000004</v>
      </c>
      <c r="B1292" s="1">
        <f>DATE(2012,5,2) + TIME(18,11,3)</f>
        <v>41031.757673611108</v>
      </c>
      <c r="C1292">
        <v>80</v>
      </c>
      <c r="D1292">
        <v>79.471015929999993</v>
      </c>
      <c r="E1292">
        <v>50</v>
      </c>
      <c r="F1292">
        <v>49.781024932999998</v>
      </c>
      <c r="G1292">
        <v>1345.9610596</v>
      </c>
      <c r="H1292">
        <v>1341.6103516000001</v>
      </c>
      <c r="I1292">
        <v>1322.7423096</v>
      </c>
      <c r="J1292">
        <v>1319.0671387</v>
      </c>
      <c r="K1292">
        <v>2400</v>
      </c>
      <c r="L1292">
        <v>0</v>
      </c>
      <c r="M1292">
        <v>0</v>
      </c>
      <c r="N1292">
        <v>2400</v>
      </c>
    </row>
    <row r="1293" spans="1:14" x14ac:dyDescent="0.25">
      <c r="A1293">
        <v>732.84268199999997</v>
      </c>
      <c r="B1293" s="1">
        <f>DATE(2012,5,2) + TIME(20,13,27)</f>
        <v>41031.842673611114</v>
      </c>
      <c r="C1293">
        <v>80</v>
      </c>
      <c r="D1293">
        <v>79.545196532999995</v>
      </c>
      <c r="E1293">
        <v>50</v>
      </c>
      <c r="F1293">
        <v>49.773441314999999</v>
      </c>
      <c r="G1293">
        <v>1345.9686279</v>
      </c>
      <c r="H1293">
        <v>1341.6168213000001</v>
      </c>
      <c r="I1293">
        <v>1322.7418213000001</v>
      </c>
      <c r="J1293">
        <v>1319.0664062000001</v>
      </c>
      <c r="K1293">
        <v>2400</v>
      </c>
      <c r="L1293">
        <v>0</v>
      </c>
      <c r="M1293">
        <v>0</v>
      </c>
      <c r="N1293">
        <v>2400</v>
      </c>
    </row>
    <row r="1294" spans="1:14" x14ac:dyDescent="0.25">
      <c r="A1294">
        <v>732.931106</v>
      </c>
      <c r="B1294" s="1">
        <f>DATE(2012,5,2) + TIME(22,20,47)</f>
        <v>41031.93109953704</v>
      </c>
      <c r="C1294">
        <v>80</v>
      </c>
      <c r="D1294">
        <v>79.610389709000003</v>
      </c>
      <c r="E1294">
        <v>50</v>
      </c>
      <c r="F1294">
        <v>49.765621185000001</v>
      </c>
      <c r="G1294">
        <v>1345.9759521000001</v>
      </c>
      <c r="H1294">
        <v>1341.6229248</v>
      </c>
      <c r="I1294">
        <v>1322.7413329999999</v>
      </c>
      <c r="J1294">
        <v>1319.0656738</v>
      </c>
      <c r="K1294">
        <v>2400</v>
      </c>
      <c r="L1294">
        <v>0</v>
      </c>
      <c r="M1294">
        <v>0</v>
      </c>
      <c r="N1294">
        <v>2400</v>
      </c>
    </row>
    <row r="1295" spans="1:14" x14ac:dyDescent="0.25">
      <c r="A1295">
        <v>733.02079100000003</v>
      </c>
      <c r="B1295" s="1">
        <f>DATE(2012,5,3) + TIME(0,29,56)</f>
        <v>41032.020787037036</v>
      </c>
      <c r="C1295">
        <v>80</v>
      </c>
      <c r="D1295">
        <v>79.666137695000003</v>
      </c>
      <c r="E1295">
        <v>50</v>
      </c>
      <c r="F1295">
        <v>49.757740020999996</v>
      </c>
      <c r="G1295">
        <v>1345.9827881000001</v>
      </c>
      <c r="H1295">
        <v>1341.628418</v>
      </c>
      <c r="I1295">
        <v>1322.7408447</v>
      </c>
      <c r="J1295">
        <v>1319.0649414</v>
      </c>
      <c r="K1295">
        <v>2400</v>
      </c>
      <c r="L1295">
        <v>0</v>
      </c>
      <c r="M1295">
        <v>0</v>
      </c>
      <c r="N1295">
        <v>2400</v>
      </c>
    </row>
    <row r="1296" spans="1:14" x14ac:dyDescent="0.25">
      <c r="A1296">
        <v>733.11192700000004</v>
      </c>
      <c r="B1296" s="1">
        <f>DATE(2012,5,3) + TIME(2,41,10)</f>
        <v>41032.111921296295</v>
      </c>
      <c r="C1296">
        <v>80</v>
      </c>
      <c r="D1296">
        <v>79.713752747000001</v>
      </c>
      <c r="E1296">
        <v>50</v>
      </c>
      <c r="F1296">
        <v>49.749782562</v>
      </c>
      <c r="G1296">
        <v>1345.9884033000001</v>
      </c>
      <c r="H1296">
        <v>1341.6330565999999</v>
      </c>
      <c r="I1296">
        <v>1322.7402344</v>
      </c>
      <c r="J1296">
        <v>1319.0642089999999</v>
      </c>
      <c r="K1296">
        <v>2400</v>
      </c>
      <c r="L1296">
        <v>0</v>
      </c>
      <c r="M1296">
        <v>0</v>
      </c>
      <c r="N1296">
        <v>2400</v>
      </c>
    </row>
    <row r="1297" spans="1:14" x14ac:dyDescent="0.25">
      <c r="A1297">
        <v>733.20378800000003</v>
      </c>
      <c r="B1297" s="1">
        <f>DATE(2012,5,3) + TIME(4,53,27)</f>
        <v>41032.203784722224</v>
      </c>
      <c r="C1297">
        <v>80</v>
      </c>
      <c r="D1297">
        <v>79.754051208000007</v>
      </c>
      <c r="E1297">
        <v>50</v>
      </c>
      <c r="F1297">
        <v>49.741806029999999</v>
      </c>
      <c r="G1297">
        <v>1345.9930420000001</v>
      </c>
      <c r="H1297">
        <v>1341.6369629000001</v>
      </c>
      <c r="I1297">
        <v>1322.7397461</v>
      </c>
      <c r="J1297">
        <v>1319.0634766000001</v>
      </c>
      <c r="K1297">
        <v>2400</v>
      </c>
      <c r="L1297">
        <v>0</v>
      </c>
      <c r="M1297">
        <v>0</v>
      </c>
      <c r="N1297">
        <v>2400</v>
      </c>
    </row>
    <row r="1298" spans="1:14" x14ac:dyDescent="0.25">
      <c r="A1298">
        <v>733.29657999999995</v>
      </c>
      <c r="B1298" s="1">
        <f>DATE(2012,5,3) + TIME(7,7,4)</f>
        <v>41032.296574074076</v>
      </c>
      <c r="C1298">
        <v>80</v>
      </c>
      <c r="D1298">
        <v>79.788162231000001</v>
      </c>
      <c r="E1298">
        <v>50</v>
      </c>
      <c r="F1298">
        <v>49.733795166</v>
      </c>
      <c r="G1298">
        <v>1345.996582</v>
      </c>
      <c r="H1298">
        <v>1341.6398925999999</v>
      </c>
      <c r="I1298">
        <v>1322.7391356999999</v>
      </c>
      <c r="J1298">
        <v>1319.0627440999999</v>
      </c>
      <c r="K1298">
        <v>2400</v>
      </c>
      <c r="L1298">
        <v>0</v>
      </c>
      <c r="M1298">
        <v>0</v>
      </c>
      <c r="N1298">
        <v>2400</v>
      </c>
    </row>
    <row r="1299" spans="1:14" x14ac:dyDescent="0.25">
      <c r="A1299">
        <v>733.39048000000003</v>
      </c>
      <c r="B1299" s="1">
        <f>DATE(2012,5,3) + TIME(9,22,17)</f>
        <v>41032.390474537038</v>
      </c>
      <c r="C1299">
        <v>80</v>
      </c>
      <c r="D1299">
        <v>79.817047118999994</v>
      </c>
      <c r="E1299">
        <v>50</v>
      </c>
      <c r="F1299">
        <v>49.725730896000002</v>
      </c>
      <c r="G1299">
        <v>1345.9989014</v>
      </c>
      <c r="H1299">
        <v>1341.6422118999999</v>
      </c>
      <c r="I1299">
        <v>1322.7386475000001</v>
      </c>
      <c r="J1299">
        <v>1319.0620117000001</v>
      </c>
      <c r="K1299">
        <v>2400</v>
      </c>
      <c r="L1299">
        <v>0</v>
      </c>
      <c r="M1299">
        <v>0</v>
      </c>
      <c r="N1299">
        <v>2400</v>
      </c>
    </row>
    <row r="1300" spans="1:14" x14ac:dyDescent="0.25">
      <c r="A1300">
        <v>733.48566600000004</v>
      </c>
      <c r="B1300" s="1">
        <f>DATE(2012,5,3) + TIME(11,39,21)</f>
        <v>41032.485659722224</v>
      </c>
      <c r="C1300">
        <v>80</v>
      </c>
      <c r="D1300">
        <v>79.841484070000007</v>
      </c>
      <c r="E1300">
        <v>50</v>
      </c>
      <c r="F1300">
        <v>49.717605591000002</v>
      </c>
      <c r="G1300">
        <v>1346.0003661999999</v>
      </c>
      <c r="H1300">
        <v>1341.6436768000001</v>
      </c>
      <c r="I1300">
        <v>1322.7380370999999</v>
      </c>
      <c r="J1300">
        <v>1319.0611572</v>
      </c>
      <c r="K1300">
        <v>2400</v>
      </c>
      <c r="L1300">
        <v>0</v>
      </c>
      <c r="M1300">
        <v>0</v>
      </c>
      <c r="N1300">
        <v>2400</v>
      </c>
    </row>
    <row r="1301" spans="1:14" x14ac:dyDescent="0.25">
      <c r="A1301">
        <v>733.58231999999998</v>
      </c>
      <c r="B1301" s="1">
        <f>DATE(2012,5,3) + TIME(13,58,32)</f>
        <v>41032.582314814812</v>
      </c>
      <c r="C1301">
        <v>80</v>
      </c>
      <c r="D1301">
        <v>79.862144470000004</v>
      </c>
      <c r="E1301">
        <v>50</v>
      </c>
      <c r="F1301">
        <v>49.709403991999999</v>
      </c>
      <c r="G1301">
        <v>1346.0009766000001</v>
      </c>
      <c r="H1301">
        <v>1341.6446533000001</v>
      </c>
      <c r="I1301">
        <v>1322.7375488</v>
      </c>
      <c r="J1301">
        <v>1319.0604248</v>
      </c>
      <c r="K1301">
        <v>2400</v>
      </c>
      <c r="L1301">
        <v>0</v>
      </c>
      <c r="M1301">
        <v>0</v>
      </c>
      <c r="N1301">
        <v>2400</v>
      </c>
    </row>
    <row r="1302" spans="1:14" x14ac:dyDescent="0.25">
      <c r="A1302">
        <v>733.68063800000004</v>
      </c>
      <c r="B1302" s="1">
        <f>DATE(2012,5,3) + TIME(16,20,7)</f>
        <v>41032.680636574078</v>
      </c>
      <c r="C1302">
        <v>80</v>
      </c>
      <c r="D1302">
        <v>79.879608153999996</v>
      </c>
      <c r="E1302">
        <v>50</v>
      </c>
      <c r="F1302">
        <v>49.701103209999999</v>
      </c>
      <c r="G1302">
        <v>1346.0006103999999</v>
      </c>
      <c r="H1302">
        <v>1341.6448975000001</v>
      </c>
      <c r="I1302">
        <v>1322.7369385</v>
      </c>
      <c r="J1302">
        <v>1319.0595702999999</v>
      </c>
      <c r="K1302">
        <v>2400</v>
      </c>
      <c r="L1302">
        <v>0</v>
      </c>
      <c r="M1302">
        <v>0</v>
      </c>
      <c r="N1302">
        <v>2400</v>
      </c>
    </row>
    <row r="1303" spans="1:14" x14ac:dyDescent="0.25">
      <c r="A1303">
        <v>733.78084999999999</v>
      </c>
      <c r="B1303" s="1">
        <f>DATE(2012,5,3) + TIME(18,44,25)</f>
        <v>41032.780844907407</v>
      </c>
      <c r="C1303">
        <v>80</v>
      </c>
      <c r="D1303">
        <v>79.894340514999996</v>
      </c>
      <c r="E1303">
        <v>50</v>
      </c>
      <c r="F1303">
        <v>49.692695618000002</v>
      </c>
      <c r="G1303">
        <v>1345.9993896000001</v>
      </c>
      <c r="H1303">
        <v>1341.6446533000001</v>
      </c>
      <c r="I1303">
        <v>1322.7363281</v>
      </c>
      <c r="J1303">
        <v>1319.0588379000001</v>
      </c>
      <c r="K1303">
        <v>2400</v>
      </c>
      <c r="L1303">
        <v>0</v>
      </c>
      <c r="M1303">
        <v>0</v>
      </c>
      <c r="N1303">
        <v>2400</v>
      </c>
    </row>
    <row r="1304" spans="1:14" x14ac:dyDescent="0.25">
      <c r="A1304">
        <v>733.88314700000001</v>
      </c>
      <c r="B1304" s="1">
        <f>DATE(2012,5,3) + TIME(21,11,43)</f>
        <v>41032.883136574077</v>
      </c>
      <c r="C1304">
        <v>80</v>
      </c>
      <c r="D1304">
        <v>79.906753539999997</v>
      </c>
      <c r="E1304">
        <v>50</v>
      </c>
      <c r="F1304">
        <v>49.684162139999998</v>
      </c>
      <c r="G1304">
        <v>1345.9974365</v>
      </c>
      <c r="H1304">
        <v>1341.6437988</v>
      </c>
      <c r="I1304">
        <v>1322.7357178</v>
      </c>
      <c r="J1304">
        <v>1319.0579834</v>
      </c>
      <c r="K1304">
        <v>2400</v>
      </c>
      <c r="L1304">
        <v>0</v>
      </c>
      <c r="M1304">
        <v>0</v>
      </c>
      <c r="N1304">
        <v>2400</v>
      </c>
    </row>
    <row r="1305" spans="1:14" x14ac:dyDescent="0.25">
      <c r="A1305">
        <v>733.987796</v>
      </c>
      <c r="B1305" s="1">
        <f>DATE(2012,5,3) + TIME(23,42,25)</f>
        <v>41032.98778935185</v>
      </c>
      <c r="C1305">
        <v>80</v>
      </c>
      <c r="D1305">
        <v>79.917198181000003</v>
      </c>
      <c r="E1305">
        <v>50</v>
      </c>
      <c r="F1305">
        <v>49.675483704000001</v>
      </c>
      <c r="G1305">
        <v>1345.994751</v>
      </c>
      <c r="H1305">
        <v>1341.6424560999999</v>
      </c>
      <c r="I1305">
        <v>1322.7351074000001</v>
      </c>
      <c r="J1305">
        <v>1319.0571289</v>
      </c>
      <c r="K1305">
        <v>2400</v>
      </c>
      <c r="L1305">
        <v>0</v>
      </c>
      <c r="M1305">
        <v>0</v>
      </c>
      <c r="N1305">
        <v>2400</v>
      </c>
    </row>
    <row r="1306" spans="1:14" x14ac:dyDescent="0.25">
      <c r="A1306">
        <v>734.09504700000002</v>
      </c>
      <c r="B1306" s="1">
        <f>DATE(2012,5,4) + TIME(2,16,52)</f>
        <v>41033.095046296294</v>
      </c>
      <c r="C1306">
        <v>80</v>
      </c>
      <c r="D1306">
        <v>79.925971985000004</v>
      </c>
      <c r="E1306">
        <v>50</v>
      </c>
      <c r="F1306">
        <v>49.66664505</v>
      </c>
      <c r="G1306">
        <v>1345.9913329999999</v>
      </c>
      <c r="H1306">
        <v>1341.6407471</v>
      </c>
      <c r="I1306">
        <v>1322.7344971</v>
      </c>
      <c r="J1306">
        <v>1319.0562743999999</v>
      </c>
      <c r="K1306">
        <v>2400</v>
      </c>
      <c r="L1306">
        <v>0</v>
      </c>
      <c r="M1306">
        <v>0</v>
      </c>
      <c r="N1306">
        <v>2400</v>
      </c>
    </row>
    <row r="1307" spans="1:14" x14ac:dyDescent="0.25">
      <c r="A1307">
        <v>734.20517700000005</v>
      </c>
      <c r="B1307" s="1">
        <f>DATE(2012,5,4) + TIME(4,55,27)</f>
        <v>41033.20517361111</v>
      </c>
      <c r="C1307">
        <v>80</v>
      </c>
      <c r="D1307">
        <v>79.933319092000005</v>
      </c>
      <c r="E1307">
        <v>50</v>
      </c>
      <c r="F1307">
        <v>49.657623291</v>
      </c>
      <c r="G1307">
        <v>1345.9871826000001</v>
      </c>
      <c r="H1307">
        <v>1341.6384277</v>
      </c>
      <c r="I1307">
        <v>1322.7337646000001</v>
      </c>
      <c r="J1307">
        <v>1319.0554199000001</v>
      </c>
      <c r="K1307">
        <v>2400</v>
      </c>
      <c r="L1307">
        <v>0</v>
      </c>
      <c r="M1307">
        <v>0</v>
      </c>
      <c r="N1307">
        <v>2400</v>
      </c>
    </row>
    <row r="1308" spans="1:14" x14ac:dyDescent="0.25">
      <c r="A1308">
        <v>734.318487</v>
      </c>
      <c r="B1308" s="1">
        <f>DATE(2012,5,4) + TIME(7,38,37)</f>
        <v>41033.318483796298</v>
      </c>
      <c r="C1308">
        <v>80</v>
      </c>
      <c r="D1308">
        <v>79.939453125</v>
      </c>
      <c r="E1308">
        <v>50</v>
      </c>
      <c r="F1308">
        <v>49.648395538000003</v>
      </c>
      <c r="G1308">
        <v>1345.9824219</v>
      </c>
      <c r="H1308">
        <v>1341.6358643000001</v>
      </c>
      <c r="I1308">
        <v>1322.7331543</v>
      </c>
      <c r="J1308">
        <v>1319.0545654</v>
      </c>
      <c r="K1308">
        <v>2400</v>
      </c>
      <c r="L1308">
        <v>0</v>
      </c>
      <c r="M1308">
        <v>0</v>
      </c>
      <c r="N1308">
        <v>2400</v>
      </c>
    </row>
    <row r="1309" spans="1:14" x14ac:dyDescent="0.25">
      <c r="A1309">
        <v>734.43459299999995</v>
      </c>
      <c r="B1309" s="1">
        <f>DATE(2012,5,4) + TIME(10,25,48)</f>
        <v>41033.434583333335</v>
      </c>
      <c r="C1309">
        <v>80</v>
      </c>
      <c r="D1309">
        <v>79.944549561000002</v>
      </c>
      <c r="E1309">
        <v>50</v>
      </c>
      <c r="F1309">
        <v>49.638996124000002</v>
      </c>
      <c r="G1309">
        <v>1345.9769286999999</v>
      </c>
      <c r="H1309">
        <v>1341.6326904</v>
      </c>
      <c r="I1309">
        <v>1322.7324219</v>
      </c>
      <c r="J1309">
        <v>1319.0535889</v>
      </c>
      <c r="K1309">
        <v>2400</v>
      </c>
      <c r="L1309">
        <v>0</v>
      </c>
      <c r="M1309">
        <v>0</v>
      </c>
      <c r="N1309">
        <v>2400</v>
      </c>
    </row>
    <row r="1310" spans="1:14" x14ac:dyDescent="0.25">
      <c r="A1310">
        <v>734.55297700000006</v>
      </c>
      <c r="B1310" s="1">
        <f>DATE(2012,5,4) + TIME(13,16,17)</f>
        <v>41033.552974537037</v>
      </c>
      <c r="C1310">
        <v>80</v>
      </c>
      <c r="D1310">
        <v>79.948730468999997</v>
      </c>
      <c r="E1310">
        <v>50</v>
      </c>
      <c r="F1310">
        <v>49.629459380999997</v>
      </c>
      <c r="G1310">
        <v>1345.9709473</v>
      </c>
      <c r="H1310">
        <v>1341.6292725000001</v>
      </c>
      <c r="I1310">
        <v>1322.7316894999999</v>
      </c>
      <c r="J1310">
        <v>1319.0527344</v>
      </c>
      <c r="K1310">
        <v>2400</v>
      </c>
      <c r="L1310">
        <v>0</v>
      </c>
      <c r="M1310">
        <v>0</v>
      </c>
      <c r="N1310">
        <v>2400</v>
      </c>
    </row>
    <row r="1311" spans="1:14" x14ac:dyDescent="0.25">
      <c r="A1311">
        <v>734.67390499999999</v>
      </c>
      <c r="B1311" s="1">
        <f>DATE(2012,5,4) + TIME(16,10,25)</f>
        <v>41033.673900462964</v>
      </c>
      <c r="C1311">
        <v>80</v>
      </c>
      <c r="D1311">
        <v>79.952178954999994</v>
      </c>
      <c r="E1311">
        <v>50</v>
      </c>
      <c r="F1311">
        <v>49.619766235</v>
      </c>
      <c r="G1311">
        <v>1345.9644774999999</v>
      </c>
      <c r="H1311">
        <v>1341.6256103999999</v>
      </c>
      <c r="I1311">
        <v>1322.730957</v>
      </c>
      <c r="J1311">
        <v>1319.0517577999999</v>
      </c>
      <c r="K1311">
        <v>2400</v>
      </c>
      <c r="L1311">
        <v>0</v>
      </c>
      <c r="M1311">
        <v>0</v>
      </c>
      <c r="N1311">
        <v>2400</v>
      </c>
    </row>
    <row r="1312" spans="1:14" x14ac:dyDescent="0.25">
      <c r="A1312">
        <v>734.79760399999998</v>
      </c>
      <c r="B1312" s="1">
        <f>DATE(2012,5,4) + TIME(19,8,32)</f>
        <v>41033.797592592593</v>
      </c>
      <c r="C1312">
        <v>80</v>
      </c>
      <c r="D1312">
        <v>79.955001831000004</v>
      </c>
      <c r="E1312">
        <v>50</v>
      </c>
      <c r="F1312">
        <v>49.609905243</v>
      </c>
      <c r="G1312">
        <v>1345.9573975000001</v>
      </c>
      <c r="H1312">
        <v>1341.6214600000001</v>
      </c>
      <c r="I1312">
        <v>1322.7302245999999</v>
      </c>
      <c r="J1312">
        <v>1319.0507812000001</v>
      </c>
      <c r="K1312">
        <v>2400</v>
      </c>
      <c r="L1312">
        <v>0</v>
      </c>
      <c r="M1312">
        <v>0</v>
      </c>
      <c r="N1312">
        <v>2400</v>
      </c>
    </row>
    <row r="1313" spans="1:14" x14ac:dyDescent="0.25">
      <c r="A1313">
        <v>734.92429400000003</v>
      </c>
      <c r="B1313" s="1">
        <f>DATE(2012,5,4) + TIME(22,10,58)</f>
        <v>41033.92428240741</v>
      </c>
      <c r="C1313">
        <v>80</v>
      </c>
      <c r="D1313">
        <v>79.957313537999994</v>
      </c>
      <c r="E1313">
        <v>50</v>
      </c>
      <c r="F1313">
        <v>49.599857329999999</v>
      </c>
      <c r="G1313">
        <v>1345.9498291</v>
      </c>
      <c r="H1313">
        <v>1341.6170654</v>
      </c>
      <c r="I1313">
        <v>1322.7293701000001</v>
      </c>
      <c r="J1313">
        <v>1319.0498047000001</v>
      </c>
      <c r="K1313">
        <v>2400</v>
      </c>
      <c r="L1313">
        <v>0</v>
      </c>
      <c r="M1313">
        <v>0</v>
      </c>
      <c r="N1313">
        <v>2400</v>
      </c>
    </row>
    <row r="1314" spans="1:14" x14ac:dyDescent="0.25">
      <c r="A1314">
        <v>735.05424400000004</v>
      </c>
      <c r="B1314" s="1">
        <f>DATE(2012,5,5) + TIME(1,18,6)</f>
        <v>41034.054236111115</v>
      </c>
      <c r="C1314">
        <v>80</v>
      </c>
      <c r="D1314">
        <v>79.959197997999993</v>
      </c>
      <c r="E1314">
        <v>50</v>
      </c>
      <c r="F1314">
        <v>49.589607239000003</v>
      </c>
      <c r="G1314">
        <v>1345.9418945</v>
      </c>
      <c r="H1314">
        <v>1341.6124268000001</v>
      </c>
      <c r="I1314">
        <v>1322.7286377</v>
      </c>
      <c r="J1314">
        <v>1319.0487060999999</v>
      </c>
      <c r="K1314">
        <v>2400</v>
      </c>
      <c r="L1314">
        <v>0</v>
      </c>
      <c r="M1314">
        <v>0</v>
      </c>
      <c r="N1314">
        <v>2400</v>
      </c>
    </row>
    <row r="1315" spans="1:14" x14ac:dyDescent="0.25">
      <c r="A1315">
        <v>735.18774900000005</v>
      </c>
      <c r="B1315" s="1">
        <f>DATE(2012,5,5) + TIME(4,30,21)</f>
        <v>41034.187743055554</v>
      </c>
      <c r="C1315">
        <v>80</v>
      </c>
      <c r="D1315">
        <v>79.960739136000001</v>
      </c>
      <c r="E1315">
        <v>50</v>
      </c>
      <c r="F1315">
        <v>49.579132080000001</v>
      </c>
      <c r="G1315">
        <v>1345.9333495999999</v>
      </c>
      <c r="H1315">
        <v>1341.6075439000001</v>
      </c>
      <c r="I1315">
        <v>1322.7277832</v>
      </c>
      <c r="J1315">
        <v>1319.0476074000001</v>
      </c>
      <c r="K1315">
        <v>2400</v>
      </c>
      <c r="L1315">
        <v>0</v>
      </c>
      <c r="M1315">
        <v>0</v>
      </c>
      <c r="N1315">
        <v>2400</v>
      </c>
    </row>
    <row r="1316" spans="1:14" x14ac:dyDescent="0.25">
      <c r="A1316">
        <v>735.32514600000002</v>
      </c>
      <c r="B1316" s="1">
        <f>DATE(2012,5,5) + TIME(7,48,12)</f>
        <v>41034.325138888889</v>
      </c>
      <c r="C1316">
        <v>80</v>
      </c>
      <c r="D1316">
        <v>79.961990356000001</v>
      </c>
      <c r="E1316">
        <v>50</v>
      </c>
      <c r="F1316">
        <v>49.568416595000002</v>
      </c>
      <c r="G1316">
        <v>1345.9244385</v>
      </c>
      <c r="H1316">
        <v>1341.6022949000001</v>
      </c>
      <c r="I1316">
        <v>1322.7269286999999</v>
      </c>
      <c r="J1316">
        <v>1319.0465088000001</v>
      </c>
      <c r="K1316">
        <v>2400</v>
      </c>
      <c r="L1316">
        <v>0</v>
      </c>
      <c r="M1316">
        <v>0</v>
      </c>
      <c r="N1316">
        <v>2400</v>
      </c>
    </row>
    <row r="1317" spans="1:14" x14ac:dyDescent="0.25">
      <c r="A1317">
        <v>735.46690899999999</v>
      </c>
      <c r="B1317" s="1">
        <f>DATE(2012,5,5) + TIME(11,12,20)</f>
        <v>41034.466898148145</v>
      </c>
      <c r="C1317">
        <v>80</v>
      </c>
      <c r="D1317">
        <v>79.963012695000003</v>
      </c>
      <c r="E1317">
        <v>50</v>
      </c>
      <c r="F1317">
        <v>49.557426452999998</v>
      </c>
      <c r="G1317">
        <v>1345.9151611</v>
      </c>
      <c r="H1317">
        <v>1341.5969238</v>
      </c>
      <c r="I1317">
        <v>1322.7260742000001</v>
      </c>
      <c r="J1317">
        <v>1319.0454102000001</v>
      </c>
      <c r="K1317">
        <v>2400</v>
      </c>
      <c r="L1317">
        <v>0</v>
      </c>
      <c r="M1317">
        <v>0</v>
      </c>
      <c r="N1317">
        <v>2400</v>
      </c>
    </row>
    <row r="1318" spans="1:14" x14ac:dyDescent="0.25">
      <c r="A1318">
        <v>735.61346000000003</v>
      </c>
      <c r="B1318" s="1">
        <f>DATE(2012,5,5) + TIME(14,43,22)</f>
        <v>41034.613449074073</v>
      </c>
      <c r="C1318">
        <v>80</v>
      </c>
      <c r="D1318">
        <v>79.963836670000006</v>
      </c>
      <c r="E1318">
        <v>50</v>
      </c>
      <c r="F1318">
        <v>49.546134948999999</v>
      </c>
      <c r="G1318">
        <v>1345.9052733999999</v>
      </c>
      <c r="H1318">
        <v>1341.5911865</v>
      </c>
      <c r="I1318">
        <v>1322.7250977000001</v>
      </c>
      <c r="J1318">
        <v>1319.0443115</v>
      </c>
      <c r="K1318">
        <v>2400</v>
      </c>
      <c r="L1318">
        <v>0</v>
      </c>
      <c r="M1318">
        <v>0</v>
      </c>
      <c r="N1318">
        <v>2400</v>
      </c>
    </row>
    <row r="1319" spans="1:14" x14ac:dyDescent="0.25">
      <c r="A1319">
        <v>735.76527699999997</v>
      </c>
      <c r="B1319" s="1">
        <f>DATE(2012,5,5) + TIME(18,21,59)</f>
        <v>41034.765266203707</v>
      </c>
      <c r="C1319">
        <v>80</v>
      </c>
      <c r="D1319">
        <v>79.964508057000003</v>
      </c>
      <c r="E1319">
        <v>50</v>
      </c>
      <c r="F1319">
        <v>49.534511565999999</v>
      </c>
      <c r="G1319">
        <v>1345.8950195</v>
      </c>
      <c r="H1319">
        <v>1341.5852050999999</v>
      </c>
      <c r="I1319">
        <v>1322.7242432</v>
      </c>
      <c r="J1319">
        <v>1319.0430908000001</v>
      </c>
      <c r="K1319">
        <v>2400</v>
      </c>
      <c r="L1319">
        <v>0</v>
      </c>
      <c r="M1319">
        <v>0</v>
      </c>
      <c r="N1319">
        <v>2400</v>
      </c>
    </row>
    <row r="1320" spans="1:14" x14ac:dyDescent="0.25">
      <c r="A1320">
        <v>735.92289800000003</v>
      </c>
      <c r="B1320" s="1">
        <f>DATE(2012,5,5) + TIME(22,8,58)</f>
        <v>41034.922893518517</v>
      </c>
      <c r="C1320">
        <v>80</v>
      </c>
      <c r="D1320">
        <v>79.965042113999999</v>
      </c>
      <c r="E1320">
        <v>50</v>
      </c>
      <c r="F1320">
        <v>49.522521973000003</v>
      </c>
      <c r="G1320">
        <v>1345.8842772999999</v>
      </c>
      <c r="H1320">
        <v>1341.5789795000001</v>
      </c>
      <c r="I1320">
        <v>1322.7232666</v>
      </c>
      <c r="J1320">
        <v>1319.0418701000001</v>
      </c>
      <c r="K1320">
        <v>2400</v>
      </c>
      <c r="L1320">
        <v>0</v>
      </c>
      <c r="M1320">
        <v>0</v>
      </c>
      <c r="N1320">
        <v>2400</v>
      </c>
    </row>
    <row r="1321" spans="1:14" x14ac:dyDescent="0.25">
      <c r="A1321">
        <v>736.08608400000003</v>
      </c>
      <c r="B1321" s="1">
        <f>DATE(2012,5,6) + TIME(2,3,57)</f>
        <v>41035.086076388892</v>
      </c>
      <c r="C1321">
        <v>80</v>
      </c>
      <c r="D1321">
        <v>79.96546936</v>
      </c>
      <c r="E1321">
        <v>50</v>
      </c>
      <c r="F1321">
        <v>49.510185241999999</v>
      </c>
      <c r="G1321">
        <v>1345.8731689000001</v>
      </c>
      <c r="H1321">
        <v>1341.5725098</v>
      </c>
      <c r="I1321">
        <v>1322.722168</v>
      </c>
      <c r="J1321">
        <v>1319.0405272999999</v>
      </c>
      <c r="K1321">
        <v>2400</v>
      </c>
      <c r="L1321">
        <v>0</v>
      </c>
      <c r="M1321">
        <v>0</v>
      </c>
      <c r="N1321">
        <v>2400</v>
      </c>
    </row>
    <row r="1322" spans="1:14" x14ac:dyDescent="0.25">
      <c r="A1322">
        <v>736.25391300000001</v>
      </c>
      <c r="B1322" s="1">
        <f>DATE(2012,5,6) + TIME(6,5,38)</f>
        <v>41035.253912037035</v>
      </c>
      <c r="C1322">
        <v>80</v>
      </c>
      <c r="D1322">
        <v>79.965812682999996</v>
      </c>
      <c r="E1322">
        <v>50</v>
      </c>
      <c r="F1322">
        <v>49.497554778999998</v>
      </c>
      <c r="G1322">
        <v>1345.8615723</v>
      </c>
      <c r="H1322">
        <v>1341.5657959</v>
      </c>
      <c r="I1322">
        <v>1322.7211914</v>
      </c>
      <c r="J1322">
        <v>1319.0391846</v>
      </c>
      <c r="K1322">
        <v>2400</v>
      </c>
      <c r="L1322">
        <v>0</v>
      </c>
      <c r="M1322">
        <v>0</v>
      </c>
      <c r="N1322">
        <v>2400</v>
      </c>
    </row>
    <row r="1323" spans="1:14" x14ac:dyDescent="0.25">
      <c r="A1323">
        <v>736.42684899999995</v>
      </c>
      <c r="B1323" s="1">
        <f>DATE(2012,5,6) + TIME(10,14,39)</f>
        <v>41035.426840277774</v>
      </c>
      <c r="C1323">
        <v>80</v>
      </c>
      <c r="D1323">
        <v>79.966079711999996</v>
      </c>
      <c r="E1323">
        <v>50</v>
      </c>
      <c r="F1323">
        <v>49.484611510999997</v>
      </c>
      <c r="G1323">
        <v>1345.8496094</v>
      </c>
      <c r="H1323">
        <v>1341.5589600000001</v>
      </c>
      <c r="I1323">
        <v>1322.7200928</v>
      </c>
      <c r="J1323">
        <v>1319.0378418</v>
      </c>
      <c r="K1323">
        <v>2400</v>
      </c>
      <c r="L1323">
        <v>0</v>
      </c>
      <c r="M1323">
        <v>0</v>
      </c>
      <c r="N1323">
        <v>2400</v>
      </c>
    </row>
    <row r="1324" spans="1:14" x14ac:dyDescent="0.25">
      <c r="A1324">
        <v>736.60535100000004</v>
      </c>
      <c r="B1324" s="1">
        <f>DATE(2012,5,6) + TIME(14,31,42)</f>
        <v>41035.605347222219</v>
      </c>
      <c r="C1324">
        <v>80</v>
      </c>
      <c r="D1324">
        <v>79.966293335000003</v>
      </c>
      <c r="E1324">
        <v>50</v>
      </c>
      <c r="F1324">
        <v>49.471324920999997</v>
      </c>
      <c r="G1324">
        <v>1345.8374022999999</v>
      </c>
      <c r="H1324">
        <v>1341.5518798999999</v>
      </c>
      <c r="I1324">
        <v>1322.7188721</v>
      </c>
      <c r="J1324">
        <v>1319.0363769999999</v>
      </c>
      <c r="K1324">
        <v>2400</v>
      </c>
      <c r="L1324">
        <v>0</v>
      </c>
      <c r="M1324">
        <v>0</v>
      </c>
      <c r="N1324">
        <v>2400</v>
      </c>
    </row>
    <row r="1325" spans="1:14" x14ac:dyDescent="0.25">
      <c r="A1325">
        <v>736.78746100000001</v>
      </c>
      <c r="B1325" s="1">
        <f>DATE(2012,5,6) + TIME(18,53,56)</f>
        <v>41035.787453703706</v>
      </c>
      <c r="C1325">
        <v>80</v>
      </c>
      <c r="D1325">
        <v>79.966453552000004</v>
      </c>
      <c r="E1325">
        <v>50</v>
      </c>
      <c r="F1325">
        <v>49.457817077999998</v>
      </c>
      <c r="G1325">
        <v>1345.8248291</v>
      </c>
      <c r="H1325">
        <v>1341.5446777</v>
      </c>
      <c r="I1325">
        <v>1322.7177733999999</v>
      </c>
      <c r="J1325">
        <v>1319.0349120999999</v>
      </c>
      <c r="K1325">
        <v>2400</v>
      </c>
      <c r="L1325">
        <v>0</v>
      </c>
      <c r="M1325">
        <v>0</v>
      </c>
      <c r="N1325">
        <v>2400</v>
      </c>
    </row>
    <row r="1326" spans="1:14" x14ac:dyDescent="0.25">
      <c r="A1326">
        <v>736.97110599999996</v>
      </c>
      <c r="B1326" s="1">
        <f>DATE(2012,5,6) + TIME(23,18,23)</f>
        <v>41035.971099537041</v>
      </c>
      <c r="C1326">
        <v>80</v>
      </c>
      <c r="D1326">
        <v>79.966583252000007</v>
      </c>
      <c r="E1326">
        <v>50</v>
      </c>
      <c r="F1326">
        <v>49.444217682000001</v>
      </c>
      <c r="G1326">
        <v>1345.8121338000001</v>
      </c>
      <c r="H1326">
        <v>1341.5373535000001</v>
      </c>
      <c r="I1326">
        <v>1322.7165527</v>
      </c>
      <c r="J1326">
        <v>1319.0334473</v>
      </c>
      <c r="K1326">
        <v>2400</v>
      </c>
      <c r="L1326">
        <v>0</v>
      </c>
      <c r="M1326">
        <v>0</v>
      </c>
      <c r="N1326">
        <v>2400</v>
      </c>
    </row>
    <row r="1327" spans="1:14" x14ac:dyDescent="0.25">
      <c r="A1327">
        <v>737.15677000000005</v>
      </c>
      <c r="B1327" s="1">
        <f>DATE(2012,5,7) + TIME(3,45,44)</f>
        <v>41036.156759259262</v>
      </c>
      <c r="C1327">
        <v>80</v>
      </c>
      <c r="D1327">
        <v>79.966674804999997</v>
      </c>
      <c r="E1327">
        <v>50</v>
      </c>
      <c r="F1327">
        <v>49.430507660000004</v>
      </c>
      <c r="G1327">
        <v>1345.7994385</v>
      </c>
      <c r="H1327">
        <v>1341.5301514</v>
      </c>
      <c r="I1327">
        <v>1322.715332</v>
      </c>
      <c r="J1327">
        <v>1319.0318603999999</v>
      </c>
      <c r="K1327">
        <v>2400</v>
      </c>
      <c r="L1327">
        <v>0</v>
      </c>
      <c r="M1327">
        <v>0</v>
      </c>
      <c r="N1327">
        <v>2400</v>
      </c>
    </row>
    <row r="1328" spans="1:14" x14ac:dyDescent="0.25">
      <c r="A1328">
        <v>737.34483299999999</v>
      </c>
      <c r="B1328" s="1">
        <f>DATE(2012,5,7) + TIME(8,16,33)</f>
        <v>41036.344826388886</v>
      </c>
      <c r="C1328">
        <v>80</v>
      </c>
      <c r="D1328">
        <v>79.966743468999994</v>
      </c>
      <c r="E1328">
        <v>50</v>
      </c>
      <c r="F1328">
        <v>49.416664124</v>
      </c>
      <c r="G1328">
        <v>1345.7867432</v>
      </c>
      <c r="H1328">
        <v>1341.5228271000001</v>
      </c>
      <c r="I1328">
        <v>1322.7141113</v>
      </c>
      <c r="J1328">
        <v>1319.0303954999999</v>
      </c>
      <c r="K1328">
        <v>2400</v>
      </c>
      <c r="L1328">
        <v>0</v>
      </c>
      <c r="M1328">
        <v>0</v>
      </c>
      <c r="N1328">
        <v>2400</v>
      </c>
    </row>
    <row r="1329" spans="1:14" x14ac:dyDescent="0.25">
      <c r="A1329">
        <v>737.535887</v>
      </c>
      <c r="B1329" s="1">
        <f>DATE(2012,5,7) + TIME(12,51,40)</f>
        <v>41036.535879629628</v>
      </c>
      <c r="C1329">
        <v>80</v>
      </c>
      <c r="D1329">
        <v>79.966796875</v>
      </c>
      <c r="E1329">
        <v>50</v>
      </c>
      <c r="F1329">
        <v>49.402664184999999</v>
      </c>
      <c r="G1329">
        <v>1345.7739257999999</v>
      </c>
      <c r="H1329">
        <v>1341.515625</v>
      </c>
      <c r="I1329">
        <v>1322.7128906</v>
      </c>
      <c r="J1329">
        <v>1319.0288086</v>
      </c>
      <c r="K1329">
        <v>2400</v>
      </c>
      <c r="L1329">
        <v>0</v>
      </c>
      <c r="M1329">
        <v>0</v>
      </c>
      <c r="N1329">
        <v>2400</v>
      </c>
    </row>
    <row r="1330" spans="1:14" x14ac:dyDescent="0.25">
      <c r="A1330">
        <v>737.73046399999998</v>
      </c>
      <c r="B1330" s="1">
        <f>DATE(2012,5,7) + TIME(17,31,52)</f>
        <v>41036.730462962965</v>
      </c>
      <c r="C1330">
        <v>80</v>
      </c>
      <c r="D1330">
        <v>79.966827393000003</v>
      </c>
      <c r="E1330">
        <v>50</v>
      </c>
      <c r="F1330">
        <v>49.388469696000001</v>
      </c>
      <c r="G1330">
        <v>1345.7611084</v>
      </c>
      <c r="H1330">
        <v>1341.5084228999999</v>
      </c>
      <c r="I1330">
        <v>1322.7115478999999</v>
      </c>
      <c r="J1330">
        <v>1319.0272216999999</v>
      </c>
      <c r="K1330">
        <v>2400</v>
      </c>
      <c r="L1330">
        <v>0</v>
      </c>
      <c r="M1330">
        <v>0</v>
      </c>
      <c r="N1330">
        <v>2400</v>
      </c>
    </row>
    <row r="1331" spans="1:14" x14ac:dyDescent="0.25">
      <c r="A1331">
        <v>737.92905599999995</v>
      </c>
      <c r="B1331" s="1">
        <f>DATE(2012,5,7) + TIME(22,17,50)</f>
        <v>41036.929050925923</v>
      </c>
      <c r="C1331">
        <v>80</v>
      </c>
      <c r="D1331">
        <v>79.966850281000006</v>
      </c>
      <c r="E1331">
        <v>50</v>
      </c>
      <c r="F1331">
        <v>49.37405777</v>
      </c>
      <c r="G1331">
        <v>1345.7482910000001</v>
      </c>
      <c r="H1331">
        <v>1341.5010986</v>
      </c>
      <c r="I1331">
        <v>1322.7103271000001</v>
      </c>
      <c r="J1331">
        <v>1319.0255127</v>
      </c>
      <c r="K1331">
        <v>2400</v>
      </c>
      <c r="L1331">
        <v>0</v>
      </c>
      <c r="M1331">
        <v>0</v>
      </c>
      <c r="N1331">
        <v>2400</v>
      </c>
    </row>
    <row r="1332" spans="1:14" x14ac:dyDescent="0.25">
      <c r="A1332">
        <v>738.13219400000003</v>
      </c>
      <c r="B1332" s="1">
        <f>DATE(2012,5,8) + TIME(3,10,21)</f>
        <v>41037.132187499999</v>
      </c>
      <c r="C1332">
        <v>80</v>
      </c>
      <c r="D1332">
        <v>79.966865540000001</v>
      </c>
      <c r="E1332">
        <v>50</v>
      </c>
      <c r="F1332">
        <v>49.359401703000003</v>
      </c>
      <c r="G1332">
        <v>1345.7352295000001</v>
      </c>
      <c r="H1332">
        <v>1341.4937743999999</v>
      </c>
      <c r="I1332">
        <v>1322.7089844</v>
      </c>
      <c r="J1332">
        <v>1319.0239257999999</v>
      </c>
      <c r="K1332">
        <v>2400</v>
      </c>
      <c r="L1332">
        <v>0</v>
      </c>
      <c r="M1332">
        <v>0</v>
      </c>
      <c r="N1332">
        <v>2400</v>
      </c>
    </row>
    <row r="1333" spans="1:14" x14ac:dyDescent="0.25">
      <c r="A1333">
        <v>738.34045600000002</v>
      </c>
      <c r="B1333" s="1">
        <f>DATE(2012,5,8) + TIME(8,10,15)</f>
        <v>41037.340451388889</v>
      </c>
      <c r="C1333">
        <v>80</v>
      </c>
      <c r="D1333">
        <v>79.966873168999996</v>
      </c>
      <c r="E1333">
        <v>50</v>
      </c>
      <c r="F1333">
        <v>49.344463347999998</v>
      </c>
      <c r="G1333">
        <v>1345.722168</v>
      </c>
      <c r="H1333">
        <v>1341.4864502</v>
      </c>
      <c r="I1333">
        <v>1322.7075195</v>
      </c>
      <c r="J1333">
        <v>1319.0220947</v>
      </c>
      <c r="K1333">
        <v>2400</v>
      </c>
      <c r="L1333">
        <v>0</v>
      </c>
      <c r="M1333">
        <v>0</v>
      </c>
      <c r="N1333">
        <v>2400</v>
      </c>
    </row>
    <row r="1334" spans="1:14" x14ac:dyDescent="0.25">
      <c r="A1334">
        <v>738.55104300000005</v>
      </c>
      <c r="B1334" s="1">
        <f>DATE(2012,5,8) + TIME(13,13,30)</f>
        <v>41037.551041666666</v>
      </c>
      <c r="C1334">
        <v>80</v>
      </c>
      <c r="D1334">
        <v>79.966865540000001</v>
      </c>
      <c r="E1334">
        <v>50</v>
      </c>
      <c r="F1334">
        <v>49.329406738000003</v>
      </c>
      <c r="G1334">
        <v>1345.7089844</v>
      </c>
      <c r="H1334">
        <v>1341.479126</v>
      </c>
      <c r="I1334">
        <v>1322.7061768000001</v>
      </c>
      <c r="J1334">
        <v>1319.0203856999999</v>
      </c>
      <c r="K1334">
        <v>2400</v>
      </c>
      <c r="L1334">
        <v>0</v>
      </c>
      <c r="M1334">
        <v>0</v>
      </c>
      <c r="N1334">
        <v>2400</v>
      </c>
    </row>
    <row r="1335" spans="1:14" x14ac:dyDescent="0.25">
      <c r="A1335">
        <v>738.76377500000001</v>
      </c>
      <c r="B1335" s="1">
        <f>DATE(2012,5,8) + TIME(18,19,50)</f>
        <v>41037.763773148145</v>
      </c>
      <c r="C1335">
        <v>80</v>
      </c>
      <c r="D1335">
        <v>79.966857910000002</v>
      </c>
      <c r="E1335">
        <v>50</v>
      </c>
      <c r="F1335">
        <v>49.314247131000002</v>
      </c>
      <c r="G1335">
        <v>1345.6958007999999</v>
      </c>
      <c r="H1335">
        <v>1341.4716797000001</v>
      </c>
      <c r="I1335">
        <v>1322.7047118999999</v>
      </c>
      <c r="J1335">
        <v>1319.0185547000001</v>
      </c>
      <c r="K1335">
        <v>2400</v>
      </c>
      <c r="L1335">
        <v>0</v>
      </c>
      <c r="M1335">
        <v>0</v>
      </c>
      <c r="N1335">
        <v>2400</v>
      </c>
    </row>
    <row r="1336" spans="1:14" x14ac:dyDescent="0.25">
      <c r="A1336">
        <v>738.97903199999996</v>
      </c>
      <c r="B1336" s="1">
        <f>DATE(2012,5,8) + TIME(23,29,48)</f>
        <v>41037.979027777779</v>
      </c>
      <c r="C1336">
        <v>80</v>
      </c>
      <c r="D1336">
        <v>79.966842650999993</v>
      </c>
      <c r="E1336">
        <v>50</v>
      </c>
      <c r="F1336">
        <v>49.298965453999998</v>
      </c>
      <c r="G1336">
        <v>1345.6827393000001</v>
      </c>
      <c r="H1336">
        <v>1341.4644774999999</v>
      </c>
      <c r="I1336">
        <v>1322.7032471</v>
      </c>
      <c r="J1336">
        <v>1319.0167236</v>
      </c>
      <c r="K1336">
        <v>2400</v>
      </c>
      <c r="L1336">
        <v>0</v>
      </c>
      <c r="M1336">
        <v>0</v>
      </c>
      <c r="N1336">
        <v>2400</v>
      </c>
    </row>
    <row r="1337" spans="1:14" x14ac:dyDescent="0.25">
      <c r="A1337">
        <v>739.197226</v>
      </c>
      <c r="B1337" s="1">
        <f>DATE(2012,5,9) + TIME(4,44,0)</f>
        <v>41038.197222222225</v>
      </c>
      <c r="C1337">
        <v>80</v>
      </c>
      <c r="D1337">
        <v>79.966827393000003</v>
      </c>
      <c r="E1337">
        <v>50</v>
      </c>
      <c r="F1337">
        <v>49.283550261999999</v>
      </c>
      <c r="G1337">
        <v>1345.6696777</v>
      </c>
      <c r="H1337">
        <v>1341.4572754000001</v>
      </c>
      <c r="I1337">
        <v>1322.7017822</v>
      </c>
      <c r="J1337">
        <v>1319.0148925999999</v>
      </c>
      <c r="K1337">
        <v>2400</v>
      </c>
      <c r="L1337">
        <v>0</v>
      </c>
      <c r="M1337">
        <v>0</v>
      </c>
      <c r="N1337">
        <v>2400</v>
      </c>
    </row>
    <row r="1338" spans="1:14" x14ac:dyDescent="0.25">
      <c r="A1338">
        <v>739.41883099999995</v>
      </c>
      <c r="B1338" s="1">
        <f>DATE(2012,5,9) + TIME(10,3,7)</f>
        <v>41038.41883101852</v>
      </c>
      <c r="C1338">
        <v>80</v>
      </c>
      <c r="D1338">
        <v>79.966804503999995</v>
      </c>
      <c r="E1338">
        <v>50</v>
      </c>
      <c r="F1338">
        <v>49.267967224000003</v>
      </c>
      <c r="G1338">
        <v>1345.6566161999999</v>
      </c>
      <c r="H1338">
        <v>1341.4500731999999</v>
      </c>
      <c r="I1338">
        <v>1322.7003173999999</v>
      </c>
      <c r="J1338">
        <v>1319.0130615</v>
      </c>
      <c r="K1338">
        <v>2400</v>
      </c>
      <c r="L1338">
        <v>0</v>
      </c>
      <c r="M1338">
        <v>0</v>
      </c>
      <c r="N1338">
        <v>2400</v>
      </c>
    </row>
    <row r="1339" spans="1:14" x14ac:dyDescent="0.25">
      <c r="A1339">
        <v>739.64419799999996</v>
      </c>
      <c r="B1339" s="1">
        <f>DATE(2012,5,9) + TIME(15,27,38)</f>
        <v>41038.644189814811</v>
      </c>
      <c r="C1339">
        <v>80</v>
      </c>
      <c r="D1339">
        <v>79.966781616000006</v>
      </c>
      <c r="E1339">
        <v>50</v>
      </c>
      <c r="F1339">
        <v>49.252204894999998</v>
      </c>
      <c r="G1339">
        <v>1345.6436768000001</v>
      </c>
      <c r="H1339">
        <v>1341.4428711</v>
      </c>
      <c r="I1339">
        <v>1322.6987305</v>
      </c>
      <c r="J1339">
        <v>1319.0111084</v>
      </c>
      <c r="K1339">
        <v>2400</v>
      </c>
      <c r="L1339">
        <v>0</v>
      </c>
      <c r="M1339">
        <v>0</v>
      </c>
      <c r="N1339">
        <v>2400</v>
      </c>
    </row>
    <row r="1340" spans="1:14" x14ac:dyDescent="0.25">
      <c r="A1340">
        <v>739.87378100000001</v>
      </c>
      <c r="B1340" s="1">
        <f>DATE(2012,5,9) + TIME(20,58,14)</f>
        <v>41038.873773148145</v>
      </c>
      <c r="C1340">
        <v>80</v>
      </c>
      <c r="D1340">
        <v>79.966751099000007</v>
      </c>
      <c r="E1340">
        <v>50</v>
      </c>
      <c r="F1340">
        <v>49.236236572000003</v>
      </c>
      <c r="G1340">
        <v>1345.6306152</v>
      </c>
      <c r="H1340">
        <v>1341.4356689000001</v>
      </c>
      <c r="I1340">
        <v>1322.6972656</v>
      </c>
      <c r="J1340">
        <v>1319.0091553</v>
      </c>
      <c r="K1340">
        <v>2400</v>
      </c>
      <c r="L1340">
        <v>0</v>
      </c>
      <c r="M1340">
        <v>0</v>
      </c>
      <c r="N1340">
        <v>2400</v>
      </c>
    </row>
    <row r="1341" spans="1:14" x14ac:dyDescent="0.25">
      <c r="A1341">
        <v>740.10824700000001</v>
      </c>
      <c r="B1341" s="1">
        <f>DATE(2012,5,10) + TIME(2,35,52)</f>
        <v>41039.108240740738</v>
      </c>
      <c r="C1341">
        <v>80</v>
      </c>
      <c r="D1341">
        <v>79.966728209999999</v>
      </c>
      <c r="E1341">
        <v>50</v>
      </c>
      <c r="F1341">
        <v>49.220027924</v>
      </c>
      <c r="G1341">
        <v>1345.6176757999999</v>
      </c>
      <c r="H1341">
        <v>1341.4285889</v>
      </c>
      <c r="I1341">
        <v>1322.6956786999999</v>
      </c>
      <c r="J1341">
        <v>1319.0072021000001</v>
      </c>
      <c r="K1341">
        <v>2400</v>
      </c>
      <c r="L1341">
        <v>0</v>
      </c>
      <c r="M1341">
        <v>0</v>
      </c>
      <c r="N1341">
        <v>2400</v>
      </c>
    </row>
    <row r="1342" spans="1:14" x14ac:dyDescent="0.25">
      <c r="A1342">
        <v>740.34843599999999</v>
      </c>
      <c r="B1342" s="1">
        <f>DATE(2012,5,10) + TIME(8,21,44)</f>
        <v>41039.348425925928</v>
      </c>
      <c r="C1342">
        <v>80</v>
      </c>
      <c r="D1342">
        <v>79.966690063000001</v>
      </c>
      <c r="E1342">
        <v>50</v>
      </c>
      <c r="F1342">
        <v>49.203533172999997</v>
      </c>
      <c r="G1342">
        <v>1345.6046143000001</v>
      </c>
      <c r="H1342">
        <v>1341.4215088000001</v>
      </c>
      <c r="I1342">
        <v>1322.6939697</v>
      </c>
      <c r="J1342">
        <v>1319.0051269999999</v>
      </c>
      <c r="K1342">
        <v>2400</v>
      </c>
      <c r="L1342">
        <v>0</v>
      </c>
      <c r="M1342">
        <v>0</v>
      </c>
      <c r="N1342">
        <v>2400</v>
      </c>
    </row>
    <row r="1343" spans="1:14" x14ac:dyDescent="0.25">
      <c r="A1343">
        <v>740.59499700000003</v>
      </c>
      <c r="B1343" s="1">
        <f>DATE(2012,5,10) + TIME(14,16,47)</f>
        <v>41039.594988425924</v>
      </c>
      <c r="C1343">
        <v>80</v>
      </c>
      <c r="D1343">
        <v>79.966659546000002</v>
      </c>
      <c r="E1343">
        <v>50</v>
      </c>
      <c r="F1343">
        <v>49.186714172000002</v>
      </c>
      <c r="G1343">
        <v>1345.5914307</v>
      </c>
      <c r="H1343">
        <v>1341.4143065999999</v>
      </c>
      <c r="I1343">
        <v>1322.6923827999999</v>
      </c>
      <c r="J1343">
        <v>1319.0030518000001</v>
      </c>
      <c r="K1343">
        <v>2400</v>
      </c>
      <c r="L1343">
        <v>0</v>
      </c>
      <c r="M1343">
        <v>0</v>
      </c>
      <c r="N1343">
        <v>2400</v>
      </c>
    </row>
    <row r="1344" spans="1:14" x14ac:dyDescent="0.25">
      <c r="A1344">
        <v>740.84864800000003</v>
      </c>
      <c r="B1344" s="1">
        <f>DATE(2012,5,10) + TIME(20,22,3)</f>
        <v>41039.848645833335</v>
      </c>
      <c r="C1344">
        <v>80</v>
      </c>
      <c r="D1344">
        <v>79.966621399000005</v>
      </c>
      <c r="E1344">
        <v>50</v>
      </c>
      <c r="F1344">
        <v>49.169528960999997</v>
      </c>
      <c r="G1344">
        <v>1345.578125</v>
      </c>
      <c r="H1344">
        <v>1341.4071045000001</v>
      </c>
      <c r="I1344">
        <v>1322.6905518000001</v>
      </c>
      <c r="J1344">
        <v>1319.0008545000001</v>
      </c>
      <c r="K1344">
        <v>2400</v>
      </c>
      <c r="L1344">
        <v>0</v>
      </c>
      <c r="M1344">
        <v>0</v>
      </c>
      <c r="N1344">
        <v>2400</v>
      </c>
    </row>
    <row r="1345" spans="1:14" x14ac:dyDescent="0.25">
      <c r="A1345">
        <v>741.11019099999999</v>
      </c>
      <c r="B1345" s="1">
        <f>DATE(2012,5,11) + TIME(2,38,40)</f>
        <v>41040.110185185185</v>
      </c>
      <c r="C1345">
        <v>80</v>
      </c>
      <c r="D1345">
        <v>79.966590881000002</v>
      </c>
      <c r="E1345">
        <v>50</v>
      </c>
      <c r="F1345">
        <v>49.151939392000003</v>
      </c>
      <c r="G1345">
        <v>1345.5648193</v>
      </c>
      <c r="H1345">
        <v>1341.3997803</v>
      </c>
      <c r="I1345">
        <v>1322.6888428</v>
      </c>
      <c r="J1345">
        <v>1318.9986572</v>
      </c>
      <c r="K1345">
        <v>2400</v>
      </c>
      <c r="L1345">
        <v>0</v>
      </c>
      <c r="M1345">
        <v>0</v>
      </c>
      <c r="N1345">
        <v>2400</v>
      </c>
    </row>
    <row r="1346" spans="1:14" x14ac:dyDescent="0.25">
      <c r="A1346">
        <v>741.37823400000002</v>
      </c>
      <c r="B1346" s="1">
        <f>DATE(2012,5,11) + TIME(9,4,39)</f>
        <v>41040.378229166665</v>
      </c>
      <c r="C1346">
        <v>80</v>
      </c>
      <c r="D1346">
        <v>79.966552734000004</v>
      </c>
      <c r="E1346">
        <v>50</v>
      </c>
      <c r="F1346">
        <v>49.134014129999997</v>
      </c>
      <c r="G1346">
        <v>1345.5511475000001</v>
      </c>
      <c r="H1346">
        <v>1341.3924560999999</v>
      </c>
      <c r="I1346">
        <v>1322.6870117000001</v>
      </c>
      <c r="J1346">
        <v>1318.9962158000001</v>
      </c>
      <c r="K1346">
        <v>2400</v>
      </c>
      <c r="L1346">
        <v>0</v>
      </c>
      <c r="M1346">
        <v>0</v>
      </c>
      <c r="N1346">
        <v>2400</v>
      </c>
    </row>
    <row r="1347" spans="1:14" x14ac:dyDescent="0.25">
      <c r="A1347">
        <v>741.65124200000002</v>
      </c>
      <c r="B1347" s="1">
        <f>DATE(2012,5,11) + TIME(15,37,47)</f>
        <v>41040.651238425926</v>
      </c>
      <c r="C1347">
        <v>80</v>
      </c>
      <c r="D1347">
        <v>79.966506957999997</v>
      </c>
      <c r="E1347">
        <v>50</v>
      </c>
      <c r="F1347">
        <v>49.115825653000002</v>
      </c>
      <c r="G1347">
        <v>1345.5375977000001</v>
      </c>
      <c r="H1347">
        <v>1341.3851318</v>
      </c>
      <c r="I1347">
        <v>1322.6850586</v>
      </c>
      <c r="J1347">
        <v>1318.9938964999999</v>
      </c>
      <c r="K1347">
        <v>2400</v>
      </c>
      <c r="L1347">
        <v>0</v>
      </c>
      <c r="M1347">
        <v>0</v>
      </c>
      <c r="N1347">
        <v>2400</v>
      </c>
    </row>
    <row r="1348" spans="1:14" x14ac:dyDescent="0.25">
      <c r="A1348">
        <v>741.92855899999995</v>
      </c>
      <c r="B1348" s="1">
        <f>DATE(2012,5,11) + TIME(22,17,7)</f>
        <v>41040.928553240738</v>
      </c>
      <c r="C1348">
        <v>80</v>
      </c>
      <c r="D1348">
        <v>79.966468810999999</v>
      </c>
      <c r="E1348">
        <v>50</v>
      </c>
      <c r="F1348">
        <v>49.097423552999999</v>
      </c>
      <c r="G1348">
        <v>1345.5239257999999</v>
      </c>
      <c r="H1348">
        <v>1341.3778076000001</v>
      </c>
      <c r="I1348">
        <v>1322.6831055</v>
      </c>
      <c r="J1348">
        <v>1318.9914550999999</v>
      </c>
      <c r="K1348">
        <v>2400</v>
      </c>
      <c r="L1348">
        <v>0</v>
      </c>
      <c r="M1348">
        <v>0</v>
      </c>
      <c r="N1348">
        <v>2400</v>
      </c>
    </row>
    <row r="1349" spans="1:14" x14ac:dyDescent="0.25">
      <c r="A1349">
        <v>742.21050300000002</v>
      </c>
      <c r="B1349" s="1">
        <f>DATE(2012,5,12) + TIME(5,3,7)</f>
        <v>41041.210497685184</v>
      </c>
      <c r="C1349">
        <v>80</v>
      </c>
      <c r="D1349">
        <v>79.966430664000001</v>
      </c>
      <c r="E1349">
        <v>50</v>
      </c>
      <c r="F1349">
        <v>49.078792571999998</v>
      </c>
      <c r="G1349">
        <v>1345.5102539</v>
      </c>
      <c r="H1349">
        <v>1341.3704834</v>
      </c>
      <c r="I1349">
        <v>1322.6811522999999</v>
      </c>
      <c r="J1349">
        <v>1318.9888916</v>
      </c>
      <c r="K1349">
        <v>2400</v>
      </c>
      <c r="L1349">
        <v>0</v>
      </c>
      <c r="M1349">
        <v>0</v>
      </c>
      <c r="N1349">
        <v>2400</v>
      </c>
    </row>
    <row r="1350" spans="1:14" x14ac:dyDescent="0.25">
      <c r="A1350">
        <v>742.49748699999998</v>
      </c>
      <c r="B1350" s="1">
        <f>DATE(2012,5,12) + TIME(11,56,22)</f>
        <v>41041.497476851851</v>
      </c>
      <c r="C1350">
        <v>80</v>
      </c>
      <c r="D1350">
        <v>79.966384887999993</v>
      </c>
      <c r="E1350">
        <v>50</v>
      </c>
      <c r="F1350">
        <v>49.059925079000003</v>
      </c>
      <c r="G1350">
        <v>1345.4967041</v>
      </c>
      <c r="H1350">
        <v>1341.3632812000001</v>
      </c>
      <c r="I1350">
        <v>1322.6790771000001</v>
      </c>
      <c r="J1350">
        <v>1318.9863281</v>
      </c>
      <c r="K1350">
        <v>2400</v>
      </c>
      <c r="L1350">
        <v>0</v>
      </c>
      <c r="M1350">
        <v>0</v>
      </c>
      <c r="N1350">
        <v>2400</v>
      </c>
    </row>
    <row r="1351" spans="1:14" x14ac:dyDescent="0.25">
      <c r="A1351">
        <v>742.79005099999995</v>
      </c>
      <c r="B1351" s="1">
        <f>DATE(2012,5,12) + TIME(18,57,40)</f>
        <v>41041.790046296293</v>
      </c>
      <c r="C1351">
        <v>80</v>
      </c>
      <c r="D1351">
        <v>79.966339110999996</v>
      </c>
      <c r="E1351">
        <v>50</v>
      </c>
      <c r="F1351">
        <v>49.040794372999997</v>
      </c>
      <c r="G1351">
        <v>1345.4831543</v>
      </c>
      <c r="H1351">
        <v>1341.355957</v>
      </c>
      <c r="I1351">
        <v>1322.6770019999999</v>
      </c>
      <c r="J1351">
        <v>1318.9837646000001</v>
      </c>
      <c r="K1351">
        <v>2400</v>
      </c>
      <c r="L1351">
        <v>0</v>
      </c>
      <c r="M1351">
        <v>0</v>
      </c>
      <c r="N1351">
        <v>2400</v>
      </c>
    </row>
    <row r="1352" spans="1:14" x14ac:dyDescent="0.25">
      <c r="A1352">
        <v>743.088797</v>
      </c>
      <c r="B1352" s="1">
        <f>DATE(2012,5,13) + TIME(2,7,52)</f>
        <v>41042.088796296295</v>
      </c>
      <c r="C1352">
        <v>80</v>
      </c>
      <c r="D1352">
        <v>79.966300963999998</v>
      </c>
      <c r="E1352">
        <v>50</v>
      </c>
      <c r="F1352">
        <v>49.021377563000001</v>
      </c>
      <c r="G1352">
        <v>1345.4696045000001</v>
      </c>
      <c r="H1352">
        <v>1341.3487548999999</v>
      </c>
      <c r="I1352">
        <v>1322.6748047000001</v>
      </c>
      <c r="J1352">
        <v>1318.9810791</v>
      </c>
      <c r="K1352">
        <v>2400</v>
      </c>
      <c r="L1352">
        <v>0</v>
      </c>
      <c r="M1352">
        <v>0</v>
      </c>
      <c r="N1352">
        <v>2400</v>
      </c>
    </row>
    <row r="1353" spans="1:14" x14ac:dyDescent="0.25">
      <c r="A1353">
        <v>743.39456399999995</v>
      </c>
      <c r="B1353" s="1">
        <f>DATE(2012,5,13) + TIME(9,28,10)</f>
        <v>41042.394560185188</v>
      </c>
      <c r="C1353">
        <v>80</v>
      </c>
      <c r="D1353">
        <v>79.966255188000005</v>
      </c>
      <c r="E1353">
        <v>50</v>
      </c>
      <c r="F1353">
        <v>49.001636505</v>
      </c>
      <c r="G1353">
        <v>1345.4559326000001</v>
      </c>
      <c r="H1353">
        <v>1341.3415527</v>
      </c>
      <c r="I1353">
        <v>1322.6727295000001</v>
      </c>
      <c r="J1353">
        <v>1318.9782714999999</v>
      </c>
      <c r="K1353">
        <v>2400</v>
      </c>
      <c r="L1353">
        <v>0</v>
      </c>
      <c r="M1353">
        <v>0</v>
      </c>
      <c r="N1353">
        <v>2400</v>
      </c>
    </row>
    <row r="1354" spans="1:14" x14ac:dyDescent="0.25">
      <c r="A1354">
        <v>743.70881399999996</v>
      </c>
      <c r="B1354" s="1">
        <f>DATE(2012,5,13) + TIME(17,0,41)</f>
        <v>41042.708807870367</v>
      </c>
      <c r="C1354">
        <v>80</v>
      </c>
      <c r="D1354">
        <v>79.966209411999998</v>
      </c>
      <c r="E1354">
        <v>50</v>
      </c>
      <c r="F1354">
        <v>48.981494904000002</v>
      </c>
      <c r="G1354">
        <v>1345.4422606999999</v>
      </c>
      <c r="H1354">
        <v>1341.3343506000001</v>
      </c>
      <c r="I1354">
        <v>1322.6704102000001</v>
      </c>
      <c r="J1354">
        <v>1318.9754639</v>
      </c>
      <c r="K1354">
        <v>2400</v>
      </c>
      <c r="L1354">
        <v>0</v>
      </c>
      <c r="M1354">
        <v>0</v>
      </c>
      <c r="N1354">
        <v>2400</v>
      </c>
    </row>
    <row r="1355" spans="1:14" x14ac:dyDescent="0.25">
      <c r="A1355">
        <v>744.02900999999997</v>
      </c>
      <c r="B1355" s="1">
        <f>DATE(2012,5,14) + TIME(0,41,46)</f>
        <v>41043.029004629629</v>
      </c>
      <c r="C1355">
        <v>80</v>
      </c>
      <c r="D1355">
        <v>79.966163635000001</v>
      </c>
      <c r="E1355">
        <v>50</v>
      </c>
      <c r="F1355">
        <v>48.961071013999998</v>
      </c>
      <c r="G1355">
        <v>1345.4284668</v>
      </c>
      <c r="H1355">
        <v>1341.3270264</v>
      </c>
      <c r="I1355">
        <v>1322.6680908000001</v>
      </c>
      <c r="J1355">
        <v>1318.9725341999999</v>
      </c>
      <c r="K1355">
        <v>2400</v>
      </c>
      <c r="L1355">
        <v>0</v>
      </c>
      <c r="M1355">
        <v>0</v>
      </c>
      <c r="N1355">
        <v>2400</v>
      </c>
    </row>
    <row r="1356" spans="1:14" x14ac:dyDescent="0.25">
      <c r="A1356">
        <v>744.35082699999998</v>
      </c>
      <c r="B1356" s="1">
        <f>DATE(2012,5,14) + TIME(8,25,11)</f>
        <v>41043.350821759261</v>
      </c>
      <c r="C1356">
        <v>80</v>
      </c>
      <c r="D1356">
        <v>79.966117858999993</v>
      </c>
      <c r="E1356">
        <v>50</v>
      </c>
      <c r="F1356">
        <v>48.940578461000001</v>
      </c>
      <c r="G1356">
        <v>1345.4146728999999</v>
      </c>
      <c r="H1356">
        <v>1341.3198242000001</v>
      </c>
      <c r="I1356">
        <v>1322.6656493999999</v>
      </c>
      <c r="J1356">
        <v>1318.9694824000001</v>
      </c>
      <c r="K1356">
        <v>2400</v>
      </c>
      <c r="L1356">
        <v>0</v>
      </c>
      <c r="M1356">
        <v>0</v>
      </c>
      <c r="N1356">
        <v>2400</v>
      </c>
    </row>
    <row r="1357" spans="1:14" x14ac:dyDescent="0.25">
      <c r="A1357">
        <v>744.67492700000003</v>
      </c>
      <c r="B1357" s="1">
        <f>DATE(2012,5,14) + TIME(16,11,53)</f>
        <v>41043.67491898148</v>
      </c>
      <c r="C1357">
        <v>80</v>
      </c>
      <c r="D1357">
        <v>79.966072083</v>
      </c>
      <c r="E1357">
        <v>50</v>
      </c>
      <c r="F1357">
        <v>48.920001984000002</v>
      </c>
      <c r="G1357">
        <v>1345.4011230000001</v>
      </c>
      <c r="H1357">
        <v>1341.3126221</v>
      </c>
      <c r="I1357">
        <v>1322.6633300999999</v>
      </c>
      <c r="J1357">
        <v>1318.9664307</v>
      </c>
      <c r="K1357">
        <v>2400</v>
      </c>
      <c r="L1357">
        <v>0</v>
      </c>
      <c r="M1357">
        <v>0</v>
      </c>
      <c r="N1357">
        <v>2400</v>
      </c>
    </row>
    <row r="1358" spans="1:14" x14ac:dyDescent="0.25">
      <c r="A1358">
        <v>745.00195599999995</v>
      </c>
      <c r="B1358" s="1">
        <f>DATE(2012,5,15) + TIME(0,2,49)</f>
        <v>41044.001956018517</v>
      </c>
      <c r="C1358">
        <v>80</v>
      </c>
      <c r="D1358">
        <v>79.966026306000003</v>
      </c>
      <c r="E1358">
        <v>50</v>
      </c>
      <c r="F1358">
        <v>48.899330139</v>
      </c>
      <c r="G1358">
        <v>1345.3876952999999</v>
      </c>
      <c r="H1358">
        <v>1341.3056641000001</v>
      </c>
      <c r="I1358">
        <v>1322.6607666</v>
      </c>
      <c r="J1358">
        <v>1318.9632568</v>
      </c>
      <c r="K1358">
        <v>2400</v>
      </c>
      <c r="L1358">
        <v>0</v>
      </c>
      <c r="M1358">
        <v>0</v>
      </c>
      <c r="N1358">
        <v>2400</v>
      </c>
    </row>
    <row r="1359" spans="1:14" x14ac:dyDescent="0.25">
      <c r="A1359">
        <v>745.33261800000002</v>
      </c>
      <c r="B1359" s="1">
        <f>DATE(2012,5,15) + TIME(7,58,58)</f>
        <v>41044.332615740743</v>
      </c>
      <c r="C1359">
        <v>80</v>
      </c>
      <c r="D1359">
        <v>79.965988159000005</v>
      </c>
      <c r="E1359">
        <v>50</v>
      </c>
      <c r="F1359">
        <v>48.878536224000001</v>
      </c>
      <c r="G1359">
        <v>1345.3743896000001</v>
      </c>
      <c r="H1359">
        <v>1341.2987060999999</v>
      </c>
      <c r="I1359">
        <v>1322.6583252</v>
      </c>
      <c r="J1359">
        <v>1318.9602050999999</v>
      </c>
      <c r="K1359">
        <v>2400</v>
      </c>
      <c r="L1359">
        <v>0</v>
      </c>
      <c r="M1359">
        <v>0</v>
      </c>
      <c r="N1359">
        <v>2400</v>
      </c>
    </row>
    <row r="1360" spans="1:14" x14ac:dyDescent="0.25">
      <c r="A1360">
        <v>745.668182</v>
      </c>
      <c r="B1360" s="1">
        <f>DATE(2012,5,15) + TIME(16,2,10)</f>
        <v>41044.668171296296</v>
      </c>
      <c r="C1360">
        <v>80</v>
      </c>
      <c r="D1360">
        <v>79.965942382999998</v>
      </c>
      <c r="E1360">
        <v>50</v>
      </c>
      <c r="F1360">
        <v>48.857574462999999</v>
      </c>
      <c r="G1360">
        <v>1345.3610839999999</v>
      </c>
      <c r="H1360">
        <v>1341.2917480000001</v>
      </c>
      <c r="I1360">
        <v>1322.6557617000001</v>
      </c>
      <c r="J1360">
        <v>1318.9569091999999</v>
      </c>
      <c r="K1360">
        <v>2400</v>
      </c>
      <c r="L1360">
        <v>0</v>
      </c>
      <c r="M1360">
        <v>0</v>
      </c>
      <c r="N1360">
        <v>2400</v>
      </c>
    </row>
    <row r="1361" spans="1:14" x14ac:dyDescent="0.25">
      <c r="A1361">
        <v>746.00965900000006</v>
      </c>
      <c r="B1361" s="1">
        <f>DATE(2012,5,16) + TIME(0,13,54)</f>
        <v>41045.009652777779</v>
      </c>
      <c r="C1361">
        <v>80</v>
      </c>
      <c r="D1361">
        <v>79.965896606000001</v>
      </c>
      <c r="E1361">
        <v>50</v>
      </c>
      <c r="F1361">
        <v>48.836395263999997</v>
      </c>
      <c r="G1361">
        <v>1345.3479004000001</v>
      </c>
      <c r="H1361">
        <v>1341.2849120999999</v>
      </c>
      <c r="I1361">
        <v>1322.6531981999999</v>
      </c>
      <c r="J1361">
        <v>1318.9536132999999</v>
      </c>
      <c r="K1361">
        <v>2400</v>
      </c>
      <c r="L1361">
        <v>0</v>
      </c>
      <c r="M1361">
        <v>0</v>
      </c>
      <c r="N1361">
        <v>2400</v>
      </c>
    </row>
    <row r="1362" spans="1:14" x14ac:dyDescent="0.25">
      <c r="A1362">
        <v>746.35789499999998</v>
      </c>
      <c r="B1362" s="1">
        <f>DATE(2012,5,16) + TIME(8,35,22)</f>
        <v>41045.357893518521</v>
      </c>
      <c r="C1362">
        <v>80</v>
      </c>
      <c r="D1362">
        <v>79.965850829999994</v>
      </c>
      <c r="E1362">
        <v>50</v>
      </c>
      <c r="F1362">
        <v>48.814952849999997</v>
      </c>
      <c r="G1362">
        <v>1345.3347168</v>
      </c>
      <c r="H1362">
        <v>1341.2780762</v>
      </c>
      <c r="I1362">
        <v>1322.6506348</v>
      </c>
      <c r="J1362">
        <v>1318.9503173999999</v>
      </c>
      <c r="K1362">
        <v>2400</v>
      </c>
      <c r="L1362">
        <v>0</v>
      </c>
      <c r="M1362">
        <v>0</v>
      </c>
      <c r="N1362">
        <v>2400</v>
      </c>
    </row>
    <row r="1363" spans="1:14" x14ac:dyDescent="0.25">
      <c r="A1363">
        <v>746.71289999999999</v>
      </c>
      <c r="B1363" s="1">
        <f>DATE(2012,5,16) + TIME(17,6,34)</f>
        <v>41045.712893518517</v>
      </c>
      <c r="C1363">
        <v>80</v>
      </c>
      <c r="D1363">
        <v>79.965805054</v>
      </c>
      <c r="E1363">
        <v>50</v>
      </c>
      <c r="F1363">
        <v>48.793247223000002</v>
      </c>
      <c r="G1363">
        <v>1345.3215332</v>
      </c>
      <c r="H1363">
        <v>1341.2711182</v>
      </c>
      <c r="I1363">
        <v>1322.6478271000001</v>
      </c>
      <c r="J1363">
        <v>1318.9467772999999</v>
      </c>
      <c r="K1363">
        <v>2400</v>
      </c>
      <c r="L1363">
        <v>0</v>
      </c>
      <c r="M1363">
        <v>0</v>
      </c>
      <c r="N1363">
        <v>2400</v>
      </c>
    </row>
    <row r="1364" spans="1:14" x14ac:dyDescent="0.25">
      <c r="A1364">
        <v>747.07514900000001</v>
      </c>
      <c r="B1364" s="1">
        <f>DATE(2012,5,17) + TIME(1,48,12)</f>
        <v>41046.075138888889</v>
      </c>
      <c r="C1364">
        <v>80</v>
      </c>
      <c r="D1364">
        <v>79.965759277000004</v>
      </c>
      <c r="E1364">
        <v>50</v>
      </c>
      <c r="F1364">
        <v>48.771255492999998</v>
      </c>
      <c r="G1364">
        <v>1345.3083495999999</v>
      </c>
      <c r="H1364">
        <v>1341.2642822</v>
      </c>
      <c r="I1364">
        <v>1322.6450195</v>
      </c>
      <c r="J1364">
        <v>1318.9432373</v>
      </c>
      <c r="K1364">
        <v>2400</v>
      </c>
      <c r="L1364">
        <v>0</v>
      </c>
      <c r="M1364">
        <v>0</v>
      </c>
      <c r="N1364">
        <v>2400</v>
      </c>
    </row>
    <row r="1365" spans="1:14" x14ac:dyDescent="0.25">
      <c r="A1365">
        <v>747.44560799999999</v>
      </c>
      <c r="B1365" s="1">
        <f>DATE(2012,5,17) + TIME(10,41,40)</f>
        <v>41046.445601851854</v>
      </c>
      <c r="C1365">
        <v>80</v>
      </c>
      <c r="D1365">
        <v>79.965713500999996</v>
      </c>
      <c r="E1365">
        <v>50</v>
      </c>
      <c r="F1365">
        <v>48.748928069999998</v>
      </c>
      <c r="G1365">
        <v>1345.2950439000001</v>
      </c>
      <c r="H1365">
        <v>1341.2574463000001</v>
      </c>
      <c r="I1365">
        <v>1322.6422118999999</v>
      </c>
      <c r="J1365">
        <v>1318.9395752</v>
      </c>
      <c r="K1365">
        <v>2400</v>
      </c>
      <c r="L1365">
        <v>0</v>
      </c>
      <c r="M1365">
        <v>0</v>
      </c>
      <c r="N1365">
        <v>2400</v>
      </c>
    </row>
    <row r="1366" spans="1:14" x14ac:dyDescent="0.25">
      <c r="A1366">
        <v>747.82532000000003</v>
      </c>
      <c r="B1366" s="1">
        <f>DATE(2012,5,17) + TIME(19,48,27)</f>
        <v>41046.825312499997</v>
      </c>
      <c r="C1366">
        <v>80</v>
      </c>
      <c r="D1366">
        <v>79.965667725000003</v>
      </c>
      <c r="E1366">
        <v>50</v>
      </c>
      <c r="F1366">
        <v>48.726226807000003</v>
      </c>
      <c r="G1366">
        <v>1345.2817382999999</v>
      </c>
      <c r="H1366">
        <v>1341.2506103999999</v>
      </c>
      <c r="I1366">
        <v>1322.6392822</v>
      </c>
      <c r="J1366">
        <v>1318.9357910000001</v>
      </c>
      <c r="K1366">
        <v>2400</v>
      </c>
      <c r="L1366">
        <v>0</v>
      </c>
      <c r="M1366">
        <v>0</v>
      </c>
      <c r="N1366">
        <v>2400</v>
      </c>
    </row>
    <row r="1367" spans="1:14" x14ac:dyDescent="0.25">
      <c r="A1367">
        <v>748.21542199999999</v>
      </c>
      <c r="B1367" s="1">
        <f>DATE(2012,5,18) + TIME(5,10,12)</f>
        <v>41047.215416666666</v>
      </c>
      <c r="C1367">
        <v>80</v>
      </c>
      <c r="D1367">
        <v>79.965621948000006</v>
      </c>
      <c r="E1367">
        <v>50</v>
      </c>
      <c r="F1367">
        <v>48.703090668000002</v>
      </c>
      <c r="G1367">
        <v>1345.2683105000001</v>
      </c>
      <c r="H1367">
        <v>1341.2436522999999</v>
      </c>
      <c r="I1367">
        <v>1322.6362305</v>
      </c>
      <c r="J1367">
        <v>1318.9318848</v>
      </c>
      <c r="K1367">
        <v>2400</v>
      </c>
      <c r="L1367">
        <v>0</v>
      </c>
      <c r="M1367">
        <v>0</v>
      </c>
      <c r="N1367">
        <v>2400</v>
      </c>
    </row>
    <row r="1368" spans="1:14" x14ac:dyDescent="0.25">
      <c r="A1368">
        <v>748.61401499999999</v>
      </c>
      <c r="B1368" s="1">
        <f>DATE(2012,5,18) + TIME(14,44,10)</f>
        <v>41047.614004629628</v>
      </c>
      <c r="C1368">
        <v>80</v>
      </c>
      <c r="D1368">
        <v>79.965576171999999</v>
      </c>
      <c r="E1368">
        <v>50</v>
      </c>
      <c r="F1368">
        <v>48.679592133</v>
      </c>
      <c r="G1368">
        <v>1345.2547606999999</v>
      </c>
      <c r="H1368">
        <v>1341.2366943</v>
      </c>
      <c r="I1368">
        <v>1322.6330565999999</v>
      </c>
      <c r="J1368">
        <v>1318.9277344</v>
      </c>
      <c r="K1368">
        <v>2400</v>
      </c>
      <c r="L1368">
        <v>0</v>
      </c>
      <c r="M1368">
        <v>0</v>
      </c>
      <c r="N1368">
        <v>2400</v>
      </c>
    </row>
    <row r="1369" spans="1:14" x14ac:dyDescent="0.25">
      <c r="A1369">
        <v>749.01576</v>
      </c>
      <c r="B1369" s="1">
        <f>DATE(2012,5,19) + TIME(0,22,41)</f>
        <v>41048.015752314815</v>
      </c>
      <c r="C1369">
        <v>80</v>
      </c>
      <c r="D1369">
        <v>79.965530396000005</v>
      </c>
      <c r="E1369">
        <v>50</v>
      </c>
      <c r="F1369">
        <v>48.655956267999997</v>
      </c>
      <c r="G1369">
        <v>1345.2412108999999</v>
      </c>
      <c r="H1369">
        <v>1341.2296143000001</v>
      </c>
      <c r="I1369">
        <v>1322.6297606999999</v>
      </c>
      <c r="J1369">
        <v>1318.9235839999999</v>
      </c>
      <c r="K1369">
        <v>2400</v>
      </c>
      <c r="L1369">
        <v>0</v>
      </c>
      <c r="M1369">
        <v>0</v>
      </c>
      <c r="N1369">
        <v>2400</v>
      </c>
    </row>
    <row r="1370" spans="1:14" x14ac:dyDescent="0.25">
      <c r="A1370">
        <v>749.42142899999999</v>
      </c>
      <c r="B1370" s="1">
        <f>DATE(2012,5,19) + TIME(10,6,51)</f>
        <v>41048.421423611115</v>
      </c>
      <c r="C1370">
        <v>80</v>
      </c>
      <c r="D1370">
        <v>79.965484618999994</v>
      </c>
      <c r="E1370">
        <v>50</v>
      </c>
      <c r="F1370">
        <v>48.632183075</v>
      </c>
      <c r="G1370">
        <v>1345.2277832</v>
      </c>
      <c r="H1370">
        <v>1341.2227783000001</v>
      </c>
      <c r="I1370">
        <v>1322.6264647999999</v>
      </c>
      <c r="J1370">
        <v>1318.9193115</v>
      </c>
      <c r="K1370">
        <v>2400</v>
      </c>
      <c r="L1370">
        <v>0</v>
      </c>
      <c r="M1370">
        <v>0</v>
      </c>
      <c r="N1370">
        <v>2400</v>
      </c>
    </row>
    <row r="1371" spans="1:14" x14ac:dyDescent="0.25">
      <c r="A1371">
        <v>749.831774</v>
      </c>
      <c r="B1371" s="1">
        <f>DATE(2012,5,19) + TIME(19,57,45)</f>
        <v>41048.831770833334</v>
      </c>
      <c r="C1371">
        <v>80</v>
      </c>
      <c r="D1371">
        <v>79.965438843000001</v>
      </c>
      <c r="E1371">
        <v>50</v>
      </c>
      <c r="F1371">
        <v>48.608261108000001</v>
      </c>
      <c r="G1371">
        <v>1345.2143555</v>
      </c>
      <c r="H1371">
        <v>1341.2159423999999</v>
      </c>
      <c r="I1371">
        <v>1322.6230469</v>
      </c>
      <c r="J1371">
        <v>1318.9150391000001</v>
      </c>
      <c r="K1371">
        <v>2400</v>
      </c>
      <c r="L1371">
        <v>0</v>
      </c>
      <c r="M1371">
        <v>0</v>
      </c>
      <c r="N1371">
        <v>2400</v>
      </c>
    </row>
    <row r="1372" spans="1:14" x14ac:dyDescent="0.25">
      <c r="A1372">
        <v>750.24761799999999</v>
      </c>
      <c r="B1372" s="1">
        <f>DATE(2012,5,20) + TIME(5,56,34)</f>
        <v>41049.247615740744</v>
      </c>
      <c r="C1372">
        <v>80</v>
      </c>
      <c r="D1372">
        <v>79.965393066000004</v>
      </c>
      <c r="E1372">
        <v>50</v>
      </c>
      <c r="F1372">
        <v>48.584167479999998</v>
      </c>
      <c r="G1372">
        <v>1345.2010498</v>
      </c>
      <c r="H1372">
        <v>1341.2091064000001</v>
      </c>
      <c r="I1372">
        <v>1322.6196289</v>
      </c>
      <c r="J1372">
        <v>1318.9105225000001</v>
      </c>
      <c r="K1372">
        <v>2400</v>
      </c>
      <c r="L1372">
        <v>0</v>
      </c>
      <c r="M1372">
        <v>0</v>
      </c>
      <c r="N1372">
        <v>2400</v>
      </c>
    </row>
    <row r="1373" spans="1:14" x14ac:dyDescent="0.25">
      <c r="A1373">
        <v>750.66998100000001</v>
      </c>
      <c r="B1373" s="1">
        <f>DATE(2012,5,20) + TIME(16,4,46)</f>
        <v>41049.669976851852</v>
      </c>
      <c r="C1373">
        <v>80</v>
      </c>
      <c r="D1373">
        <v>79.965347289999997</v>
      </c>
      <c r="E1373">
        <v>50</v>
      </c>
      <c r="F1373">
        <v>48.559871674</v>
      </c>
      <c r="G1373">
        <v>1345.1878661999999</v>
      </c>
      <c r="H1373">
        <v>1341.2022704999999</v>
      </c>
      <c r="I1373">
        <v>1322.6160889</v>
      </c>
      <c r="J1373">
        <v>1318.9060059000001</v>
      </c>
      <c r="K1373">
        <v>2400</v>
      </c>
      <c r="L1373">
        <v>0</v>
      </c>
      <c r="M1373">
        <v>0</v>
      </c>
      <c r="N1373">
        <v>2400</v>
      </c>
    </row>
    <row r="1374" spans="1:14" x14ac:dyDescent="0.25">
      <c r="A1374">
        <v>751.10108600000001</v>
      </c>
      <c r="B1374" s="1">
        <f>DATE(2012,5,21) + TIME(2,25,33)</f>
        <v>41050.101076388892</v>
      </c>
      <c r="C1374">
        <v>80</v>
      </c>
      <c r="D1374">
        <v>79.965301514000004</v>
      </c>
      <c r="E1374">
        <v>50</v>
      </c>
      <c r="F1374">
        <v>48.535282135000003</v>
      </c>
      <c r="G1374">
        <v>1345.1746826000001</v>
      </c>
      <c r="H1374">
        <v>1341.1955565999999</v>
      </c>
      <c r="I1374">
        <v>1322.6124268000001</v>
      </c>
      <c r="J1374">
        <v>1318.9012451000001</v>
      </c>
      <c r="K1374">
        <v>2400</v>
      </c>
      <c r="L1374">
        <v>0</v>
      </c>
      <c r="M1374">
        <v>0</v>
      </c>
      <c r="N1374">
        <v>2400</v>
      </c>
    </row>
    <row r="1375" spans="1:14" x14ac:dyDescent="0.25">
      <c r="A1375">
        <v>751.54204600000003</v>
      </c>
      <c r="B1375" s="1">
        <f>DATE(2012,5,21) + TIME(13,0,32)</f>
        <v>41050.542037037034</v>
      </c>
      <c r="C1375">
        <v>80</v>
      </c>
      <c r="D1375">
        <v>79.965255737000007</v>
      </c>
      <c r="E1375">
        <v>50</v>
      </c>
      <c r="F1375">
        <v>48.510353088000002</v>
      </c>
      <c r="G1375">
        <v>1345.161499</v>
      </c>
      <c r="H1375">
        <v>1341.1888428</v>
      </c>
      <c r="I1375">
        <v>1322.6087646000001</v>
      </c>
      <c r="J1375">
        <v>1318.8964844</v>
      </c>
      <c r="K1375">
        <v>2400</v>
      </c>
      <c r="L1375">
        <v>0</v>
      </c>
      <c r="M1375">
        <v>0</v>
      </c>
      <c r="N1375">
        <v>2400</v>
      </c>
    </row>
    <row r="1376" spans="1:14" x14ac:dyDescent="0.25">
      <c r="A1376">
        <v>751.98757599999999</v>
      </c>
      <c r="B1376" s="1">
        <f>DATE(2012,5,21) + TIME(23,42,6)</f>
        <v>41050.987569444442</v>
      </c>
      <c r="C1376">
        <v>80</v>
      </c>
      <c r="D1376">
        <v>79.965209960999999</v>
      </c>
      <c r="E1376">
        <v>50</v>
      </c>
      <c r="F1376">
        <v>48.485263824</v>
      </c>
      <c r="G1376">
        <v>1345.1480713000001</v>
      </c>
      <c r="H1376">
        <v>1341.1820068</v>
      </c>
      <c r="I1376">
        <v>1322.6048584</v>
      </c>
      <c r="J1376">
        <v>1318.8914795000001</v>
      </c>
      <c r="K1376">
        <v>2400</v>
      </c>
      <c r="L1376">
        <v>0</v>
      </c>
      <c r="M1376">
        <v>0</v>
      </c>
      <c r="N1376">
        <v>2400</v>
      </c>
    </row>
    <row r="1377" spans="1:14" x14ac:dyDescent="0.25">
      <c r="A1377">
        <v>752.43530299999998</v>
      </c>
      <c r="B1377" s="1">
        <f>DATE(2012,5,22) + TIME(10,26,50)</f>
        <v>41051.435300925928</v>
      </c>
      <c r="C1377">
        <v>80</v>
      </c>
      <c r="D1377">
        <v>79.965164185000006</v>
      </c>
      <c r="E1377">
        <v>50</v>
      </c>
      <c r="F1377">
        <v>48.460128783999998</v>
      </c>
      <c r="G1377">
        <v>1345.1348877</v>
      </c>
      <c r="H1377">
        <v>1341.175293</v>
      </c>
      <c r="I1377">
        <v>1322.6009521000001</v>
      </c>
      <c r="J1377">
        <v>1318.8863524999999</v>
      </c>
      <c r="K1377">
        <v>2400</v>
      </c>
      <c r="L1377">
        <v>0</v>
      </c>
      <c r="M1377">
        <v>0</v>
      </c>
      <c r="N1377">
        <v>2400</v>
      </c>
    </row>
    <row r="1378" spans="1:14" x14ac:dyDescent="0.25">
      <c r="A1378">
        <v>752.88617299999999</v>
      </c>
      <c r="B1378" s="1">
        <f>DATE(2012,5,22) + TIME(21,16,5)</f>
        <v>41051.88616898148</v>
      </c>
      <c r="C1378">
        <v>80</v>
      </c>
      <c r="D1378">
        <v>79.965118407999995</v>
      </c>
      <c r="E1378">
        <v>50</v>
      </c>
      <c r="F1378">
        <v>48.434947968000003</v>
      </c>
      <c r="G1378">
        <v>1345.1218262</v>
      </c>
      <c r="H1378">
        <v>1341.1685791</v>
      </c>
      <c r="I1378">
        <v>1322.5970459</v>
      </c>
      <c r="J1378">
        <v>1318.8812256000001</v>
      </c>
      <c r="K1378">
        <v>2400</v>
      </c>
      <c r="L1378">
        <v>0</v>
      </c>
      <c r="M1378">
        <v>0</v>
      </c>
      <c r="N1378">
        <v>2400</v>
      </c>
    </row>
    <row r="1379" spans="1:14" x14ac:dyDescent="0.25">
      <c r="A1379">
        <v>753.34170700000004</v>
      </c>
      <c r="B1379" s="1">
        <f>DATE(2012,5,23) + TIME(8,12,3)</f>
        <v>41052.34170138889</v>
      </c>
      <c r="C1379">
        <v>80</v>
      </c>
      <c r="D1379">
        <v>79.965080260999997</v>
      </c>
      <c r="E1379">
        <v>50</v>
      </c>
      <c r="F1379">
        <v>48.409675598</v>
      </c>
      <c r="G1379">
        <v>1345.1088867000001</v>
      </c>
      <c r="H1379">
        <v>1341.1619873</v>
      </c>
      <c r="I1379">
        <v>1322.5930175999999</v>
      </c>
      <c r="J1379">
        <v>1318.8758545000001</v>
      </c>
      <c r="K1379">
        <v>2400</v>
      </c>
      <c r="L1379">
        <v>0</v>
      </c>
      <c r="M1379">
        <v>0</v>
      </c>
      <c r="N1379">
        <v>2400</v>
      </c>
    </row>
    <row r="1380" spans="1:14" x14ac:dyDescent="0.25">
      <c r="A1380">
        <v>753.80402000000004</v>
      </c>
      <c r="B1380" s="1">
        <f>DATE(2012,5,23) + TIME(19,17,47)</f>
        <v>41052.804016203707</v>
      </c>
      <c r="C1380">
        <v>80</v>
      </c>
      <c r="D1380">
        <v>79.965034485000004</v>
      </c>
      <c r="E1380">
        <v>50</v>
      </c>
      <c r="F1380">
        <v>48.384239196999999</v>
      </c>
      <c r="G1380">
        <v>1345.0960693</v>
      </c>
      <c r="H1380">
        <v>1341.1553954999999</v>
      </c>
      <c r="I1380">
        <v>1322.5888672000001</v>
      </c>
      <c r="J1380">
        <v>1318.8704834</v>
      </c>
      <c r="K1380">
        <v>2400</v>
      </c>
      <c r="L1380">
        <v>0</v>
      </c>
      <c r="M1380">
        <v>0</v>
      </c>
      <c r="N1380">
        <v>2400</v>
      </c>
    </row>
    <row r="1381" spans="1:14" x14ac:dyDescent="0.25">
      <c r="A1381">
        <v>754.27428499999996</v>
      </c>
      <c r="B1381" s="1">
        <f>DATE(2012,5,24) + TIME(6,34,58)</f>
        <v>41053.274282407408</v>
      </c>
      <c r="C1381">
        <v>80</v>
      </c>
      <c r="D1381">
        <v>79.964988708000007</v>
      </c>
      <c r="E1381">
        <v>50</v>
      </c>
      <c r="F1381">
        <v>48.358585357999999</v>
      </c>
      <c r="G1381">
        <v>1345.0831298999999</v>
      </c>
      <c r="H1381">
        <v>1341.1489257999999</v>
      </c>
      <c r="I1381">
        <v>1322.5845947</v>
      </c>
      <c r="J1381">
        <v>1318.8648682</v>
      </c>
      <c r="K1381">
        <v>2400</v>
      </c>
      <c r="L1381">
        <v>0</v>
      </c>
      <c r="M1381">
        <v>0</v>
      </c>
      <c r="N1381">
        <v>2400</v>
      </c>
    </row>
    <row r="1382" spans="1:14" x14ac:dyDescent="0.25">
      <c r="A1382">
        <v>754.75368000000003</v>
      </c>
      <c r="B1382" s="1">
        <f>DATE(2012,5,24) + TIME(18,5,17)</f>
        <v>41053.753668981481</v>
      </c>
      <c r="C1382">
        <v>80</v>
      </c>
      <c r="D1382">
        <v>79.964942932</v>
      </c>
      <c r="E1382">
        <v>50</v>
      </c>
      <c r="F1382">
        <v>48.332664489999999</v>
      </c>
      <c r="G1382">
        <v>1345.0703125</v>
      </c>
      <c r="H1382">
        <v>1341.1423339999999</v>
      </c>
      <c r="I1382">
        <v>1322.5803223</v>
      </c>
      <c r="J1382">
        <v>1318.8591309000001</v>
      </c>
      <c r="K1382">
        <v>2400</v>
      </c>
      <c r="L1382">
        <v>0</v>
      </c>
      <c r="M1382">
        <v>0</v>
      </c>
      <c r="N1382">
        <v>2400</v>
      </c>
    </row>
    <row r="1383" spans="1:14" x14ac:dyDescent="0.25">
      <c r="A1383">
        <v>755.24357699999996</v>
      </c>
      <c r="B1383" s="1">
        <f>DATE(2012,5,25) + TIME(5,50,45)</f>
        <v>41054.243576388886</v>
      </c>
      <c r="C1383">
        <v>80</v>
      </c>
      <c r="D1383">
        <v>79.964897156000006</v>
      </c>
      <c r="E1383">
        <v>50</v>
      </c>
      <c r="F1383">
        <v>48.306419372999997</v>
      </c>
      <c r="G1383">
        <v>1345.0573730000001</v>
      </c>
      <c r="H1383">
        <v>1341.1357422000001</v>
      </c>
      <c r="I1383">
        <v>1322.5758057</v>
      </c>
      <c r="J1383">
        <v>1318.8532714999999</v>
      </c>
      <c r="K1383">
        <v>2400</v>
      </c>
      <c r="L1383">
        <v>0</v>
      </c>
      <c r="M1383">
        <v>0</v>
      </c>
      <c r="N1383">
        <v>2400</v>
      </c>
    </row>
    <row r="1384" spans="1:14" x14ac:dyDescent="0.25">
      <c r="A1384">
        <v>755.74553000000003</v>
      </c>
      <c r="B1384" s="1">
        <f>DATE(2012,5,25) + TIME(17,53,33)</f>
        <v>41054.745520833334</v>
      </c>
      <c r="C1384">
        <v>80</v>
      </c>
      <c r="D1384">
        <v>79.964859008999994</v>
      </c>
      <c r="E1384">
        <v>50</v>
      </c>
      <c r="F1384">
        <v>48.279777527</v>
      </c>
      <c r="G1384">
        <v>1345.0444336</v>
      </c>
      <c r="H1384">
        <v>1341.1291504000001</v>
      </c>
      <c r="I1384">
        <v>1322.5711670000001</v>
      </c>
      <c r="J1384">
        <v>1318.847168</v>
      </c>
      <c r="K1384">
        <v>2400</v>
      </c>
      <c r="L1384">
        <v>0</v>
      </c>
      <c r="M1384">
        <v>0</v>
      </c>
      <c r="N1384">
        <v>2400</v>
      </c>
    </row>
    <row r="1385" spans="1:14" x14ac:dyDescent="0.25">
      <c r="A1385">
        <v>756.261166</v>
      </c>
      <c r="B1385" s="1">
        <f>DATE(2012,5,26) + TIME(6,16,4)</f>
        <v>41055.261157407411</v>
      </c>
      <c r="C1385">
        <v>80</v>
      </c>
      <c r="D1385">
        <v>79.964813231999997</v>
      </c>
      <c r="E1385">
        <v>50</v>
      </c>
      <c r="F1385">
        <v>48.252670287999997</v>
      </c>
      <c r="G1385">
        <v>1345.0313721</v>
      </c>
      <c r="H1385">
        <v>1341.1225586</v>
      </c>
      <c r="I1385">
        <v>1322.5664062000001</v>
      </c>
      <c r="J1385">
        <v>1318.8408202999999</v>
      </c>
      <c r="K1385">
        <v>2400</v>
      </c>
      <c r="L1385">
        <v>0</v>
      </c>
      <c r="M1385">
        <v>0</v>
      </c>
      <c r="N1385">
        <v>2400</v>
      </c>
    </row>
    <row r="1386" spans="1:14" x14ac:dyDescent="0.25">
      <c r="A1386">
        <v>756.79231200000004</v>
      </c>
      <c r="B1386" s="1">
        <f>DATE(2012,5,26) + TIME(19,0,55)</f>
        <v>41055.792303240742</v>
      </c>
      <c r="C1386">
        <v>80</v>
      </c>
      <c r="D1386">
        <v>79.964767456000004</v>
      </c>
      <c r="E1386">
        <v>50</v>
      </c>
      <c r="F1386">
        <v>48.225025176999999</v>
      </c>
      <c r="G1386">
        <v>1345.0181885</v>
      </c>
      <c r="H1386">
        <v>1341.1157227000001</v>
      </c>
      <c r="I1386">
        <v>1322.5614014</v>
      </c>
      <c r="J1386">
        <v>1318.8342285000001</v>
      </c>
      <c r="K1386">
        <v>2400</v>
      </c>
      <c r="L1386">
        <v>0</v>
      </c>
      <c r="M1386">
        <v>0</v>
      </c>
      <c r="N1386">
        <v>2400</v>
      </c>
    </row>
    <row r="1387" spans="1:14" x14ac:dyDescent="0.25">
      <c r="A1387">
        <v>757.34101699999997</v>
      </c>
      <c r="B1387" s="1">
        <f>DATE(2012,5,27) + TIME(8,11,3)</f>
        <v>41056.341006944444</v>
      </c>
      <c r="C1387">
        <v>80</v>
      </c>
      <c r="D1387">
        <v>79.964721679999997</v>
      </c>
      <c r="E1387">
        <v>50</v>
      </c>
      <c r="F1387">
        <v>48.196754456000001</v>
      </c>
      <c r="G1387">
        <v>1345.0047606999999</v>
      </c>
      <c r="H1387">
        <v>1341.1090088000001</v>
      </c>
      <c r="I1387">
        <v>1322.5562743999999</v>
      </c>
      <c r="J1387">
        <v>1318.8272704999999</v>
      </c>
      <c r="K1387">
        <v>2400</v>
      </c>
      <c r="L1387">
        <v>0</v>
      </c>
      <c r="M1387">
        <v>0</v>
      </c>
      <c r="N1387">
        <v>2400</v>
      </c>
    </row>
    <row r="1388" spans="1:14" x14ac:dyDescent="0.25">
      <c r="A1388">
        <v>757.89994799999999</v>
      </c>
      <c r="B1388" s="1">
        <f>DATE(2012,5,27) + TIME(21,35,55)</f>
        <v>41056.899942129632</v>
      </c>
      <c r="C1388">
        <v>80</v>
      </c>
      <c r="D1388">
        <v>79.964675903</v>
      </c>
      <c r="E1388">
        <v>50</v>
      </c>
      <c r="F1388">
        <v>48.168071746999999</v>
      </c>
      <c r="G1388">
        <v>1344.9910889</v>
      </c>
      <c r="H1388">
        <v>1341.1020507999999</v>
      </c>
      <c r="I1388">
        <v>1322.5507812000001</v>
      </c>
      <c r="J1388">
        <v>1318.8201904</v>
      </c>
      <c r="K1388">
        <v>2400</v>
      </c>
      <c r="L1388">
        <v>0</v>
      </c>
      <c r="M1388">
        <v>0</v>
      </c>
      <c r="N1388">
        <v>2400</v>
      </c>
    </row>
    <row r="1389" spans="1:14" x14ac:dyDescent="0.25">
      <c r="A1389">
        <v>758.46021599999995</v>
      </c>
      <c r="B1389" s="1">
        <f>DATE(2012,5,28) + TIME(11,2,42)</f>
        <v>41057.46020833333</v>
      </c>
      <c r="C1389">
        <v>80</v>
      </c>
      <c r="D1389">
        <v>79.964630127000007</v>
      </c>
      <c r="E1389">
        <v>50</v>
      </c>
      <c r="F1389">
        <v>48.139293670999997</v>
      </c>
      <c r="G1389">
        <v>1344.9775391000001</v>
      </c>
      <c r="H1389">
        <v>1341.0950928</v>
      </c>
      <c r="I1389">
        <v>1322.5452881000001</v>
      </c>
      <c r="J1389">
        <v>1318.8127440999999</v>
      </c>
      <c r="K1389">
        <v>2400</v>
      </c>
      <c r="L1389">
        <v>0</v>
      </c>
      <c r="M1389">
        <v>0</v>
      </c>
      <c r="N1389">
        <v>2400</v>
      </c>
    </row>
    <row r="1390" spans="1:14" x14ac:dyDescent="0.25">
      <c r="A1390">
        <v>759.02295600000002</v>
      </c>
      <c r="B1390" s="1">
        <f>DATE(2012,5,29) + TIME(0,33,3)</f>
        <v>41058.022951388892</v>
      </c>
      <c r="C1390">
        <v>80</v>
      </c>
      <c r="D1390">
        <v>79.964584350999999</v>
      </c>
      <c r="E1390">
        <v>50</v>
      </c>
      <c r="F1390">
        <v>48.110481262</v>
      </c>
      <c r="G1390">
        <v>1344.9639893000001</v>
      </c>
      <c r="H1390">
        <v>1341.0882568</v>
      </c>
      <c r="I1390">
        <v>1322.5395507999999</v>
      </c>
      <c r="J1390">
        <v>1318.8051757999999</v>
      </c>
      <c r="K1390">
        <v>2400</v>
      </c>
      <c r="L1390">
        <v>0</v>
      </c>
      <c r="M1390">
        <v>0</v>
      </c>
      <c r="N1390">
        <v>2400</v>
      </c>
    </row>
    <row r="1391" spans="1:14" x14ac:dyDescent="0.25">
      <c r="A1391">
        <v>759.58930799999996</v>
      </c>
      <c r="B1391" s="1">
        <f>DATE(2012,5,29) + TIME(14,8,36)</f>
        <v>41058.589305555557</v>
      </c>
      <c r="C1391">
        <v>80</v>
      </c>
      <c r="D1391">
        <v>79.964546204000001</v>
      </c>
      <c r="E1391">
        <v>50</v>
      </c>
      <c r="F1391">
        <v>48.081649779999999</v>
      </c>
      <c r="G1391">
        <v>1344.9508057</v>
      </c>
      <c r="H1391">
        <v>1341.0814209</v>
      </c>
      <c r="I1391">
        <v>1322.5338135</v>
      </c>
      <c r="J1391">
        <v>1318.7973632999999</v>
      </c>
      <c r="K1391">
        <v>2400</v>
      </c>
      <c r="L1391">
        <v>0</v>
      </c>
      <c r="M1391">
        <v>0</v>
      </c>
      <c r="N1391">
        <v>2400</v>
      </c>
    </row>
    <row r="1392" spans="1:14" x14ac:dyDescent="0.25">
      <c r="A1392">
        <v>760.16043300000001</v>
      </c>
      <c r="B1392" s="1">
        <f>DATE(2012,5,30) + TIME(3,51,1)</f>
        <v>41059.160428240742</v>
      </c>
      <c r="C1392">
        <v>80</v>
      </c>
      <c r="D1392">
        <v>79.964500427000004</v>
      </c>
      <c r="E1392">
        <v>50</v>
      </c>
      <c r="F1392">
        <v>48.052780151</v>
      </c>
      <c r="G1392">
        <v>1344.9376221</v>
      </c>
      <c r="H1392">
        <v>1341.074707</v>
      </c>
      <c r="I1392">
        <v>1322.5279541</v>
      </c>
      <c r="J1392">
        <v>1318.7895507999999</v>
      </c>
      <c r="K1392">
        <v>2400</v>
      </c>
      <c r="L1392">
        <v>0</v>
      </c>
      <c r="M1392">
        <v>0</v>
      </c>
      <c r="N1392">
        <v>2400</v>
      </c>
    </row>
    <row r="1393" spans="1:14" x14ac:dyDescent="0.25">
      <c r="A1393">
        <v>760.73748799999998</v>
      </c>
      <c r="B1393" s="1">
        <f>DATE(2012,5,30) + TIME(17,41,58)</f>
        <v>41059.737476851849</v>
      </c>
      <c r="C1393">
        <v>80</v>
      </c>
      <c r="D1393">
        <v>79.964454650999997</v>
      </c>
      <c r="E1393">
        <v>50</v>
      </c>
      <c r="F1393">
        <v>48.023853301999999</v>
      </c>
      <c r="G1393">
        <v>1344.9245605000001</v>
      </c>
      <c r="H1393">
        <v>1341.0681152</v>
      </c>
      <c r="I1393">
        <v>1322.5219727000001</v>
      </c>
      <c r="J1393">
        <v>1318.7814940999999</v>
      </c>
      <c r="K1393">
        <v>2400</v>
      </c>
      <c r="L1393">
        <v>0</v>
      </c>
      <c r="M1393">
        <v>0</v>
      </c>
      <c r="N1393">
        <v>2400</v>
      </c>
    </row>
    <row r="1394" spans="1:14" x14ac:dyDescent="0.25">
      <c r="A1394">
        <v>761.32181100000003</v>
      </c>
      <c r="B1394" s="1">
        <f>DATE(2012,5,31) + TIME(7,43,24)</f>
        <v>41060.321805555555</v>
      </c>
      <c r="C1394">
        <v>80</v>
      </c>
      <c r="D1394">
        <v>79.964408875000004</v>
      </c>
      <c r="E1394">
        <v>50</v>
      </c>
      <c r="F1394">
        <v>47.994815826</v>
      </c>
      <c r="G1394">
        <v>1344.911499</v>
      </c>
      <c r="H1394">
        <v>1341.0614014</v>
      </c>
      <c r="I1394">
        <v>1322.5158690999999</v>
      </c>
      <c r="J1394">
        <v>1318.7731934000001</v>
      </c>
      <c r="K1394">
        <v>2400</v>
      </c>
      <c r="L1394">
        <v>0</v>
      </c>
      <c r="M1394">
        <v>0</v>
      </c>
      <c r="N1394">
        <v>2400</v>
      </c>
    </row>
    <row r="1395" spans="1:14" x14ac:dyDescent="0.25">
      <c r="A1395">
        <v>761.91126899999995</v>
      </c>
      <c r="B1395" s="1">
        <f>DATE(2012,5,31) + TIME(21,52,13)</f>
        <v>41060.911261574074</v>
      </c>
      <c r="C1395">
        <v>80</v>
      </c>
      <c r="D1395">
        <v>79.964370728000006</v>
      </c>
      <c r="E1395">
        <v>50</v>
      </c>
      <c r="F1395">
        <v>47.965724944999998</v>
      </c>
      <c r="G1395">
        <v>1344.8985596</v>
      </c>
      <c r="H1395">
        <v>1341.0548096</v>
      </c>
      <c r="I1395">
        <v>1322.5095214999999</v>
      </c>
      <c r="J1395">
        <v>1318.7646483999999</v>
      </c>
      <c r="K1395">
        <v>2400</v>
      </c>
      <c r="L1395">
        <v>0</v>
      </c>
      <c r="M1395">
        <v>0</v>
      </c>
      <c r="N1395">
        <v>2400</v>
      </c>
    </row>
    <row r="1396" spans="1:14" x14ac:dyDescent="0.25">
      <c r="A1396">
        <v>762</v>
      </c>
      <c r="B1396" s="1">
        <f>DATE(2012,6,1) + TIME(0,0,0)</f>
        <v>41061</v>
      </c>
      <c r="C1396">
        <v>80</v>
      </c>
      <c r="D1396">
        <v>79.964355468999997</v>
      </c>
      <c r="E1396">
        <v>50</v>
      </c>
      <c r="F1396">
        <v>47.959121703999998</v>
      </c>
      <c r="G1396">
        <v>1344.8857422000001</v>
      </c>
      <c r="H1396">
        <v>1341.0482178</v>
      </c>
      <c r="I1396">
        <v>1322.503418</v>
      </c>
      <c r="J1396">
        <v>1318.7574463000001</v>
      </c>
      <c r="K1396">
        <v>2400</v>
      </c>
      <c r="L1396">
        <v>0</v>
      </c>
      <c r="M1396">
        <v>0</v>
      </c>
      <c r="N1396">
        <v>2400</v>
      </c>
    </row>
    <row r="1397" spans="1:14" x14ac:dyDescent="0.25">
      <c r="A1397">
        <v>762.59687399999996</v>
      </c>
      <c r="B1397" s="1">
        <f>DATE(2012,6,1) + TIME(14,19,29)</f>
        <v>41061.596863425926</v>
      </c>
      <c r="C1397">
        <v>80</v>
      </c>
      <c r="D1397">
        <v>79.964317321999999</v>
      </c>
      <c r="E1397">
        <v>50</v>
      </c>
      <c r="F1397">
        <v>47.930843353</v>
      </c>
      <c r="G1397">
        <v>1344.8837891000001</v>
      </c>
      <c r="H1397">
        <v>1341.0472411999999</v>
      </c>
      <c r="I1397">
        <v>1322.5020752</v>
      </c>
      <c r="J1397">
        <v>1318.7545166</v>
      </c>
      <c r="K1397">
        <v>2400</v>
      </c>
      <c r="L1397">
        <v>0</v>
      </c>
      <c r="M1397">
        <v>0</v>
      </c>
      <c r="N1397">
        <v>2400</v>
      </c>
    </row>
    <row r="1398" spans="1:14" x14ac:dyDescent="0.25">
      <c r="A1398">
        <v>763.204565</v>
      </c>
      <c r="B1398" s="1">
        <f>DATE(2012,6,2) + TIME(4,54,34)</f>
        <v>41062.204560185186</v>
      </c>
      <c r="C1398">
        <v>80</v>
      </c>
      <c r="D1398">
        <v>79.964279175000001</v>
      </c>
      <c r="E1398">
        <v>50</v>
      </c>
      <c r="F1398">
        <v>47.901996613000001</v>
      </c>
      <c r="G1398">
        <v>1344.8709716999999</v>
      </c>
      <c r="H1398">
        <v>1341.0407714999999</v>
      </c>
      <c r="I1398">
        <v>1322.4954834</v>
      </c>
      <c r="J1398">
        <v>1318.7456055</v>
      </c>
      <c r="K1398">
        <v>2400</v>
      </c>
      <c r="L1398">
        <v>0</v>
      </c>
      <c r="M1398">
        <v>0</v>
      </c>
      <c r="N1398">
        <v>2400</v>
      </c>
    </row>
    <row r="1399" spans="1:14" x14ac:dyDescent="0.25">
      <c r="A1399">
        <v>763.82351100000005</v>
      </c>
      <c r="B1399" s="1">
        <f>DATE(2012,6,2) + TIME(19,45,51)</f>
        <v>41062.823506944442</v>
      </c>
      <c r="C1399">
        <v>80</v>
      </c>
      <c r="D1399">
        <v>79.964241028000004</v>
      </c>
      <c r="E1399">
        <v>50</v>
      </c>
      <c r="F1399">
        <v>47.872673034999998</v>
      </c>
      <c r="G1399">
        <v>1344.8581543</v>
      </c>
      <c r="H1399">
        <v>1341.0341797000001</v>
      </c>
      <c r="I1399">
        <v>1322.4887695</v>
      </c>
      <c r="J1399">
        <v>1318.7364502</v>
      </c>
      <c r="K1399">
        <v>2400</v>
      </c>
      <c r="L1399">
        <v>0</v>
      </c>
      <c r="M1399">
        <v>0</v>
      </c>
      <c r="N1399">
        <v>2400</v>
      </c>
    </row>
    <row r="1400" spans="1:14" x14ac:dyDescent="0.25">
      <c r="A1400">
        <v>764.45556299999998</v>
      </c>
      <c r="B1400" s="1">
        <f>DATE(2012,6,3) + TIME(10,56,0)</f>
        <v>41063.455555555556</v>
      </c>
      <c r="C1400">
        <v>80</v>
      </c>
      <c r="D1400">
        <v>79.964195251000007</v>
      </c>
      <c r="E1400">
        <v>50</v>
      </c>
      <c r="F1400">
        <v>47.842899322999997</v>
      </c>
      <c r="G1400">
        <v>1344.8452147999999</v>
      </c>
      <c r="H1400">
        <v>1341.0275879000001</v>
      </c>
      <c r="I1400">
        <v>1322.4818115</v>
      </c>
      <c r="J1400">
        <v>1318.7269286999999</v>
      </c>
      <c r="K1400">
        <v>2400</v>
      </c>
      <c r="L1400">
        <v>0</v>
      </c>
      <c r="M1400">
        <v>0</v>
      </c>
      <c r="N1400">
        <v>2400</v>
      </c>
    </row>
    <row r="1401" spans="1:14" x14ac:dyDescent="0.25">
      <c r="A1401">
        <v>765.10277199999996</v>
      </c>
      <c r="B1401" s="1">
        <f>DATE(2012,6,4) + TIME(2,27,59)</f>
        <v>41064.102766203701</v>
      </c>
      <c r="C1401">
        <v>80</v>
      </c>
      <c r="D1401">
        <v>79.964157103999995</v>
      </c>
      <c r="E1401">
        <v>50</v>
      </c>
      <c r="F1401">
        <v>47.812641143999997</v>
      </c>
      <c r="G1401">
        <v>1344.8322754000001</v>
      </c>
      <c r="H1401">
        <v>1341.020874</v>
      </c>
      <c r="I1401">
        <v>1322.4746094</v>
      </c>
      <c r="J1401">
        <v>1318.7170410000001</v>
      </c>
      <c r="K1401">
        <v>2400</v>
      </c>
      <c r="L1401">
        <v>0</v>
      </c>
      <c r="M1401">
        <v>0</v>
      </c>
      <c r="N1401">
        <v>2400</v>
      </c>
    </row>
    <row r="1402" spans="1:14" x14ac:dyDescent="0.25">
      <c r="A1402">
        <v>765.76418899999999</v>
      </c>
      <c r="B1402" s="1">
        <f>DATE(2012,6,4) + TIME(18,20,25)</f>
        <v>41064.764178240737</v>
      </c>
      <c r="C1402">
        <v>80</v>
      </c>
      <c r="D1402">
        <v>79.964111328000001</v>
      </c>
      <c r="E1402">
        <v>50</v>
      </c>
      <c r="F1402">
        <v>47.781940460000001</v>
      </c>
      <c r="G1402">
        <v>1344.8192139</v>
      </c>
      <c r="H1402">
        <v>1341.0141602000001</v>
      </c>
      <c r="I1402">
        <v>1322.4671631000001</v>
      </c>
      <c r="J1402">
        <v>1318.7067870999999</v>
      </c>
      <c r="K1402">
        <v>2400</v>
      </c>
      <c r="L1402">
        <v>0</v>
      </c>
      <c r="M1402">
        <v>0</v>
      </c>
      <c r="N1402">
        <v>2400</v>
      </c>
    </row>
    <row r="1403" spans="1:14" x14ac:dyDescent="0.25">
      <c r="A1403">
        <v>766.43976799999996</v>
      </c>
      <c r="B1403" s="1">
        <f>DATE(2012,6,5) + TIME(10,33,15)</f>
        <v>41065.439756944441</v>
      </c>
      <c r="C1403">
        <v>80</v>
      </c>
      <c r="D1403">
        <v>79.964073181000003</v>
      </c>
      <c r="E1403">
        <v>50</v>
      </c>
      <c r="F1403">
        <v>47.750804901000002</v>
      </c>
      <c r="G1403">
        <v>1344.8061522999999</v>
      </c>
      <c r="H1403">
        <v>1341.0074463000001</v>
      </c>
      <c r="I1403">
        <v>1322.4593506000001</v>
      </c>
      <c r="J1403">
        <v>1318.6961670000001</v>
      </c>
      <c r="K1403">
        <v>2400</v>
      </c>
      <c r="L1403">
        <v>0</v>
      </c>
      <c r="M1403">
        <v>0</v>
      </c>
      <c r="N1403">
        <v>2400</v>
      </c>
    </row>
    <row r="1404" spans="1:14" x14ac:dyDescent="0.25">
      <c r="A1404">
        <v>767.13175100000001</v>
      </c>
      <c r="B1404" s="1">
        <f>DATE(2012,6,6) + TIME(3,9,43)</f>
        <v>41066.131747685184</v>
      </c>
      <c r="C1404">
        <v>80</v>
      </c>
      <c r="D1404">
        <v>79.964027404999996</v>
      </c>
      <c r="E1404">
        <v>50</v>
      </c>
      <c r="F1404">
        <v>47.719203948999997</v>
      </c>
      <c r="G1404">
        <v>1344.7928466999999</v>
      </c>
      <c r="H1404">
        <v>1341.0006103999999</v>
      </c>
      <c r="I1404">
        <v>1322.4512939000001</v>
      </c>
      <c r="J1404">
        <v>1318.6851807</v>
      </c>
      <c r="K1404">
        <v>2400</v>
      </c>
      <c r="L1404">
        <v>0</v>
      </c>
      <c r="M1404">
        <v>0</v>
      </c>
      <c r="N1404">
        <v>2400</v>
      </c>
    </row>
    <row r="1405" spans="1:14" x14ac:dyDescent="0.25">
      <c r="A1405">
        <v>767.842535</v>
      </c>
      <c r="B1405" s="1">
        <f>DATE(2012,6,6) + TIME(20,13,15)</f>
        <v>41066.842534722222</v>
      </c>
      <c r="C1405">
        <v>80</v>
      </c>
      <c r="D1405">
        <v>79.963989257999998</v>
      </c>
      <c r="E1405">
        <v>50</v>
      </c>
      <c r="F1405">
        <v>47.687061309999997</v>
      </c>
      <c r="G1405">
        <v>1344.7795410000001</v>
      </c>
      <c r="H1405">
        <v>1340.9936522999999</v>
      </c>
      <c r="I1405">
        <v>1322.4429932</v>
      </c>
      <c r="J1405">
        <v>1318.6737060999999</v>
      </c>
      <c r="K1405">
        <v>2400</v>
      </c>
      <c r="L1405">
        <v>0</v>
      </c>
      <c r="M1405">
        <v>0</v>
      </c>
      <c r="N1405">
        <v>2400</v>
      </c>
    </row>
    <row r="1406" spans="1:14" x14ac:dyDescent="0.25">
      <c r="A1406">
        <v>768.57480699999996</v>
      </c>
      <c r="B1406" s="1">
        <f>DATE(2012,6,7) + TIME(13,47,43)</f>
        <v>41067.574803240743</v>
      </c>
      <c r="C1406">
        <v>80</v>
      </c>
      <c r="D1406">
        <v>79.963951111</v>
      </c>
      <c r="E1406">
        <v>50</v>
      </c>
      <c r="F1406">
        <v>47.654304504000002</v>
      </c>
      <c r="G1406">
        <v>1344.7661132999999</v>
      </c>
      <c r="H1406">
        <v>1340.9866943</v>
      </c>
      <c r="I1406">
        <v>1322.4344481999999</v>
      </c>
      <c r="J1406">
        <v>1318.6617432</v>
      </c>
      <c r="K1406">
        <v>2400</v>
      </c>
      <c r="L1406">
        <v>0</v>
      </c>
      <c r="M1406">
        <v>0</v>
      </c>
      <c r="N1406">
        <v>2400</v>
      </c>
    </row>
    <row r="1407" spans="1:14" x14ac:dyDescent="0.25">
      <c r="A1407">
        <v>769.31203500000004</v>
      </c>
      <c r="B1407" s="1">
        <f>DATE(2012,6,8) + TIME(7,29,19)</f>
        <v>41068.312025462961</v>
      </c>
      <c r="C1407">
        <v>80</v>
      </c>
      <c r="D1407">
        <v>79.963905334000003</v>
      </c>
      <c r="E1407">
        <v>50</v>
      </c>
      <c r="F1407">
        <v>47.621303558000001</v>
      </c>
      <c r="G1407">
        <v>1344.7523193</v>
      </c>
      <c r="H1407">
        <v>1340.9796143000001</v>
      </c>
      <c r="I1407">
        <v>1322.4254149999999</v>
      </c>
      <c r="J1407">
        <v>1318.6492920000001</v>
      </c>
      <c r="K1407">
        <v>2400</v>
      </c>
      <c r="L1407">
        <v>0</v>
      </c>
      <c r="M1407">
        <v>0</v>
      </c>
      <c r="N1407">
        <v>2400</v>
      </c>
    </row>
    <row r="1408" spans="1:14" x14ac:dyDescent="0.25">
      <c r="A1408">
        <v>770.05000600000005</v>
      </c>
      <c r="B1408" s="1">
        <f>DATE(2012,6,9) + TIME(1,12,0)</f>
        <v>41069.050000000003</v>
      </c>
      <c r="C1408">
        <v>80</v>
      </c>
      <c r="D1408">
        <v>79.963867187999995</v>
      </c>
      <c r="E1408">
        <v>50</v>
      </c>
      <c r="F1408">
        <v>47.588302612</v>
      </c>
      <c r="G1408">
        <v>1344.7387695</v>
      </c>
      <c r="H1408">
        <v>1340.9725341999999</v>
      </c>
      <c r="I1408">
        <v>1322.4162598</v>
      </c>
      <c r="J1408">
        <v>1318.6365966999999</v>
      </c>
      <c r="K1408">
        <v>2400</v>
      </c>
      <c r="L1408">
        <v>0</v>
      </c>
      <c r="M1408">
        <v>0</v>
      </c>
      <c r="N1408">
        <v>2400</v>
      </c>
    </row>
    <row r="1409" spans="1:14" x14ac:dyDescent="0.25">
      <c r="A1409">
        <v>770.79041500000005</v>
      </c>
      <c r="B1409" s="1">
        <f>DATE(2012,6,9) + TIME(18,58,11)</f>
        <v>41069.790405092594</v>
      </c>
      <c r="C1409">
        <v>80</v>
      </c>
      <c r="D1409">
        <v>79.963821410999998</v>
      </c>
      <c r="E1409">
        <v>50</v>
      </c>
      <c r="F1409">
        <v>47.555366515999999</v>
      </c>
      <c r="G1409">
        <v>1344.7254639</v>
      </c>
      <c r="H1409">
        <v>1340.9655762</v>
      </c>
      <c r="I1409">
        <v>1322.4068603999999</v>
      </c>
      <c r="J1409">
        <v>1318.6236572</v>
      </c>
      <c r="K1409">
        <v>2400</v>
      </c>
      <c r="L1409">
        <v>0</v>
      </c>
      <c r="M1409">
        <v>0</v>
      </c>
      <c r="N1409">
        <v>2400</v>
      </c>
    </row>
    <row r="1410" spans="1:14" x14ac:dyDescent="0.25">
      <c r="A1410">
        <v>771.53498400000001</v>
      </c>
      <c r="B1410" s="1">
        <f>DATE(2012,6,10) + TIME(12,50,22)</f>
        <v>41070.53497685185</v>
      </c>
      <c r="C1410">
        <v>80</v>
      </c>
      <c r="D1410">
        <v>79.963783264</v>
      </c>
      <c r="E1410">
        <v>50</v>
      </c>
      <c r="F1410">
        <v>47.522506714000002</v>
      </c>
      <c r="G1410">
        <v>1344.7121582</v>
      </c>
      <c r="H1410">
        <v>1340.9587402</v>
      </c>
      <c r="I1410">
        <v>1322.3973389</v>
      </c>
      <c r="J1410">
        <v>1318.6103516000001</v>
      </c>
      <c r="K1410">
        <v>2400</v>
      </c>
      <c r="L1410">
        <v>0</v>
      </c>
      <c r="M1410">
        <v>0</v>
      </c>
      <c r="N1410">
        <v>2400</v>
      </c>
    </row>
    <row r="1411" spans="1:14" x14ac:dyDescent="0.25">
      <c r="A1411">
        <v>772.28542100000004</v>
      </c>
      <c r="B1411" s="1">
        <f>DATE(2012,6,11) + TIME(6,51,0)</f>
        <v>41071.285416666666</v>
      </c>
      <c r="C1411">
        <v>80</v>
      </c>
      <c r="D1411">
        <v>79.963745117000002</v>
      </c>
      <c r="E1411">
        <v>50</v>
      </c>
      <c r="F1411">
        <v>47.489688872999999</v>
      </c>
      <c r="G1411">
        <v>1344.6990966999999</v>
      </c>
      <c r="H1411">
        <v>1340.9519043</v>
      </c>
      <c r="I1411">
        <v>1322.3876952999999</v>
      </c>
      <c r="J1411">
        <v>1318.5969238</v>
      </c>
      <c r="K1411">
        <v>2400</v>
      </c>
      <c r="L1411">
        <v>0</v>
      </c>
      <c r="M1411">
        <v>0</v>
      </c>
      <c r="N1411">
        <v>2400</v>
      </c>
    </row>
    <row r="1412" spans="1:14" x14ac:dyDescent="0.25">
      <c r="A1412">
        <v>773.04425400000002</v>
      </c>
      <c r="B1412" s="1">
        <f>DATE(2012,6,12) + TIME(1,3,43)</f>
        <v>41072.044247685182</v>
      </c>
      <c r="C1412">
        <v>80</v>
      </c>
      <c r="D1412">
        <v>79.963706970000004</v>
      </c>
      <c r="E1412">
        <v>50</v>
      </c>
      <c r="F1412">
        <v>47.456840515000003</v>
      </c>
      <c r="G1412">
        <v>1344.6860352000001</v>
      </c>
      <c r="H1412">
        <v>1340.9450684000001</v>
      </c>
      <c r="I1412">
        <v>1322.3778076000001</v>
      </c>
      <c r="J1412">
        <v>1318.5830077999999</v>
      </c>
      <c r="K1412">
        <v>2400</v>
      </c>
      <c r="L1412">
        <v>0</v>
      </c>
      <c r="M1412">
        <v>0</v>
      </c>
      <c r="N1412">
        <v>2400</v>
      </c>
    </row>
    <row r="1413" spans="1:14" x14ac:dyDescent="0.25">
      <c r="A1413">
        <v>773.81416899999999</v>
      </c>
      <c r="B1413" s="1">
        <f>DATE(2012,6,12) + TIME(19,32,24)</f>
        <v>41072.814166666663</v>
      </c>
      <c r="C1413">
        <v>80</v>
      </c>
      <c r="D1413">
        <v>79.963668823000006</v>
      </c>
      <c r="E1413">
        <v>50</v>
      </c>
      <c r="F1413">
        <v>47.423881530999999</v>
      </c>
      <c r="G1413">
        <v>1344.6730957</v>
      </c>
      <c r="H1413">
        <v>1340.9382324000001</v>
      </c>
      <c r="I1413">
        <v>1322.3677978999999</v>
      </c>
      <c r="J1413">
        <v>1318.5688477000001</v>
      </c>
      <c r="K1413">
        <v>2400</v>
      </c>
      <c r="L1413">
        <v>0</v>
      </c>
      <c r="M1413">
        <v>0</v>
      </c>
      <c r="N1413">
        <v>2400</v>
      </c>
    </row>
    <row r="1414" spans="1:14" x14ac:dyDescent="0.25">
      <c r="A1414">
        <v>774.58922700000005</v>
      </c>
      <c r="B1414" s="1">
        <f>DATE(2012,6,13) + TIME(14,8,29)</f>
        <v>41073.589224537034</v>
      </c>
      <c r="C1414">
        <v>80</v>
      </c>
      <c r="D1414">
        <v>79.963630675999994</v>
      </c>
      <c r="E1414">
        <v>50</v>
      </c>
      <c r="F1414">
        <v>47.390903473000002</v>
      </c>
      <c r="G1414">
        <v>1344.6601562000001</v>
      </c>
      <c r="H1414">
        <v>1340.9313964999999</v>
      </c>
      <c r="I1414">
        <v>1322.3574219</v>
      </c>
      <c r="J1414">
        <v>1318.5543213000001</v>
      </c>
      <c r="K1414">
        <v>2400</v>
      </c>
      <c r="L1414">
        <v>0</v>
      </c>
      <c r="M1414">
        <v>0</v>
      </c>
      <c r="N1414">
        <v>2400</v>
      </c>
    </row>
    <row r="1415" spans="1:14" x14ac:dyDescent="0.25">
      <c r="A1415">
        <v>775.37538800000004</v>
      </c>
      <c r="B1415" s="1">
        <f>DATE(2012,6,14) + TIME(9,0,33)</f>
        <v>41074.375381944446</v>
      </c>
      <c r="C1415">
        <v>80</v>
      </c>
      <c r="D1415">
        <v>79.963592528999996</v>
      </c>
      <c r="E1415">
        <v>50</v>
      </c>
      <c r="F1415">
        <v>47.357810974000003</v>
      </c>
      <c r="G1415">
        <v>1344.6473389</v>
      </c>
      <c r="H1415">
        <v>1340.9246826000001</v>
      </c>
      <c r="I1415">
        <v>1322.3468018000001</v>
      </c>
      <c r="J1415">
        <v>1318.5395507999999</v>
      </c>
      <c r="K1415">
        <v>2400</v>
      </c>
      <c r="L1415">
        <v>0</v>
      </c>
      <c r="M1415">
        <v>0</v>
      </c>
      <c r="N1415">
        <v>2400</v>
      </c>
    </row>
    <row r="1416" spans="1:14" x14ac:dyDescent="0.25">
      <c r="A1416">
        <v>776.17539599999998</v>
      </c>
      <c r="B1416" s="1">
        <f>DATE(2012,6,15) + TIME(4,12,34)</f>
        <v>41075.175393518519</v>
      </c>
      <c r="C1416">
        <v>80</v>
      </c>
      <c r="D1416">
        <v>79.963554381999998</v>
      </c>
      <c r="E1416">
        <v>50</v>
      </c>
      <c r="F1416">
        <v>47.324512482000003</v>
      </c>
      <c r="G1416">
        <v>1344.6343993999999</v>
      </c>
      <c r="H1416">
        <v>1340.9178466999999</v>
      </c>
      <c r="I1416">
        <v>1322.3360596</v>
      </c>
      <c r="J1416">
        <v>1318.5241699000001</v>
      </c>
      <c r="K1416">
        <v>2400</v>
      </c>
      <c r="L1416">
        <v>0</v>
      </c>
      <c r="M1416">
        <v>0</v>
      </c>
      <c r="N1416">
        <v>2400</v>
      </c>
    </row>
    <row r="1417" spans="1:14" x14ac:dyDescent="0.25">
      <c r="A1417">
        <v>776.99232800000004</v>
      </c>
      <c r="B1417" s="1">
        <f>DATE(2012,6,15) + TIME(23,48,57)</f>
        <v>41075.992326388892</v>
      </c>
      <c r="C1417">
        <v>80</v>
      </c>
      <c r="D1417">
        <v>79.963516235</v>
      </c>
      <c r="E1417">
        <v>50</v>
      </c>
      <c r="F1417">
        <v>47.290901183999999</v>
      </c>
      <c r="G1417">
        <v>1344.621582</v>
      </c>
      <c r="H1417">
        <v>1340.9110106999999</v>
      </c>
      <c r="I1417">
        <v>1322.3248291</v>
      </c>
      <c r="J1417">
        <v>1318.5084228999999</v>
      </c>
      <c r="K1417">
        <v>2400</v>
      </c>
      <c r="L1417">
        <v>0</v>
      </c>
      <c r="M1417">
        <v>0</v>
      </c>
      <c r="N1417">
        <v>2400</v>
      </c>
    </row>
    <row r="1418" spans="1:14" x14ac:dyDescent="0.25">
      <c r="A1418">
        <v>777.82868299999996</v>
      </c>
      <c r="B1418" s="1">
        <f>DATE(2012,6,16) + TIME(19,53,18)</f>
        <v>41076.828680555554</v>
      </c>
      <c r="C1418">
        <v>80</v>
      </c>
      <c r="D1418">
        <v>79.963478088000002</v>
      </c>
      <c r="E1418">
        <v>50</v>
      </c>
      <c r="F1418">
        <v>47.256877899000003</v>
      </c>
      <c r="G1418">
        <v>1344.6085204999999</v>
      </c>
      <c r="H1418">
        <v>1340.9041748</v>
      </c>
      <c r="I1418">
        <v>1322.3133545000001</v>
      </c>
      <c r="J1418">
        <v>1318.4921875</v>
      </c>
      <c r="K1418">
        <v>2400</v>
      </c>
      <c r="L1418">
        <v>0</v>
      </c>
      <c r="M1418">
        <v>0</v>
      </c>
      <c r="N1418">
        <v>2400</v>
      </c>
    </row>
    <row r="1419" spans="1:14" x14ac:dyDescent="0.25">
      <c r="A1419">
        <v>778.68758100000002</v>
      </c>
      <c r="B1419" s="1">
        <f>DATE(2012,6,17) + TIME(16,30,7)</f>
        <v>41077.687581018516</v>
      </c>
      <c r="C1419">
        <v>80</v>
      </c>
      <c r="D1419">
        <v>79.963439941000004</v>
      </c>
      <c r="E1419">
        <v>50</v>
      </c>
      <c r="F1419">
        <v>47.222347259999999</v>
      </c>
      <c r="G1419">
        <v>1344.5954589999999</v>
      </c>
      <c r="H1419">
        <v>1340.8972168</v>
      </c>
      <c r="I1419">
        <v>1322.3013916</v>
      </c>
      <c r="J1419">
        <v>1318.4752197</v>
      </c>
      <c r="K1419">
        <v>2400</v>
      </c>
      <c r="L1419">
        <v>0</v>
      </c>
      <c r="M1419">
        <v>0</v>
      </c>
      <c r="N1419">
        <v>2400</v>
      </c>
    </row>
    <row r="1420" spans="1:14" x14ac:dyDescent="0.25">
      <c r="A1420">
        <v>779.57250999999997</v>
      </c>
      <c r="B1420" s="1">
        <f>DATE(2012,6,18) + TIME(13,44,24)</f>
        <v>41078.572500000002</v>
      </c>
      <c r="C1420">
        <v>80</v>
      </c>
      <c r="D1420">
        <v>79.963409424000005</v>
      </c>
      <c r="E1420">
        <v>50</v>
      </c>
      <c r="F1420">
        <v>47.187191009999999</v>
      </c>
      <c r="G1420">
        <v>1344.5821533000001</v>
      </c>
      <c r="H1420">
        <v>1340.8901367000001</v>
      </c>
      <c r="I1420">
        <v>1322.2890625</v>
      </c>
      <c r="J1420">
        <v>1318.4576416</v>
      </c>
      <c r="K1420">
        <v>2400</v>
      </c>
      <c r="L1420">
        <v>0</v>
      </c>
      <c r="M1420">
        <v>0</v>
      </c>
      <c r="N1420">
        <v>2400</v>
      </c>
    </row>
    <row r="1421" spans="1:14" x14ac:dyDescent="0.25">
      <c r="A1421">
        <v>780.48746200000005</v>
      </c>
      <c r="B1421" s="1">
        <f>DATE(2012,6,19) + TIME(11,41,56)</f>
        <v>41079.487453703703</v>
      </c>
      <c r="C1421">
        <v>80</v>
      </c>
      <c r="D1421">
        <v>79.963371276999993</v>
      </c>
      <c r="E1421">
        <v>50</v>
      </c>
      <c r="F1421">
        <v>47.151283264</v>
      </c>
      <c r="G1421">
        <v>1344.5687256000001</v>
      </c>
      <c r="H1421">
        <v>1340.8829346</v>
      </c>
      <c r="I1421">
        <v>1322.2762451000001</v>
      </c>
      <c r="J1421">
        <v>1318.4393310999999</v>
      </c>
      <c r="K1421">
        <v>2400</v>
      </c>
      <c r="L1421">
        <v>0</v>
      </c>
      <c r="M1421">
        <v>0</v>
      </c>
      <c r="N1421">
        <v>2400</v>
      </c>
    </row>
    <row r="1422" spans="1:14" x14ac:dyDescent="0.25">
      <c r="A1422">
        <v>781.43259499999999</v>
      </c>
      <c r="B1422" s="1">
        <f>DATE(2012,6,20) + TIME(10,22,56)</f>
        <v>41080.432592592595</v>
      </c>
      <c r="C1422">
        <v>80</v>
      </c>
      <c r="D1422">
        <v>79.963333129999995</v>
      </c>
      <c r="E1422">
        <v>50</v>
      </c>
      <c r="F1422">
        <v>47.114566803000002</v>
      </c>
      <c r="G1422">
        <v>1344.5550536999999</v>
      </c>
      <c r="H1422">
        <v>1340.8756103999999</v>
      </c>
      <c r="I1422">
        <v>1322.2626952999999</v>
      </c>
      <c r="J1422">
        <v>1318.4200439000001</v>
      </c>
      <c r="K1422">
        <v>2400</v>
      </c>
      <c r="L1422">
        <v>0</v>
      </c>
      <c r="M1422">
        <v>0</v>
      </c>
      <c r="N1422">
        <v>2400</v>
      </c>
    </row>
    <row r="1423" spans="1:14" x14ac:dyDescent="0.25">
      <c r="A1423">
        <v>781.90774799999997</v>
      </c>
      <c r="B1423" s="1">
        <f>DATE(2012,6,20) + TIME(21,47,9)</f>
        <v>41080.907743055555</v>
      </c>
      <c r="C1423">
        <v>80</v>
      </c>
      <c r="D1423">
        <v>79.963302612000007</v>
      </c>
      <c r="E1423">
        <v>50</v>
      </c>
      <c r="F1423">
        <v>47.089523315000001</v>
      </c>
      <c r="G1423">
        <v>1344.5410156</v>
      </c>
      <c r="H1423">
        <v>1340.8680420000001</v>
      </c>
      <c r="I1423">
        <v>1322.2492675999999</v>
      </c>
      <c r="J1423">
        <v>1318.4017334</v>
      </c>
      <c r="K1423">
        <v>2400</v>
      </c>
      <c r="L1423">
        <v>0</v>
      </c>
      <c r="M1423">
        <v>0</v>
      </c>
      <c r="N1423">
        <v>2400</v>
      </c>
    </row>
    <row r="1424" spans="1:14" x14ac:dyDescent="0.25">
      <c r="A1424">
        <v>782.38290199999994</v>
      </c>
      <c r="B1424" s="1">
        <f>DATE(2012,6,21) + TIME(9,11,22)</f>
        <v>41081.382893518516</v>
      </c>
      <c r="C1424">
        <v>80</v>
      </c>
      <c r="D1424">
        <v>79.963272094999994</v>
      </c>
      <c r="E1424">
        <v>50</v>
      </c>
      <c r="F1424">
        <v>47.066753386999999</v>
      </c>
      <c r="G1424">
        <v>1344.5340576000001</v>
      </c>
      <c r="H1424">
        <v>1340.8643798999999</v>
      </c>
      <c r="I1424">
        <v>1322.2415771000001</v>
      </c>
      <c r="J1424">
        <v>1318.3901367000001</v>
      </c>
      <c r="K1424">
        <v>2400</v>
      </c>
      <c r="L1424">
        <v>0</v>
      </c>
      <c r="M1424">
        <v>0</v>
      </c>
      <c r="N1424">
        <v>2400</v>
      </c>
    </row>
    <row r="1425" spans="1:14" x14ac:dyDescent="0.25">
      <c r="A1425">
        <v>782.85805600000003</v>
      </c>
      <c r="B1425" s="1">
        <f>DATE(2012,6,21) + TIME(20,35,36)</f>
        <v>41081.858055555553</v>
      </c>
      <c r="C1425">
        <v>80</v>
      </c>
      <c r="D1425">
        <v>79.963249207000004</v>
      </c>
      <c r="E1425">
        <v>50</v>
      </c>
      <c r="F1425">
        <v>47.045486449999999</v>
      </c>
      <c r="G1425">
        <v>1344.5272216999999</v>
      </c>
      <c r="H1425">
        <v>1340.8605957</v>
      </c>
      <c r="I1425">
        <v>1322.2338867000001</v>
      </c>
      <c r="J1425">
        <v>1318.3790283000001</v>
      </c>
      <c r="K1425">
        <v>2400</v>
      </c>
      <c r="L1425">
        <v>0</v>
      </c>
      <c r="M1425">
        <v>0</v>
      </c>
      <c r="N1425">
        <v>2400</v>
      </c>
    </row>
    <row r="1426" spans="1:14" x14ac:dyDescent="0.25">
      <c r="A1426">
        <v>783.33320900000001</v>
      </c>
      <c r="B1426" s="1">
        <f>DATE(2012,6,22) + TIME(7,59,49)</f>
        <v>41082.33320601852</v>
      </c>
      <c r="C1426">
        <v>80</v>
      </c>
      <c r="D1426">
        <v>79.963233947999996</v>
      </c>
      <c r="E1426">
        <v>50</v>
      </c>
      <c r="F1426">
        <v>47.025222778</v>
      </c>
      <c r="G1426">
        <v>1344.5203856999999</v>
      </c>
      <c r="H1426">
        <v>1340.8569336</v>
      </c>
      <c r="I1426">
        <v>1322.2264404</v>
      </c>
      <c r="J1426">
        <v>1318.3681641000001</v>
      </c>
      <c r="K1426">
        <v>2400</v>
      </c>
      <c r="L1426">
        <v>0</v>
      </c>
      <c r="M1426">
        <v>0</v>
      </c>
      <c r="N1426">
        <v>2400</v>
      </c>
    </row>
    <row r="1427" spans="1:14" x14ac:dyDescent="0.25">
      <c r="A1427">
        <v>783.80836299999999</v>
      </c>
      <c r="B1427" s="1">
        <f>DATE(2012,6,22) + TIME(19,24,2)</f>
        <v>41082.808356481481</v>
      </c>
      <c r="C1427">
        <v>80</v>
      </c>
      <c r="D1427">
        <v>79.963211060000006</v>
      </c>
      <c r="E1427">
        <v>50</v>
      </c>
      <c r="F1427">
        <v>47.005641937</v>
      </c>
      <c r="G1427">
        <v>1344.5136719</v>
      </c>
      <c r="H1427">
        <v>1340.8532714999999</v>
      </c>
      <c r="I1427">
        <v>1322.2189940999999</v>
      </c>
      <c r="J1427">
        <v>1318.3572998</v>
      </c>
      <c r="K1427">
        <v>2400</v>
      </c>
      <c r="L1427">
        <v>0</v>
      </c>
      <c r="M1427">
        <v>0</v>
      </c>
      <c r="N1427">
        <v>2400</v>
      </c>
    </row>
    <row r="1428" spans="1:14" x14ac:dyDescent="0.25">
      <c r="A1428">
        <v>784.28351699999996</v>
      </c>
      <c r="B1428" s="1">
        <f>DATE(2012,6,23) + TIME(6,48,15)</f>
        <v>41083.283506944441</v>
      </c>
      <c r="C1428">
        <v>80</v>
      </c>
      <c r="D1428">
        <v>79.963195800999998</v>
      </c>
      <c r="E1428">
        <v>50</v>
      </c>
      <c r="F1428">
        <v>46.986526488999999</v>
      </c>
      <c r="G1428">
        <v>1344.5069579999999</v>
      </c>
      <c r="H1428">
        <v>1340.8496094</v>
      </c>
      <c r="I1428">
        <v>1322.2115478999999</v>
      </c>
      <c r="J1428">
        <v>1318.3465576000001</v>
      </c>
      <c r="K1428">
        <v>2400</v>
      </c>
      <c r="L1428">
        <v>0</v>
      </c>
      <c r="M1428">
        <v>0</v>
      </c>
      <c r="N1428">
        <v>2400</v>
      </c>
    </row>
    <row r="1429" spans="1:14" x14ac:dyDescent="0.25">
      <c r="A1429">
        <v>784.75867000000005</v>
      </c>
      <c r="B1429" s="1">
        <f>DATE(2012,6,23) + TIME(18,12,29)</f>
        <v>41083.758668981478</v>
      </c>
      <c r="C1429">
        <v>80</v>
      </c>
      <c r="D1429">
        <v>79.963180542000003</v>
      </c>
      <c r="E1429">
        <v>50</v>
      </c>
      <c r="F1429">
        <v>46.967742919999999</v>
      </c>
      <c r="G1429">
        <v>1344.5003661999999</v>
      </c>
      <c r="H1429">
        <v>1340.8460693</v>
      </c>
      <c r="I1429">
        <v>1322.2041016000001</v>
      </c>
      <c r="J1429">
        <v>1318.3356934000001</v>
      </c>
      <c r="K1429">
        <v>2400</v>
      </c>
      <c r="L1429">
        <v>0</v>
      </c>
      <c r="M1429">
        <v>0</v>
      </c>
      <c r="N1429">
        <v>2400</v>
      </c>
    </row>
    <row r="1430" spans="1:14" x14ac:dyDescent="0.25">
      <c r="A1430">
        <v>785.23382400000003</v>
      </c>
      <c r="B1430" s="1">
        <f>DATE(2012,6,24) + TIME(5,36,42)</f>
        <v>41084.233819444446</v>
      </c>
      <c r="C1430">
        <v>80</v>
      </c>
      <c r="D1430">
        <v>79.963157654</v>
      </c>
      <c r="E1430">
        <v>50</v>
      </c>
      <c r="F1430">
        <v>46.949203490999999</v>
      </c>
      <c r="G1430">
        <v>1344.4937743999999</v>
      </c>
      <c r="H1430">
        <v>1340.8424072</v>
      </c>
      <c r="I1430">
        <v>1322.1966553</v>
      </c>
      <c r="J1430">
        <v>1318.3249512</v>
      </c>
      <c r="K1430">
        <v>2400</v>
      </c>
      <c r="L1430">
        <v>0</v>
      </c>
      <c r="M1430">
        <v>0</v>
      </c>
      <c r="N1430">
        <v>2400</v>
      </c>
    </row>
    <row r="1431" spans="1:14" x14ac:dyDescent="0.25">
      <c r="A1431">
        <v>785.708978</v>
      </c>
      <c r="B1431" s="1">
        <f>DATE(2012,6,24) + TIME(17,0,55)</f>
        <v>41084.708969907406</v>
      </c>
      <c r="C1431">
        <v>80</v>
      </c>
      <c r="D1431">
        <v>79.963142395000006</v>
      </c>
      <c r="E1431">
        <v>50</v>
      </c>
      <c r="F1431">
        <v>46.930850982999999</v>
      </c>
      <c r="G1431">
        <v>1344.4871826000001</v>
      </c>
      <c r="H1431">
        <v>1340.8388672000001</v>
      </c>
      <c r="I1431">
        <v>1322.1890868999999</v>
      </c>
      <c r="J1431">
        <v>1318.3140868999999</v>
      </c>
      <c r="K1431">
        <v>2400</v>
      </c>
      <c r="L1431">
        <v>0</v>
      </c>
      <c r="M1431">
        <v>0</v>
      </c>
      <c r="N1431">
        <v>2400</v>
      </c>
    </row>
    <row r="1432" spans="1:14" x14ac:dyDescent="0.25">
      <c r="A1432">
        <v>786.65928499999995</v>
      </c>
      <c r="B1432" s="1">
        <f>DATE(2012,6,25) + TIME(15,49,22)</f>
        <v>41085.659282407411</v>
      </c>
      <c r="C1432">
        <v>80</v>
      </c>
      <c r="D1432">
        <v>79.963127135999997</v>
      </c>
      <c r="E1432">
        <v>50</v>
      </c>
      <c r="F1432">
        <v>46.903915404999999</v>
      </c>
      <c r="G1432">
        <v>1344.4807129000001</v>
      </c>
      <c r="H1432">
        <v>1340.8353271000001</v>
      </c>
      <c r="I1432">
        <v>1322.1810303</v>
      </c>
      <c r="J1432">
        <v>1318.3018798999999</v>
      </c>
      <c r="K1432">
        <v>2400</v>
      </c>
      <c r="L1432">
        <v>0</v>
      </c>
      <c r="M1432">
        <v>0</v>
      </c>
      <c r="N1432">
        <v>2400</v>
      </c>
    </row>
    <row r="1433" spans="1:14" x14ac:dyDescent="0.25">
      <c r="A1433">
        <v>787.61004200000002</v>
      </c>
      <c r="B1433" s="1">
        <f>DATE(2012,6,26) + TIME(14,38,27)</f>
        <v>41086.610034722224</v>
      </c>
      <c r="C1433">
        <v>80</v>
      </c>
      <c r="D1433">
        <v>79.963104247999993</v>
      </c>
      <c r="E1433">
        <v>50</v>
      </c>
      <c r="F1433">
        <v>46.872432709000002</v>
      </c>
      <c r="G1433">
        <v>1344.4678954999999</v>
      </c>
      <c r="H1433">
        <v>1340.8282471</v>
      </c>
      <c r="I1433">
        <v>1322.1668701000001</v>
      </c>
      <c r="J1433">
        <v>1318.2817382999999</v>
      </c>
      <c r="K1433">
        <v>2400</v>
      </c>
      <c r="L1433">
        <v>0</v>
      </c>
      <c r="M1433">
        <v>0</v>
      </c>
      <c r="N1433">
        <v>2400</v>
      </c>
    </row>
    <row r="1434" spans="1:14" x14ac:dyDescent="0.25">
      <c r="A1434">
        <v>788.57794999999999</v>
      </c>
      <c r="B1434" s="1">
        <f>DATE(2012,6,27) + TIME(13,52,14)</f>
        <v>41087.577939814815</v>
      </c>
      <c r="C1434">
        <v>80</v>
      </c>
      <c r="D1434">
        <v>79.963073730000005</v>
      </c>
      <c r="E1434">
        <v>50</v>
      </c>
      <c r="F1434">
        <v>46.838638306</v>
      </c>
      <c r="G1434">
        <v>1344.4550781</v>
      </c>
      <c r="H1434">
        <v>1340.8212891000001</v>
      </c>
      <c r="I1434">
        <v>1322.1520995999999</v>
      </c>
      <c r="J1434">
        <v>1318.2604980000001</v>
      </c>
      <c r="K1434">
        <v>2400</v>
      </c>
      <c r="L1434">
        <v>0</v>
      </c>
      <c r="M1434">
        <v>0</v>
      </c>
      <c r="N1434">
        <v>2400</v>
      </c>
    </row>
    <row r="1435" spans="1:14" x14ac:dyDescent="0.25">
      <c r="A1435">
        <v>789.56629899999996</v>
      </c>
      <c r="B1435" s="1">
        <f>DATE(2012,6,28) + TIME(13,35,28)</f>
        <v>41088.566296296296</v>
      </c>
      <c r="C1435">
        <v>80</v>
      </c>
      <c r="D1435">
        <v>79.963043213000006</v>
      </c>
      <c r="E1435">
        <v>50</v>
      </c>
      <c r="F1435">
        <v>46.803508759000003</v>
      </c>
      <c r="G1435">
        <v>1344.4422606999999</v>
      </c>
      <c r="H1435">
        <v>1340.8143310999999</v>
      </c>
      <c r="I1435">
        <v>1322.1367187999999</v>
      </c>
      <c r="J1435">
        <v>1318.2381591999999</v>
      </c>
      <c r="K1435">
        <v>2400</v>
      </c>
      <c r="L1435">
        <v>0</v>
      </c>
      <c r="M1435">
        <v>0</v>
      </c>
      <c r="N1435">
        <v>2400</v>
      </c>
    </row>
    <row r="1436" spans="1:14" x14ac:dyDescent="0.25">
      <c r="A1436">
        <v>790.57911899999999</v>
      </c>
      <c r="B1436" s="1">
        <f>DATE(2012,6,29) + TIME(13,53,55)</f>
        <v>41089.579108796293</v>
      </c>
      <c r="C1436">
        <v>80</v>
      </c>
      <c r="D1436">
        <v>79.963012695000003</v>
      </c>
      <c r="E1436">
        <v>50</v>
      </c>
      <c r="F1436">
        <v>46.767440796000002</v>
      </c>
      <c r="G1436">
        <v>1344.4293213000001</v>
      </c>
      <c r="H1436">
        <v>1340.8071289</v>
      </c>
      <c r="I1436">
        <v>1322.1207274999999</v>
      </c>
      <c r="J1436">
        <v>1318.2149658000001</v>
      </c>
      <c r="K1436">
        <v>2400</v>
      </c>
      <c r="L1436">
        <v>0</v>
      </c>
      <c r="M1436">
        <v>0</v>
      </c>
      <c r="N1436">
        <v>2400</v>
      </c>
    </row>
    <row r="1437" spans="1:14" x14ac:dyDescent="0.25">
      <c r="A1437">
        <v>791.62016600000004</v>
      </c>
      <c r="B1437" s="1">
        <f>DATE(2012,6,30) + TIME(14,53,2)</f>
        <v>41090.620162037034</v>
      </c>
      <c r="C1437">
        <v>80</v>
      </c>
      <c r="D1437">
        <v>79.962982178000004</v>
      </c>
      <c r="E1437">
        <v>50</v>
      </c>
      <c r="F1437">
        <v>46.730571746999999</v>
      </c>
      <c r="G1437">
        <v>1344.4163818</v>
      </c>
      <c r="H1437">
        <v>1340.7999268000001</v>
      </c>
      <c r="I1437">
        <v>1322.104126</v>
      </c>
      <c r="J1437">
        <v>1318.190918</v>
      </c>
      <c r="K1437">
        <v>2400</v>
      </c>
      <c r="L1437">
        <v>0</v>
      </c>
      <c r="M1437">
        <v>0</v>
      </c>
      <c r="N1437">
        <v>2400</v>
      </c>
    </row>
    <row r="1438" spans="1:14" x14ac:dyDescent="0.25">
      <c r="A1438">
        <v>792</v>
      </c>
      <c r="B1438" s="1">
        <f>DATE(2012,7,1) + TIME(0,0,0)</f>
        <v>41091</v>
      </c>
      <c r="C1438">
        <v>80</v>
      </c>
      <c r="D1438">
        <v>79.962959290000001</v>
      </c>
      <c r="E1438">
        <v>50</v>
      </c>
      <c r="F1438">
        <v>46.709838867000002</v>
      </c>
      <c r="G1438">
        <v>1344.4030762</v>
      </c>
      <c r="H1438">
        <v>1340.7926024999999</v>
      </c>
      <c r="I1438">
        <v>1322.0883789</v>
      </c>
      <c r="J1438">
        <v>1318.1689452999999</v>
      </c>
      <c r="K1438">
        <v>2400</v>
      </c>
      <c r="L1438">
        <v>0</v>
      </c>
      <c r="M1438">
        <v>0</v>
      </c>
      <c r="N1438">
        <v>2400</v>
      </c>
    </row>
    <row r="1439" spans="1:14" x14ac:dyDescent="0.25">
      <c r="A1439">
        <v>793.06699900000001</v>
      </c>
      <c r="B1439" s="1">
        <f>DATE(2012,7,2) + TIME(1,36,28)</f>
        <v>41092.066990740743</v>
      </c>
      <c r="C1439">
        <v>80</v>
      </c>
      <c r="D1439">
        <v>79.962936400999993</v>
      </c>
      <c r="E1439">
        <v>50</v>
      </c>
      <c r="F1439">
        <v>46.676246642999999</v>
      </c>
      <c r="G1439">
        <v>1344.3983154</v>
      </c>
      <c r="H1439">
        <v>1340.7900391000001</v>
      </c>
      <c r="I1439">
        <v>1322.0798339999999</v>
      </c>
      <c r="J1439">
        <v>1318.1550293</v>
      </c>
      <c r="K1439">
        <v>2400</v>
      </c>
      <c r="L1439">
        <v>0</v>
      </c>
      <c r="M1439">
        <v>0</v>
      </c>
      <c r="N1439">
        <v>2400</v>
      </c>
    </row>
    <row r="1440" spans="1:14" x14ac:dyDescent="0.25">
      <c r="A1440">
        <v>794.16508299999998</v>
      </c>
      <c r="B1440" s="1">
        <f>DATE(2012,7,3) + TIME(3,57,43)</f>
        <v>41093.165081018517</v>
      </c>
      <c r="C1440">
        <v>80</v>
      </c>
      <c r="D1440">
        <v>79.962913513000004</v>
      </c>
      <c r="E1440">
        <v>50</v>
      </c>
      <c r="F1440">
        <v>46.639842987000002</v>
      </c>
      <c r="G1440">
        <v>1344.3851318</v>
      </c>
      <c r="H1440">
        <v>1340.7825928</v>
      </c>
      <c r="I1440">
        <v>1322.0625</v>
      </c>
      <c r="J1440">
        <v>1318.1297606999999</v>
      </c>
      <c r="K1440">
        <v>2400</v>
      </c>
      <c r="L1440">
        <v>0</v>
      </c>
      <c r="M1440">
        <v>0</v>
      </c>
      <c r="N1440">
        <v>2400</v>
      </c>
    </row>
    <row r="1441" spans="1:14" x14ac:dyDescent="0.25">
      <c r="A1441">
        <v>795.29122900000004</v>
      </c>
      <c r="B1441" s="1">
        <f>DATE(2012,7,4) + TIME(6,59,22)</f>
        <v>41094.291226851848</v>
      </c>
      <c r="C1441">
        <v>80</v>
      </c>
      <c r="D1441">
        <v>79.962882996000005</v>
      </c>
      <c r="E1441">
        <v>50</v>
      </c>
      <c r="F1441">
        <v>46.601806641000003</v>
      </c>
      <c r="G1441">
        <v>1344.371582</v>
      </c>
      <c r="H1441">
        <v>1340.7750243999999</v>
      </c>
      <c r="I1441">
        <v>1322.0443115</v>
      </c>
      <c r="J1441">
        <v>1318.1030272999999</v>
      </c>
      <c r="K1441">
        <v>2400</v>
      </c>
      <c r="L1441">
        <v>0</v>
      </c>
      <c r="M1441">
        <v>0</v>
      </c>
      <c r="N1441">
        <v>2400</v>
      </c>
    </row>
    <row r="1442" spans="1:14" x14ac:dyDescent="0.25">
      <c r="A1442">
        <v>796.45026099999995</v>
      </c>
      <c r="B1442" s="1">
        <f>DATE(2012,7,5) + TIME(10,48,22)</f>
        <v>41095.450254629628</v>
      </c>
      <c r="C1442">
        <v>80</v>
      </c>
      <c r="D1442">
        <v>79.962860106999997</v>
      </c>
      <c r="E1442">
        <v>50</v>
      </c>
      <c r="F1442">
        <v>46.562637328999998</v>
      </c>
      <c r="G1442">
        <v>1344.3580322</v>
      </c>
      <c r="H1442">
        <v>1340.7674560999999</v>
      </c>
      <c r="I1442">
        <v>1322.0252685999999</v>
      </c>
      <c r="J1442">
        <v>1318.0750731999999</v>
      </c>
      <c r="K1442">
        <v>2400</v>
      </c>
      <c r="L1442">
        <v>0</v>
      </c>
      <c r="M1442">
        <v>0</v>
      </c>
      <c r="N1442">
        <v>2400</v>
      </c>
    </row>
    <row r="1443" spans="1:14" x14ac:dyDescent="0.25">
      <c r="A1443">
        <v>797.03455699999995</v>
      </c>
      <c r="B1443" s="1">
        <f>DATE(2012,7,6) + TIME(0,49,45)</f>
        <v>41096.034548611111</v>
      </c>
      <c r="C1443">
        <v>80</v>
      </c>
      <c r="D1443">
        <v>79.962829589999998</v>
      </c>
      <c r="E1443">
        <v>50</v>
      </c>
      <c r="F1443">
        <v>46.534744263</v>
      </c>
      <c r="G1443">
        <v>1344.3441161999999</v>
      </c>
      <c r="H1443">
        <v>1340.7596435999999</v>
      </c>
      <c r="I1443">
        <v>1322.0065918</v>
      </c>
      <c r="J1443">
        <v>1318.0484618999999</v>
      </c>
      <c r="K1443">
        <v>2400</v>
      </c>
      <c r="L1443">
        <v>0</v>
      </c>
      <c r="M1443">
        <v>0</v>
      </c>
      <c r="N1443">
        <v>2400</v>
      </c>
    </row>
    <row r="1444" spans="1:14" x14ac:dyDescent="0.25">
      <c r="A1444">
        <v>797.61885299999994</v>
      </c>
      <c r="B1444" s="1">
        <f>DATE(2012,7,6) + TIME(14,51,8)</f>
        <v>41096.618842592594</v>
      </c>
      <c r="C1444">
        <v>80</v>
      </c>
      <c r="D1444">
        <v>79.962806701999995</v>
      </c>
      <c r="E1444">
        <v>50</v>
      </c>
      <c r="F1444">
        <v>46.510059357000003</v>
      </c>
      <c r="G1444">
        <v>1344.3372803</v>
      </c>
      <c r="H1444">
        <v>1340.7557373</v>
      </c>
      <c r="I1444">
        <v>1321.9953613</v>
      </c>
      <c r="J1444">
        <v>1318.0314940999999</v>
      </c>
      <c r="K1444">
        <v>2400</v>
      </c>
      <c r="L1444">
        <v>0</v>
      </c>
      <c r="M1444">
        <v>0</v>
      </c>
      <c r="N1444">
        <v>2400</v>
      </c>
    </row>
    <row r="1445" spans="1:14" x14ac:dyDescent="0.25">
      <c r="A1445">
        <v>798.20315000000005</v>
      </c>
      <c r="B1445" s="1">
        <f>DATE(2012,7,7) + TIME(4,52,32)</f>
        <v>41097.203148148146</v>
      </c>
      <c r="C1445">
        <v>80</v>
      </c>
      <c r="D1445">
        <v>79.962783813000001</v>
      </c>
      <c r="E1445">
        <v>50</v>
      </c>
      <c r="F1445">
        <v>46.487323760999999</v>
      </c>
      <c r="G1445">
        <v>1344.3304443</v>
      </c>
      <c r="H1445">
        <v>1340.7518310999999</v>
      </c>
      <c r="I1445">
        <v>1321.9846190999999</v>
      </c>
      <c r="J1445">
        <v>1318.0152588000001</v>
      </c>
      <c r="K1445">
        <v>2400</v>
      </c>
      <c r="L1445">
        <v>0</v>
      </c>
      <c r="M1445">
        <v>0</v>
      </c>
      <c r="N1445">
        <v>2400</v>
      </c>
    </row>
    <row r="1446" spans="1:14" x14ac:dyDescent="0.25">
      <c r="A1446">
        <v>798.78744600000005</v>
      </c>
      <c r="B1446" s="1">
        <f>DATE(2012,7,7) + TIME(18,53,55)</f>
        <v>41097.787442129629</v>
      </c>
      <c r="C1446">
        <v>80</v>
      </c>
      <c r="D1446">
        <v>79.962768554999997</v>
      </c>
      <c r="E1446">
        <v>50</v>
      </c>
      <c r="F1446">
        <v>46.465789794999999</v>
      </c>
      <c r="G1446">
        <v>1344.3236084</v>
      </c>
      <c r="H1446">
        <v>1340.7480469</v>
      </c>
      <c r="I1446">
        <v>1321.973999</v>
      </c>
      <c r="J1446">
        <v>1317.9993896000001</v>
      </c>
      <c r="K1446">
        <v>2400</v>
      </c>
      <c r="L1446">
        <v>0</v>
      </c>
      <c r="M1446">
        <v>0</v>
      </c>
      <c r="N1446">
        <v>2400</v>
      </c>
    </row>
    <row r="1447" spans="1:14" x14ac:dyDescent="0.25">
      <c r="A1447">
        <v>799.37174300000004</v>
      </c>
      <c r="B1447" s="1">
        <f>DATE(2012,7,8) + TIME(8,55,18)</f>
        <v>41098.371736111112</v>
      </c>
      <c r="C1447">
        <v>80</v>
      </c>
      <c r="D1447">
        <v>79.962753296000002</v>
      </c>
      <c r="E1447">
        <v>50</v>
      </c>
      <c r="F1447">
        <v>46.445018767999997</v>
      </c>
      <c r="G1447">
        <v>1344.3168945</v>
      </c>
      <c r="H1447">
        <v>1340.7441406</v>
      </c>
      <c r="I1447">
        <v>1321.9636230000001</v>
      </c>
      <c r="J1447">
        <v>1317.9838867000001</v>
      </c>
      <c r="K1447">
        <v>2400</v>
      </c>
      <c r="L1447">
        <v>0</v>
      </c>
      <c r="M1447">
        <v>0</v>
      </c>
      <c r="N1447">
        <v>2400</v>
      </c>
    </row>
    <row r="1448" spans="1:14" x14ac:dyDescent="0.25">
      <c r="A1448">
        <v>800.54033500000003</v>
      </c>
      <c r="B1448" s="1">
        <f>DATE(2012,7,9) + TIME(12,58,4)</f>
        <v>41099.540324074071</v>
      </c>
      <c r="C1448">
        <v>80</v>
      </c>
      <c r="D1448">
        <v>79.962745666999993</v>
      </c>
      <c r="E1448">
        <v>50</v>
      </c>
      <c r="F1448">
        <v>46.416141510000003</v>
      </c>
      <c r="G1448">
        <v>1344.3103027</v>
      </c>
      <c r="H1448">
        <v>1340.7404785000001</v>
      </c>
      <c r="I1448">
        <v>1321.9523925999999</v>
      </c>
      <c r="J1448">
        <v>1317.9664307</v>
      </c>
      <c r="K1448">
        <v>2400</v>
      </c>
      <c r="L1448">
        <v>0</v>
      </c>
      <c r="M1448">
        <v>0</v>
      </c>
      <c r="N1448">
        <v>2400</v>
      </c>
    </row>
    <row r="1449" spans="1:14" x14ac:dyDescent="0.25">
      <c r="A1449">
        <v>801.71072100000004</v>
      </c>
      <c r="B1449" s="1">
        <f>DATE(2012,7,10) + TIME(17,3,26)</f>
        <v>41100.710717592592</v>
      </c>
      <c r="C1449">
        <v>80</v>
      </c>
      <c r="D1449">
        <v>79.962730407999999</v>
      </c>
      <c r="E1449">
        <v>50</v>
      </c>
      <c r="F1449">
        <v>46.381511688000003</v>
      </c>
      <c r="G1449">
        <v>1344.2971190999999</v>
      </c>
      <c r="H1449">
        <v>1340.7329102000001</v>
      </c>
      <c r="I1449">
        <v>1321.9333495999999</v>
      </c>
      <c r="J1449">
        <v>1317.9385986</v>
      </c>
      <c r="K1449">
        <v>2400</v>
      </c>
      <c r="L1449">
        <v>0</v>
      </c>
      <c r="M1449">
        <v>0</v>
      </c>
      <c r="N1449">
        <v>2400</v>
      </c>
    </row>
    <row r="1450" spans="1:14" x14ac:dyDescent="0.25">
      <c r="A1450">
        <v>802.89348700000005</v>
      </c>
      <c r="B1450" s="1">
        <f>DATE(2012,7,11) + TIME(21,26,37)</f>
        <v>41101.893483796295</v>
      </c>
      <c r="C1450">
        <v>80</v>
      </c>
      <c r="D1450">
        <v>79.962707519999995</v>
      </c>
      <c r="E1450">
        <v>50</v>
      </c>
      <c r="F1450">
        <v>46.344516753999997</v>
      </c>
      <c r="G1450">
        <v>1344.2840576000001</v>
      </c>
      <c r="H1450">
        <v>1340.7254639</v>
      </c>
      <c r="I1450">
        <v>1321.9132079999999</v>
      </c>
      <c r="J1450">
        <v>1317.9088135</v>
      </c>
      <c r="K1450">
        <v>2400</v>
      </c>
      <c r="L1450">
        <v>0</v>
      </c>
      <c r="M1450">
        <v>0</v>
      </c>
      <c r="N1450">
        <v>2400</v>
      </c>
    </row>
    <row r="1451" spans="1:14" x14ac:dyDescent="0.25">
      <c r="A1451">
        <v>804.10122899999999</v>
      </c>
      <c r="B1451" s="1">
        <f>DATE(2012,7,13) + TIME(2,25,46)</f>
        <v>41103.101226851853</v>
      </c>
      <c r="C1451">
        <v>80</v>
      </c>
      <c r="D1451">
        <v>79.962684631000002</v>
      </c>
      <c r="E1451">
        <v>50</v>
      </c>
      <c r="F1451">
        <v>46.306362151999998</v>
      </c>
      <c r="G1451">
        <v>1344.2709961</v>
      </c>
      <c r="H1451">
        <v>1340.7178954999999</v>
      </c>
      <c r="I1451">
        <v>1321.8924560999999</v>
      </c>
      <c r="J1451">
        <v>1317.8779297000001</v>
      </c>
      <c r="K1451">
        <v>2400</v>
      </c>
      <c r="L1451">
        <v>0</v>
      </c>
      <c r="M1451">
        <v>0</v>
      </c>
      <c r="N1451">
        <v>2400</v>
      </c>
    </row>
    <row r="1452" spans="1:14" x14ac:dyDescent="0.25">
      <c r="A1452">
        <v>805.338886</v>
      </c>
      <c r="B1452" s="1">
        <f>DATE(2012,7,14) + TIME(8,7,59)</f>
        <v>41104.338877314818</v>
      </c>
      <c r="C1452">
        <v>80</v>
      </c>
      <c r="D1452">
        <v>79.962661742999998</v>
      </c>
      <c r="E1452">
        <v>50</v>
      </c>
      <c r="F1452">
        <v>46.267463683999999</v>
      </c>
      <c r="G1452">
        <v>1344.2579346</v>
      </c>
      <c r="H1452">
        <v>1340.7103271000001</v>
      </c>
      <c r="I1452">
        <v>1321.8710937999999</v>
      </c>
      <c r="J1452">
        <v>1317.8458252</v>
      </c>
      <c r="K1452">
        <v>2400</v>
      </c>
      <c r="L1452">
        <v>0</v>
      </c>
      <c r="M1452">
        <v>0</v>
      </c>
      <c r="N1452">
        <v>2400</v>
      </c>
    </row>
    <row r="1453" spans="1:14" x14ac:dyDescent="0.25">
      <c r="A1453">
        <v>806.58868099999995</v>
      </c>
      <c r="B1453" s="1">
        <f>DATE(2012,7,15) + TIME(14,7,41)</f>
        <v>41105.58866898148</v>
      </c>
      <c r="C1453">
        <v>80</v>
      </c>
      <c r="D1453">
        <v>79.962631225999999</v>
      </c>
      <c r="E1453">
        <v>50</v>
      </c>
      <c r="F1453">
        <v>46.228206634999999</v>
      </c>
      <c r="G1453">
        <v>1344.2446289</v>
      </c>
      <c r="H1453">
        <v>1340.7026367000001</v>
      </c>
      <c r="I1453">
        <v>1321.848999</v>
      </c>
      <c r="J1453">
        <v>1317.8127440999999</v>
      </c>
      <c r="K1453">
        <v>2400</v>
      </c>
      <c r="L1453">
        <v>0</v>
      </c>
      <c r="M1453">
        <v>0</v>
      </c>
      <c r="N1453">
        <v>2400</v>
      </c>
    </row>
    <row r="1454" spans="1:14" x14ac:dyDescent="0.25">
      <c r="A1454">
        <v>807.85322299999996</v>
      </c>
      <c r="B1454" s="1">
        <f>DATE(2012,7,16) + TIME(20,28,38)</f>
        <v>41106.853217592594</v>
      </c>
      <c r="C1454">
        <v>80</v>
      </c>
      <c r="D1454">
        <v>79.962615967000005</v>
      </c>
      <c r="E1454">
        <v>50</v>
      </c>
      <c r="F1454">
        <v>46.188861846999998</v>
      </c>
      <c r="G1454">
        <v>1344.2314452999999</v>
      </c>
      <c r="H1454">
        <v>1340.6950684000001</v>
      </c>
      <c r="I1454">
        <v>1321.8265381000001</v>
      </c>
      <c r="J1454">
        <v>1317.7790527</v>
      </c>
      <c r="K1454">
        <v>2400</v>
      </c>
      <c r="L1454">
        <v>0</v>
      </c>
      <c r="M1454">
        <v>0</v>
      </c>
      <c r="N1454">
        <v>2400</v>
      </c>
    </row>
    <row r="1455" spans="1:14" x14ac:dyDescent="0.25">
      <c r="A1455">
        <v>809.14660600000002</v>
      </c>
      <c r="B1455" s="1">
        <f>DATE(2012,7,18) + TIME(3,31,6)</f>
        <v>41108.146597222221</v>
      </c>
      <c r="C1455">
        <v>80</v>
      </c>
      <c r="D1455">
        <v>79.962593079000001</v>
      </c>
      <c r="E1455">
        <v>50</v>
      </c>
      <c r="F1455">
        <v>46.149368285999998</v>
      </c>
      <c r="G1455">
        <v>1344.2182617000001</v>
      </c>
      <c r="H1455">
        <v>1340.6873779</v>
      </c>
      <c r="I1455">
        <v>1321.8038329999999</v>
      </c>
      <c r="J1455">
        <v>1317.7446289</v>
      </c>
      <c r="K1455">
        <v>2400</v>
      </c>
      <c r="L1455">
        <v>0</v>
      </c>
      <c r="M1455">
        <v>0</v>
      </c>
      <c r="N1455">
        <v>2400</v>
      </c>
    </row>
    <row r="1456" spans="1:14" x14ac:dyDescent="0.25">
      <c r="A1456">
        <v>810.47617200000002</v>
      </c>
      <c r="B1456" s="1">
        <f>DATE(2012,7,19) + TIME(11,25,41)</f>
        <v>41109.476168981484</v>
      </c>
      <c r="C1456">
        <v>80</v>
      </c>
      <c r="D1456">
        <v>79.962570189999994</v>
      </c>
      <c r="E1456">
        <v>50</v>
      </c>
      <c r="F1456">
        <v>46.109569550000003</v>
      </c>
      <c r="G1456">
        <v>1344.2049560999999</v>
      </c>
      <c r="H1456">
        <v>1340.6795654</v>
      </c>
      <c r="I1456">
        <v>1321.7803954999999</v>
      </c>
      <c r="J1456">
        <v>1317.7092285000001</v>
      </c>
      <c r="K1456">
        <v>2400</v>
      </c>
      <c r="L1456">
        <v>0</v>
      </c>
      <c r="M1456">
        <v>0</v>
      </c>
      <c r="N1456">
        <v>2400</v>
      </c>
    </row>
    <row r="1457" spans="1:14" x14ac:dyDescent="0.25">
      <c r="A1457">
        <v>811.84845399999995</v>
      </c>
      <c r="B1457" s="1">
        <f>DATE(2012,7,20) + TIME(20,21,46)</f>
        <v>41110.848449074074</v>
      </c>
      <c r="C1457">
        <v>80</v>
      </c>
      <c r="D1457">
        <v>79.962547302000004</v>
      </c>
      <c r="E1457">
        <v>50</v>
      </c>
      <c r="F1457">
        <v>46.069320679</v>
      </c>
      <c r="G1457">
        <v>1344.1915283000001</v>
      </c>
      <c r="H1457">
        <v>1340.6716309000001</v>
      </c>
      <c r="I1457">
        <v>1321.7563477000001</v>
      </c>
      <c r="J1457">
        <v>1317.6727295000001</v>
      </c>
      <c r="K1457">
        <v>2400</v>
      </c>
      <c r="L1457">
        <v>0</v>
      </c>
      <c r="M1457">
        <v>0</v>
      </c>
      <c r="N1457">
        <v>2400</v>
      </c>
    </row>
    <row r="1458" spans="1:14" x14ac:dyDescent="0.25">
      <c r="A1458">
        <v>813.24036799999999</v>
      </c>
      <c r="B1458" s="1">
        <f>DATE(2012,7,22) + TIME(5,46,7)</f>
        <v>41112.240358796298</v>
      </c>
      <c r="C1458">
        <v>80</v>
      </c>
      <c r="D1458">
        <v>79.962524414000001</v>
      </c>
      <c r="E1458">
        <v>50</v>
      </c>
      <c r="F1458">
        <v>46.028839111000003</v>
      </c>
      <c r="G1458">
        <v>1344.1777344</v>
      </c>
      <c r="H1458">
        <v>1340.6635742000001</v>
      </c>
      <c r="I1458">
        <v>1321.7314452999999</v>
      </c>
      <c r="J1458">
        <v>1317.6350098</v>
      </c>
      <c r="K1458">
        <v>2400</v>
      </c>
      <c r="L1458">
        <v>0</v>
      </c>
      <c r="M1458">
        <v>0</v>
      </c>
      <c r="N1458">
        <v>2400</v>
      </c>
    </row>
    <row r="1459" spans="1:14" x14ac:dyDescent="0.25">
      <c r="A1459">
        <v>814.64188999999999</v>
      </c>
      <c r="B1459" s="1">
        <f>DATE(2012,7,23) + TIME(15,24,19)</f>
        <v>41113.641886574071</v>
      </c>
      <c r="C1459">
        <v>80</v>
      </c>
      <c r="D1459">
        <v>79.962509155000006</v>
      </c>
      <c r="E1459">
        <v>50</v>
      </c>
      <c r="F1459">
        <v>45.988529204999999</v>
      </c>
      <c r="G1459">
        <v>1344.1640625</v>
      </c>
      <c r="H1459">
        <v>1340.6553954999999</v>
      </c>
      <c r="I1459">
        <v>1321.7061768000001</v>
      </c>
      <c r="J1459">
        <v>1317.5964355000001</v>
      </c>
      <c r="K1459">
        <v>2400</v>
      </c>
      <c r="L1459">
        <v>0</v>
      </c>
      <c r="M1459">
        <v>0</v>
      </c>
      <c r="N1459">
        <v>2400</v>
      </c>
    </row>
    <row r="1460" spans="1:14" x14ac:dyDescent="0.25">
      <c r="A1460">
        <v>816.05917399999998</v>
      </c>
      <c r="B1460" s="1">
        <f>DATE(2012,7,25) + TIME(1,25,12)</f>
        <v>41115.059166666666</v>
      </c>
      <c r="C1460">
        <v>80</v>
      </c>
      <c r="D1460">
        <v>79.962486267000003</v>
      </c>
      <c r="E1460">
        <v>50</v>
      </c>
      <c r="F1460">
        <v>45.948604584000002</v>
      </c>
      <c r="G1460">
        <v>1344.1503906</v>
      </c>
      <c r="H1460">
        <v>1340.6473389</v>
      </c>
      <c r="I1460">
        <v>1321.6806641000001</v>
      </c>
      <c r="J1460">
        <v>1317.557251</v>
      </c>
      <c r="K1460">
        <v>2400</v>
      </c>
      <c r="L1460">
        <v>0</v>
      </c>
      <c r="M1460">
        <v>0</v>
      </c>
      <c r="N1460">
        <v>2400</v>
      </c>
    </row>
    <row r="1461" spans="1:14" x14ac:dyDescent="0.25">
      <c r="A1461">
        <v>817.496894</v>
      </c>
      <c r="B1461" s="1">
        <f>DATE(2012,7,26) + TIME(11,55,31)</f>
        <v>41116.496886574074</v>
      </c>
      <c r="C1461">
        <v>80</v>
      </c>
      <c r="D1461">
        <v>79.962471007999994</v>
      </c>
      <c r="E1461">
        <v>50</v>
      </c>
      <c r="F1461">
        <v>45.909118651999997</v>
      </c>
      <c r="G1461">
        <v>1344.1368408000001</v>
      </c>
      <c r="H1461">
        <v>1340.6391602000001</v>
      </c>
      <c r="I1461">
        <v>1321.6547852000001</v>
      </c>
      <c r="J1461">
        <v>1317.5175781</v>
      </c>
      <c r="K1461">
        <v>2400</v>
      </c>
      <c r="L1461">
        <v>0</v>
      </c>
      <c r="M1461">
        <v>0</v>
      </c>
      <c r="N1461">
        <v>2400</v>
      </c>
    </row>
    <row r="1462" spans="1:14" x14ac:dyDescent="0.25">
      <c r="A1462">
        <v>818.94541000000004</v>
      </c>
      <c r="B1462" s="1">
        <f>DATE(2012,7,27) + TIME(22,41,23)</f>
        <v>41117.945405092592</v>
      </c>
      <c r="C1462">
        <v>80</v>
      </c>
      <c r="D1462">
        <v>79.962448120000005</v>
      </c>
      <c r="E1462">
        <v>50</v>
      </c>
      <c r="F1462">
        <v>45.870212555000002</v>
      </c>
      <c r="G1462">
        <v>1344.1232910000001</v>
      </c>
      <c r="H1462">
        <v>1340.6309814000001</v>
      </c>
      <c r="I1462">
        <v>1321.6286620999999</v>
      </c>
      <c r="J1462">
        <v>1317.4771728999999</v>
      </c>
      <c r="K1462">
        <v>2400</v>
      </c>
      <c r="L1462">
        <v>0</v>
      </c>
      <c r="M1462">
        <v>0</v>
      </c>
      <c r="N1462">
        <v>2400</v>
      </c>
    </row>
    <row r="1463" spans="1:14" x14ac:dyDescent="0.25">
      <c r="A1463">
        <v>820.41278899999998</v>
      </c>
      <c r="B1463" s="1">
        <f>DATE(2012,7,29) + TIME(9,54,24)</f>
        <v>41119.412777777776</v>
      </c>
      <c r="C1463">
        <v>80</v>
      </c>
      <c r="D1463">
        <v>79.962432860999996</v>
      </c>
      <c r="E1463">
        <v>50</v>
      </c>
      <c r="F1463">
        <v>45.832012177000003</v>
      </c>
      <c r="G1463">
        <v>1344.1097411999999</v>
      </c>
      <c r="H1463">
        <v>1340.6229248</v>
      </c>
      <c r="I1463">
        <v>1321.6022949000001</v>
      </c>
      <c r="J1463">
        <v>1317.4364014</v>
      </c>
      <c r="K1463">
        <v>2400</v>
      </c>
      <c r="L1463">
        <v>0</v>
      </c>
      <c r="M1463">
        <v>0</v>
      </c>
      <c r="N1463">
        <v>2400</v>
      </c>
    </row>
    <row r="1464" spans="1:14" x14ac:dyDescent="0.25">
      <c r="A1464">
        <v>821.88722600000006</v>
      </c>
      <c r="B1464" s="1">
        <f>DATE(2012,7,30) + TIME(21,17,36)</f>
        <v>41120.88722222222</v>
      </c>
      <c r="C1464">
        <v>80</v>
      </c>
      <c r="D1464">
        <v>79.962417603000006</v>
      </c>
      <c r="E1464">
        <v>50</v>
      </c>
      <c r="F1464">
        <v>45.794696807999998</v>
      </c>
      <c r="G1464">
        <v>1344.0963135</v>
      </c>
      <c r="H1464">
        <v>1340.6147461</v>
      </c>
      <c r="I1464">
        <v>1321.5755615</v>
      </c>
      <c r="J1464">
        <v>1317.3950195</v>
      </c>
      <c r="K1464">
        <v>2400</v>
      </c>
      <c r="L1464">
        <v>0</v>
      </c>
      <c r="M1464">
        <v>0</v>
      </c>
      <c r="N1464">
        <v>2400</v>
      </c>
    </row>
    <row r="1465" spans="1:14" x14ac:dyDescent="0.25">
      <c r="A1465">
        <v>823</v>
      </c>
      <c r="B1465" s="1">
        <f>DATE(2012,8,1) + TIME(0,0,0)</f>
        <v>41122</v>
      </c>
      <c r="C1465">
        <v>80</v>
      </c>
      <c r="D1465">
        <v>79.962394713999998</v>
      </c>
      <c r="E1465">
        <v>50</v>
      </c>
      <c r="F1465">
        <v>45.762351989999999</v>
      </c>
      <c r="G1465">
        <v>1344.0828856999999</v>
      </c>
      <c r="H1465">
        <v>1340.6065673999999</v>
      </c>
      <c r="I1465">
        <v>1321.5495605000001</v>
      </c>
      <c r="J1465">
        <v>1317.3547363</v>
      </c>
      <c r="K1465">
        <v>2400</v>
      </c>
      <c r="L1465">
        <v>0</v>
      </c>
      <c r="M1465">
        <v>0</v>
      </c>
      <c r="N1465">
        <v>2400</v>
      </c>
    </row>
    <row r="1466" spans="1:14" x14ac:dyDescent="0.25">
      <c r="A1466">
        <v>824.48728200000005</v>
      </c>
      <c r="B1466" s="1">
        <f>DATE(2012,8,2) + TIME(11,41,41)</f>
        <v>41123.487280092595</v>
      </c>
      <c r="C1466">
        <v>80</v>
      </c>
      <c r="D1466">
        <v>79.962387085000003</v>
      </c>
      <c r="E1466">
        <v>50</v>
      </c>
      <c r="F1466">
        <v>45.73046875</v>
      </c>
      <c r="G1466">
        <v>1344.0729980000001</v>
      </c>
      <c r="H1466">
        <v>1340.6005858999999</v>
      </c>
      <c r="I1466">
        <v>1321.5275879000001</v>
      </c>
      <c r="J1466">
        <v>1317.3198242000001</v>
      </c>
      <c r="K1466">
        <v>2400</v>
      </c>
      <c r="L1466">
        <v>0</v>
      </c>
      <c r="M1466">
        <v>0</v>
      </c>
      <c r="N1466">
        <v>2400</v>
      </c>
    </row>
    <row r="1467" spans="1:14" x14ac:dyDescent="0.25">
      <c r="A1467">
        <v>826.01095299999997</v>
      </c>
      <c r="B1467" s="1">
        <f>DATE(2012,8,4) + TIME(0,15,46)</f>
        <v>41125.010949074072</v>
      </c>
      <c r="C1467">
        <v>80</v>
      </c>
      <c r="D1467">
        <v>79.962379455999994</v>
      </c>
      <c r="E1467">
        <v>50</v>
      </c>
      <c r="F1467">
        <v>45.697692871000001</v>
      </c>
      <c r="G1467">
        <v>1344.0598144999999</v>
      </c>
      <c r="H1467">
        <v>1340.5925293</v>
      </c>
      <c r="I1467">
        <v>1321.5014647999999</v>
      </c>
      <c r="J1467">
        <v>1317.2789307</v>
      </c>
      <c r="K1467">
        <v>2400</v>
      </c>
      <c r="L1467">
        <v>0</v>
      </c>
      <c r="M1467">
        <v>0</v>
      </c>
      <c r="N1467">
        <v>2400</v>
      </c>
    </row>
    <row r="1468" spans="1:14" x14ac:dyDescent="0.25">
      <c r="A1468">
        <v>827.57718299999999</v>
      </c>
      <c r="B1468" s="1">
        <f>DATE(2012,8,5) + TIME(13,51,8)</f>
        <v>41126.577175925922</v>
      </c>
      <c r="C1468">
        <v>80</v>
      </c>
      <c r="D1468">
        <v>79.962364196999999</v>
      </c>
      <c r="E1468">
        <v>50</v>
      </c>
      <c r="F1468">
        <v>45.665306090999998</v>
      </c>
      <c r="G1468">
        <v>1344.0465088000001</v>
      </c>
      <c r="H1468">
        <v>1340.5843506000001</v>
      </c>
      <c r="I1468">
        <v>1321.4743652</v>
      </c>
      <c r="J1468">
        <v>1317.2364502</v>
      </c>
      <c r="K1468">
        <v>2400</v>
      </c>
      <c r="L1468">
        <v>0</v>
      </c>
      <c r="M1468">
        <v>0</v>
      </c>
      <c r="N1468">
        <v>2400</v>
      </c>
    </row>
    <row r="1469" spans="1:14" x14ac:dyDescent="0.25">
      <c r="A1469">
        <v>829.196549</v>
      </c>
      <c r="B1469" s="1">
        <f>DATE(2012,8,7) + TIME(4,43,1)</f>
        <v>41128.196539351855</v>
      </c>
      <c r="C1469">
        <v>80</v>
      </c>
      <c r="D1469">
        <v>79.962356567</v>
      </c>
      <c r="E1469">
        <v>50</v>
      </c>
      <c r="F1469">
        <v>45.633888245000001</v>
      </c>
      <c r="G1469">
        <v>1344.0330810999999</v>
      </c>
      <c r="H1469">
        <v>1340.5759277</v>
      </c>
      <c r="I1469">
        <v>1321.4466553</v>
      </c>
      <c r="J1469">
        <v>1317.1925048999999</v>
      </c>
      <c r="K1469">
        <v>2400</v>
      </c>
      <c r="L1469">
        <v>0</v>
      </c>
      <c r="M1469">
        <v>0</v>
      </c>
      <c r="N1469">
        <v>2400</v>
      </c>
    </row>
    <row r="1470" spans="1:14" x14ac:dyDescent="0.25">
      <c r="A1470">
        <v>830.85106699999994</v>
      </c>
      <c r="B1470" s="1">
        <f>DATE(2012,8,8) + TIME(20,25,32)</f>
        <v>41129.851064814815</v>
      </c>
      <c r="C1470">
        <v>80</v>
      </c>
      <c r="D1470">
        <v>79.962341308999996</v>
      </c>
      <c r="E1470">
        <v>50</v>
      </c>
      <c r="F1470">
        <v>45.603984832999998</v>
      </c>
      <c r="G1470">
        <v>1344.0192870999999</v>
      </c>
      <c r="H1470">
        <v>1340.5675048999999</v>
      </c>
      <c r="I1470">
        <v>1321.4182129000001</v>
      </c>
      <c r="J1470">
        <v>1317.1472168</v>
      </c>
      <c r="K1470">
        <v>2400</v>
      </c>
      <c r="L1470">
        <v>0</v>
      </c>
      <c r="M1470">
        <v>0</v>
      </c>
      <c r="N1470">
        <v>2400</v>
      </c>
    </row>
    <row r="1471" spans="1:14" x14ac:dyDescent="0.25">
      <c r="A1471">
        <v>832.52596500000004</v>
      </c>
      <c r="B1471" s="1">
        <f>DATE(2012,8,10) + TIME(12,37,23)</f>
        <v>41131.525960648149</v>
      </c>
      <c r="C1471">
        <v>80</v>
      </c>
      <c r="D1471">
        <v>79.962333678999997</v>
      </c>
      <c r="E1471">
        <v>50</v>
      </c>
      <c r="F1471">
        <v>45.576305388999998</v>
      </c>
      <c r="G1471">
        <v>1344.0054932</v>
      </c>
      <c r="H1471">
        <v>1340.5588379000001</v>
      </c>
      <c r="I1471">
        <v>1321.3892822</v>
      </c>
      <c r="J1471">
        <v>1317.1010742000001</v>
      </c>
      <c r="K1471">
        <v>2400</v>
      </c>
      <c r="L1471">
        <v>0</v>
      </c>
      <c r="M1471">
        <v>0</v>
      </c>
      <c r="N1471">
        <v>2400</v>
      </c>
    </row>
    <row r="1472" spans="1:14" x14ac:dyDescent="0.25">
      <c r="A1472">
        <v>834.21191899999997</v>
      </c>
      <c r="B1472" s="1">
        <f>DATE(2012,8,12) + TIME(5,5,9)</f>
        <v>41133.211909722224</v>
      </c>
      <c r="C1472">
        <v>80</v>
      </c>
      <c r="D1472">
        <v>79.962318420000003</v>
      </c>
      <c r="E1472">
        <v>50</v>
      </c>
      <c r="F1472">
        <v>45.551551818999997</v>
      </c>
      <c r="G1472">
        <v>1343.9915771000001</v>
      </c>
      <c r="H1472">
        <v>1340.5501709</v>
      </c>
      <c r="I1472">
        <v>1321.3602295000001</v>
      </c>
      <c r="J1472">
        <v>1317.0544434000001</v>
      </c>
      <c r="K1472">
        <v>2400</v>
      </c>
      <c r="L1472">
        <v>0</v>
      </c>
      <c r="M1472">
        <v>0</v>
      </c>
      <c r="N1472">
        <v>2400</v>
      </c>
    </row>
    <row r="1473" spans="1:14" x14ac:dyDescent="0.25">
      <c r="A1473">
        <v>835.916965</v>
      </c>
      <c r="B1473" s="1">
        <f>DATE(2012,8,13) + TIME(22,0,25)</f>
        <v>41134.916956018518</v>
      </c>
      <c r="C1473">
        <v>80</v>
      </c>
      <c r="D1473">
        <v>79.962310790999993</v>
      </c>
      <c r="E1473">
        <v>50</v>
      </c>
      <c r="F1473">
        <v>45.530342101999999</v>
      </c>
      <c r="G1473">
        <v>1343.9779053</v>
      </c>
      <c r="H1473">
        <v>1340.5415039</v>
      </c>
      <c r="I1473">
        <v>1321.3312988</v>
      </c>
      <c r="J1473">
        <v>1317.0076904</v>
      </c>
      <c r="K1473">
        <v>2400</v>
      </c>
      <c r="L1473">
        <v>0</v>
      </c>
      <c r="M1473">
        <v>0</v>
      </c>
      <c r="N1473">
        <v>2400</v>
      </c>
    </row>
    <row r="1474" spans="1:14" x14ac:dyDescent="0.25">
      <c r="A1474">
        <v>837.64963</v>
      </c>
      <c r="B1474" s="1">
        <f>DATE(2012,8,15) + TIME(15,35,28)</f>
        <v>41136.649629629632</v>
      </c>
      <c r="C1474">
        <v>80</v>
      </c>
      <c r="D1474">
        <v>79.962303161999998</v>
      </c>
      <c r="E1474">
        <v>50</v>
      </c>
      <c r="F1474">
        <v>45.513172150000003</v>
      </c>
      <c r="G1474">
        <v>1343.9641113</v>
      </c>
      <c r="H1474">
        <v>1340.5328368999999</v>
      </c>
      <c r="I1474">
        <v>1321.3023682</v>
      </c>
      <c r="J1474">
        <v>1316.9606934000001</v>
      </c>
      <c r="K1474">
        <v>2400</v>
      </c>
      <c r="L1474">
        <v>0</v>
      </c>
      <c r="M1474">
        <v>0</v>
      </c>
      <c r="N1474">
        <v>2400</v>
      </c>
    </row>
    <row r="1475" spans="1:14" x14ac:dyDescent="0.25">
      <c r="A1475">
        <v>839.41090599999995</v>
      </c>
      <c r="B1475" s="1">
        <f>DATE(2012,8,17) + TIME(9,51,42)</f>
        <v>41138.410902777781</v>
      </c>
      <c r="C1475">
        <v>80</v>
      </c>
      <c r="D1475">
        <v>79.962295531999999</v>
      </c>
      <c r="E1475">
        <v>50</v>
      </c>
      <c r="F1475">
        <v>45.500701904000003</v>
      </c>
      <c r="G1475">
        <v>1343.9504394999999</v>
      </c>
      <c r="H1475">
        <v>1340.5240478999999</v>
      </c>
      <c r="I1475">
        <v>1321.2733154</v>
      </c>
      <c r="J1475">
        <v>1316.9133300999999</v>
      </c>
      <c r="K1475">
        <v>2400</v>
      </c>
      <c r="L1475">
        <v>0</v>
      </c>
      <c r="M1475">
        <v>0</v>
      </c>
      <c r="N1475">
        <v>2400</v>
      </c>
    </row>
    <row r="1476" spans="1:14" x14ac:dyDescent="0.25">
      <c r="A1476">
        <v>841.18127400000003</v>
      </c>
      <c r="B1476" s="1">
        <f>DATE(2012,8,19) + TIME(4,21,2)</f>
        <v>41140.181273148148</v>
      </c>
      <c r="C1476">
        <v>80</v>
      </c>
      <c r="D1476">
        <v>79.962287903000004</v>
      </c>
      <c r="E1476">
        <v>50</v>
      </c>
      <c r="F1476">
        <v>45.493793488000001</v>
      </c>
      <c r="G1476">
        <v>1343.9366454999999</v>
      </c>
      <c r="H1476">
        <v>1340.5152588000001</v>
      </c>
      <c r="I1476">
        <v>1321.2443848</v>
      </c>
      <c r="J1476">
        <v>1316.8658447</v>
      </c>
      <c r="K1476">
        <v>2400</v>
      </c>
      <c r="L1476">
        <v>0</v>
      </c>
      <c r="M1476">
        <v>0</v>
      </c>
      <c r="N1476">
        <v>2400</v>
      </c>
    </row>
    <row r="1477" spans="1:14" x14ac:dyDescent="0.25">
      <c r="A1477">
        <v>842.96839999999997</v>
      </c>
      <c r="B1477" s="1">
        <f>DATE(2012,8,20) + TIME(23,14,29)</f>
        <v>41141.968391203707</v>
      </c>
      <c r="C1477">
        <v>80</v>
      </c>
      <c r="D1477">
        <v>79.962280273000005</v>
      </c>
      <c r="E1477">
        <v>50</v>
      </c>
      <c r="F1477">
        <v>45.493244171000001</v>
      </c>
      <c r="G1477">
        <v>1343.9229736</v>
      </c>
      <c r="H1477">
        <v>1340.5064697</v>
      </c>
      <c r="I1477">
        <v>1321.2158202999999</v>
      </c>
      <c r="J1477">
        <v>1316.8184814000001</v>
      </c>
      <c r="K1477">
        <v>2400</v>
      </c>
      <c r="L1477">
        <v>0</v>
      </c>
      <c r="M1477">
        <v>0</v>
      </c>
      <c r="N1477">
        <v>2400</v>
      </c>
    </row>
    <row r="1478" spans="1:14" x14ac:dyDescent="0.25">
      <c r="A1478">
        <v>844.77988000000005</v>
      </c>
      <c r="B1478" s="1">
        <f>DATE(2012,8,22) + TIME(18,43,1)</f>
        <v>41143.779872685183</v>
      </c>
      <c r="C1478">
        <v>80</v>
      </c>
      <c r="D1478">
        <v>79.962280273000005</v>
      </c>
      <c r="E1478">
        <v>50</v>
      </c>
      <c r="F1478">
        <v>45.500026703000003</v>
      </c>
      <c r="G1478">
        <v>1343.9093018000001</v>
      </c>
      <c r="H1478">
        <v>1340.4976807</v>
      </c>
      <c r="I1478">
        <v>1321.1875</v>
      </c>
      <c r="J1478">
        <v>1316.7712402</v>
      </c>
      <c r="K1478">
        <v>2400</v>
      </c>
      <c r="L1478">
        <v>0</v>
      </c>
      <c r="M1478">
        <v>0</v>
      </c>
      <c r="N1478">
        <v>2400</v>
      </c>
    </row>
    <row r="1479" spans="1:14" x14ac:dyDescent="0.25">
      <c r="A1479">
        <v>846.62341800000002</v>
      </c>
      <c r="B1479" s="1">
        <f>DATE(2012,8,24) + TIME(14,57,43)</f>
        <v>41145.623414351852</v>
      </c>
      <c r="C1479">
        <v>80</v>
      </c>
      <c r="D1479">
        <v>79.962272643999995</v>
      </c>
      <c r="E1479">
        <v>50</v>
      </c>
      <c r="F1479">
        <v>45.515316009999999</v>
      </c>
      <c r="G1479">
        <v>1343.8956298999999</v>
      </c>
      <c r="H1479">
        <v>1340.4888916</v>
      </c>
      <c r="I1479">
        <v>1321.1594238</v>
      </c>
      <c r="J1479">
        <v>1316.7241211</v>
      </c>
      <c r="K1479">
        <v>2400</v>
      </c>
      <c r="L1479">
        <v>0</v>
      </c>
      <c r="M1479">
        <v>0</v>
      </c>
      <c r="N1479">
        <v>2400</v>
      </c>
    </row>
    <row r="1480" spans="1:14" x14ac:dyDescent="0.25">
      <c r="A1480">
        <v>848.52821200000005</v>
      </c>
      <c r="B1480" s="1">
        <f>DATE(2012,8,26) + TIME(12,40,37)</f>
        <v>41147.52820601852</v>
      </c>
      <c r="C1480">
        <v>80</v>
      </c>
      <c r="D1480">
        <v>79.962272643999995</v>
      </c>
      <c r="E1480">
        <v>50</v>
      </c>
      <c r="F1480">
        <v>45.540596008000001</v>
      </c>
      <c r="G1480">
        <v>1343.8819579999999</v>
      </c>
      <c r="H1480">
        <v>1340.4799805</v>
      </c>
      <c r="I1480">
        <v>1321.1314697</v>
      </c>
      <c r="J1480">
        <v>1316.677124</v>
      </c>
      <c r="K1480">
        <v>2400</v>
      </c>
      <c r="L1480">
        <v>0</v>
      </c>
      <c r="M1480">
        <v>0</v>
      </c>
      <c r="N1480">
        <v>2400</v>
      </c>
    </row>
    <row r="1481" spans="1:14" x14ac:dyDescent="0.25">
      <c r="A1481">
        <v>850.467806</v>
      </c>
      <c r="B1481" s="1">
        <f>DATE(2012,8,28) + TIME(11,13,38)</f>
        <v>41149.467800925922</v>
      </c>
      <c r="C1481">
        <v>80</v>
      </c>
      <c r="D1481">
        <v>79.962272643999995</v>
      </c>
      <c r="E1481">
        <v>50</v>
      </c>
      <c r="F1481">
        <v>45.577758789000001</v>
      </c>
      <c r="G1481">
        <v>1343.8680420000001</v>
      </c>
      <c r="H1481">
        <v>1340.4708252</v>
      </c>
      <c r="I1481">
        <v>1321.1035156</v>
      </c>
      <c r="J1481">
        <v>1316.6296387</v>
      </c>
      <c r="K1481">
        <v>2400</v>
      </c>
      <c r="L1481">
        <v>0</v>
      </c>
      <c r="M1481">
        <v>0</v>
      </c>
      <c r="N1481">
        <v>2400</v>
      </c>
    </row>
    <row r="1482" spans="1:14" x14ac:dyDescent="0.25">
      <c r="A1482">
        <v>852.42568900000003</v>
      </c>
      <c r="B1482" s="1">
        <f>DATE(2012,8,30) + TIME(10,12,59)</f>
        <v>41151.425682870373</v>
      </c>
      <c r="C1482">
        <v>80</v>
      </c>
      <c r="D1482">
        <v>79.962265015</v>
      </c>
      <c r="E1482">
        <v>50</v>
      </c>
      <c r="F1482">
        <v>45.628486633000001</v>
      </c>
      <c r="G1482">
        <v>1343.8540039</v>
      </c>
      <c r="H1482">
        <v>1340.4616699000001</v>
      </c>
      <c r="I1482">
        <v>1321.0759277</v>
      </c>
      <c r="J1482">
        <v>1316.5823975000001</v>
      </c>
      <c r="K1482">
        <v>2400</v>
      </c>
      <c r="L1482">
        <v>0</v>
      </c>
      <c r="M1482">
        <v>0</v>
      </c>
      <c r="N1482">
        <v>2400</v>
      </c>
    </row>
    <row r="1483" spans="1:14" x14ac:dyDescent="0.25">
      <c r="A1483">
        <v>854</v>
      </c>
      <c r="B1483" s="1">
        <f>DATE(2012,9,1) + TIME(0,0,0)</f>
        <v>41153</v>
      </c>
      <c r="C1483">
        <v>80</v>
      </c>
      <c r="D1483">
        <v>79.962257385000001</v>
      </c>
      <c r="E1483">
        <v>50</v>
      </c>
      <c r="F1483">
        <v>45.690013884999999</v>
      </c>
      <c r="G1483">
        <v>1343.8399658000001</v>
      </c>
      <c r="H1483">
        <v>1340.4523925999999</v>
      </c>
      <c r="I1483">
        <v>1321.0496826000001</v>
      </c>
      <c r="J1483">
        <v>1316.5369873</v>
      </c>
      <c r="K1483">
        <v>2400</v>
      </c>
      <c r="L1483">
        <v>0</v>
      </c>
      <c r="M1483">
        <v>0</v>
      </c>
      <c r="N1483">
        <v>2400</v>
      </c>
    </row>
    <row r="1484" spans="1:14" x14ac:dyDescent="0.25">
      <c r="A1484">
        <v>855.986853</v>
      </c>
      <c r="B1484" s="1">
        <f>DATE(2012,9,2) + TIME(23,41,4)</f>
        <v>41154.986851851849</v>
      </c>
      <c r="C1484">
        <v>80</v>
      </c>
      <c r="D1484">
        <v>79.962265015</v>
      </c>
      <c r="E1484">
        <v>50</v>
      </c>
      <c r="F1484">
        <v>45.762916564999998</v>
      </c>
      <c r="G1484">
        <v>1343.8288574000001</v>
      </c>
      <c r="H1484">
        <v>1340.4450684000001</v>
      </c>
      <c r="I1484">
        <v>1321.0266113</v>
      </c>
      <c r="J1484">
        <v>1316.4975586</v>
      </c>
      <c r="K1484">
        <v>2400</v>
      </c>
      <c r="L1484">
        <v>0</v>
      </c>
      <c r="M1484">
        <v>0</v>
      </c>
      <c r="N1484">
        <v>2400</v>
      </c>
    </row>
    <row r="1485" spans="1:14" x14ac:dyDescent="0.25">
      <c r="A1485">
        <v>858.05446600000005</v>
      </c>
      <c r="B1485" s="1">
        <f>DATE(2012,9,5) + TIME(1,18,25)</f>
        <v>41157.054456018515</v>
      </c>
      <c r="C1485">
        <v>80</v>
      </c>
      <c r="D1485">
        <v>79.962272643999995</v>
      </c>
      <c r="E1485">
        <v>50</v>
      </c>
      <c r="F1485">
        <v>45.859630584999998</v>
      </c>
      <c r="G1485">
        <v>1343.8149414</v>
      </c>
      <c r="H1485">
        <v>1340.4357910000001</v>
      </c>
      <c r="I1485">
        <v>1321.0017089999999</v>
      </c>
      <c r="J1485">
        <v>1316.4541016000001</v>
      </c>
      <c r="K1485">
        <v>2400</v>
      </c>
      <c r="L1485">
        <v>0</v>
      </c>
      <c r="M1485">
        <v>0</v>
      </c>
      <c r="N1485">
        <v>2400</v>
      </c>
    </row>
    <row r="1486" spans="1:14" x14ac:dyDescent="0.25">
      <c r="A1486">
        <v>860.154315</v>
      </c>
      <c r="B1486" s="1">
        <f>DATE(2012,9,7) + TIME(3,42,12)</f>
        <v>41159.154305555552</v>
      </c>
      <c r="C1486">
        <v>80</v>
      </c>
      <c r="D1486">
        <v>79.962272643999995</v>
      </c>
      <c r="E1486">
        <v>50</v>
      </c>
      <c r="F1486">
        <v>45.980587006</v>
      </c>
      <c r="G1486">
        <v>1343.8007812000001</v>
      </c>
      <c r="H1486">
        <v>1340.4262695</v>
      </c>
      <c r="I1486">
        <v>1320.9765625</v>
      </c>
      <c r="J1486">
        <v>1316.4100341999999</v>
      </c>
      <c r="K1486">
        <v>2400</v>
      </c>
      <c r="L1486">
        <v>0</v>
      </c>
      <c r="M1486">
        <v>0</v>
      </c>
      <c r="N1486">
        <v>2400</v>
      </c>
    </row>
    <row r="1487" spans="1:14" x14ac:dyDescent="0.25">
      <c r="A1487">
        <v>862.28222600000004</v>
      </c>
      <c r="B1487" s="1">
        <f>DATE(2012,9,9) + TIME(6,46,24)</f>
        <v>41161.282222222224</v>
      </c>
      <c r="C1487">
        <v>80</v>
      </c>
      <c r="D1487">
        <v>79.962280273000005</v>
      </c>
      <c r="E1487">
        <v>50</v>
      </c>
      <c r="F1487">
        <v>46.126518249999997</v>
      </c>
      <c r="G1487">
        <v>1343.786499</v>
      </c>
      <c r="H1487">
        <v>1340.4167480000001</v>
      </c>
      <c r="I1487">
        <v>1320.9519043</v>
      </c>
      <c r="J1487">
        <v>1316.3668213000001</v>
      </c>
      <c r="K1487">
        <v>2400</v>
      </c>
      <c r="L1487">
        <v>0</v>
      </c>
      <c r="M1487">
        <v>0</v>
      </c>
      <c r="N1487">
        <v>2400</v>
      </c>
    </row>
    <row r="1488" spans="1:14" x14ac:dyDescent="0.25">
      <c r="A1488">
        <v>864.45007499999997</v>
      </c>
      <c r="B1488" s="1">
        <f>DATE(2012,9,11) + TIME(10,48,6)</f>
        <v>41163.450069444443</v>
      </c>
      <c r="C1488">
        <v>80</v>
      </c>
      <c r="D1488">
        <v>79.962280273000005</v>
      </c>
      <c r="E1488">
        <v>50</v>
      </c>
      <c r="F1488">
        <v>46.299365997000002</v>
      </c>
      <c r="G1488">
        <v>1343.7722168</v>
      </c>
      <c r="H1488">
        <v>1340.4071045000001</v>
      </c>
      <c r="I1488">
        <v>1320.9279785000001</v>
      </c>
      <c r="J1488">
        <v>1316.3248291</v>
      </c>
      <c r="K1488">
        <v>2400</v>
      </c>
      <c r="L1488">
        <v>0</v>
      </c>
      <c r="M1488">
        <v>0</v>
      </c>
      <c r="N1488">
        <v>2400</v>
      </c>
    </row>
    <row r="1489" spans="1:14" x14ac:dyDescent="0.25">
      <c r="A1489">
        <v>866.66589499999998</v>
      </c>
      <c r="B1489" s="1">
        <f>DATE(2012,9,13) + TIME(15,58,53)</f>
        <v>41165.665891203702</v>
      </c>
      <c r="C1489">
        <v>80</v>
      </c>
      <c r="D1489">
        <v>79.962287903000004</v>
      </c>
      <c r="E1489">
        <v>50</v>
      </c>
      <c r="F1489">
        <v>46.501792907999999</v>
      </c>
      <c r="G1489">
        <v>1343.7578125</v>
      </c>
      <c r="H1489">
        <v>1340.3973389</v>
      </c>
      <c r="I1489">
        <v>1320.9049072</v>
      </c>
      <c r="J1489">
        <v>1316.2843018000001</v>
      </c>
      <c r="K1489">
        <v>2400</v>
      </c>
      <c r="L1489">
        <v>0</v>
      </c>
      <c r="M1489">
        <v>0</v>
      </c>
      <c r="N1489">
        <v>2400</v>
      </c>
    </row>
    <row r="1490" spans="1:14" x14ac:dyDescent="0.25">
      <c r="A1490">
        <v>868.91318999999999</v>
      </c>
      <c r="B1490" s="1">
        <f>DATE(2012,9,15) + TIME(21,54,59)</f>
        <v>41167.913182870368</v>
      </c>
      <c r="C1490">
        <v>80</v>
      </c>
      <c r="D1490">
        <v>79.962295531999999</v>
      </c>
      <c r="E1490">
        <v>50</v>
      </c>
      <c r="F1490">
        <v>46.736072540000002</v>
      </c>
      <c r="G1490">
        <v>1343.7434082</v>
      </c>
      <c r="H1490">
        <v>1340.3874512</v>
      </c>
      <c r="I1490">
        <v>1320.8825684000001</v>
      </c>
      <c r="J1490">
        <v>1316.2454834</v>
      </c>
      <c r="K1490">
        <v>2400</v>
      </c>
      <c r="L1490">
        <v>0</v>
      </c>
      <c r="M1490">
        <v>0</v>
      </c>
      <c r="N1490">
        <v>2400</v>
      </c>
    </row>
    <row r="1491" spans="1:14" x14ac:dyDescent="0.25">
      <c r="A1491">
        <v>871.17919700000004</v>
      </c>
      <c r="B1491" s="1">
        <f>DATE(2012,9,18) + TIME(4,18,2)</f>
        <v>41170.179189814815</v>
      </c>
      <c r="C1491">
        <v>80</v>
      </c>
      <c r="D1491">
        <v>79.962303161999998</v>
      </c>
      <c r="E1491">
        <v>50</v>
      </c>
      <c r="F1491">
        <v>47.002292633000003</v>
      </c>
      <c r="G1491">
        <v>1343.7288818</v>
      </c>
      <c r="H1491">
        <v>1340.3775635</v>
      </c>
      <c r="I1491">
        <v>1320.8614502</v>
      </c>
      <c r="J1491">
        <v>1316.2086182</v>
      </c>
      <c r="K1491">
        <v>2400</v>
      </c>
      <c r="L1491">
        <v>0</v>
      </c>
      <c r="M1491">
        <v>0</v>
      </c>
      <c r="N1491">
        <v>2400</v>
      </c>
    </row>
    <row r="1492" spans="1:14" x14ac:dyDescent="0.25">
      <c r="A1492">
        <v>873.47829100000001</v>
      </c>
      <c r="B1492" s="1">
        <f>DATE(2012,9,20) + TIME(11,28,44)</f>
        <v>41172.47828703704</v>
      </c>
      <c r="C1492">
        <v>80</v>
      </c>
      <c r="D1492">
        <v>79.962310790999993</v>
      </c>
      <c r="E1492">
        <v>50</v>
      </c>
      <c r="F1492">
        <v>47.299968718999999</v>
      </c>
      <c r="G1492">
        <v>1343.7144774999999</v>
      </c>
      <c r="H1492">
        <v>1340.3676757999999</v>
      </c>
      <c r="I1492">
        <v>1320.8413086</v>
      </c>
      <c r="J1492">
        <v>1316.1740723</v>
      </c>
      <c r="K1492">
        <v>2400</v>
      </c>
      <c r="L1492">
        <v>0</v>
      </c>
      <c r="M1492">
        <v>0</v>
      </c>
      <c r="N1492">
        <v>2400</v>
      </c>
    </row>
    <row r="1493" spans="1:14" x14ac:dyDescent="0.25">
      <c r="A1493">
        <v>875.80617299999994</v>
      </c>
      <c r="B1493" s="1">
        <f>DATE(2012,9,22) + TIME(19,20,53)</f>
        <v>41174.806168981479</v>
      </c>
      <c r="C1493">
        <v>80</v>
      </c>
      <c r="D1493">
        <v>79.962318420000003</v>
      </c>
      <c r="E1493">
        <v>50</v>
      </c>
      <c r="F1493">
        <v>47.629100800000003</v>
      </c>
      <c r="G1493">
        <v>1343.7000731999999</v>
      </c>
      <c r="H1493">
        <v>1340.3576660000001</v>
      </c>
      <c r="I1493">
        <v>1320.8222656</v>
      </c>
      <c r="J1493">
        <v>1316.1417236</v>
      </c>
      <c r="K1493">
        <v>2400</v>
      </c>
      <c r="L1493">
        <v>0</v>
      </c>
      <c r="M1493">
        <v>0</v>
      </c>
      <c r="N1493">
        <v>2400</v>
      </c>
    </row>
    <row r="1494" spans="1:14" x14ac:dyDescent="0.25">
      <c r="A1494">
        <v>878.17043899999999</v>
      </c>
      <c r="B1494" s="1">
        <f>DATE(2012,9,25) + TIME(4,5,25)</f>
        <v>41177.170428240737</v>
      </c>
      <c r="C1494">
        <v>80</v>
      </c>
      <c r="D1494">
        <v>79.962333678999997</v>
      </c>
      <c r="E1494">
        <v>50</v>
      </c>
      <c r="F1494">
        <v>47.988128662000001</v>
      </c>
      <c r="G1494">
        <v>1343.6857910000001</v>
      </c>
      <c r="H1494">
        <v>1340.3477783000001</v>
      </c>
      <c r="I1494">
        <v>1320.8044434000001</v>
      </c>
      <c r="J1494">
        <v>1316.1118164</v>
      </c>
      <c r="K1494">
        <v>2400</v>
      </c>
      <c r="L1494">
        <v>0</v>
      </c>
      <c r="M1494">
        <v>0</v>
      </c>
      <c r="N1494">
        <v>2400</v>
      </c>
    </row>
    <row r="1495" spans="1:14" x14ac:dyDescent="0.25">
      <c r="A1495">
        <v>880.57022600000005</v>
      </c>
      <c r="B1495" s="1">
        <f>DATE(2012,9,27) + TIME(13,41,7)</f>
        <v>41179.570219907408</v>
      </c>
      <c r="C1495">
        <v>80</v>
      </c>
      <c r="D1495">
        <v>79.962341308999996</v>
      </c>
      <c r="E1495">
        <v>50</v>
      </c>
      <c r="F1495">
        <v>48.375087737999998</v>
      </c>
      <c r="G1495">
        <v>1343.6713867000001</v>
      </c>
      <c r="H1495">
        <v>1340.3377685999999</v>
      </c>
      <c r="I1495">
        <v>1320.7875977000001</v>
      </c>
      <c r="J1495">
        <v>1316.0843506000001</v>
      </c>
      <c r="K1495">
        <v>2400</v>
      </c>
      <c r="L1495">
        <v>0</v>
      </c>
      <c r="M1495">
        <v>0</v>
      </c>
      <c r="N1495">
        <v>2400</v>
      </c>
    </row>
    <row r="1496" spans="1:14" x14ac:dyDescent="0.25">
      <c r="A1496">
        <v>883.00938900000006</v>
      </c>
      <c r="B1496" s="1">
        <f>DATE(2012,9,30) + TIME(0,13,31)</f>
        <v>41182.009386574071</v>
      </c>
      <c r="C1496">
        <v>80</v>
      </c>
      <c r="D1496">
        <v>79.962356567</v>
      </c>
      <c r="E1496">
        <v>50</v>
      </c>
      <c r="F1496">
        <v>48.787178040000001</v>
      </c>
      <c r="G1496">
        <v>1343.6571045000001</v>
      </c>
      <c r="H1496">
        <v>1340.3277588000001</v>
      </c>
      <c r="I1496">
        <v>1320.7718506000001</v>
      </c>
      <c r="J1496">
        <v>1316.0592041</v>
      </c>
      <c r="K1496">
        <v>2400</v>
      </c>
      <c r="L1496">
        <v>0</v>
      </c>
      <c r="M1496">
        <v>0</v>
      </c>
      <c r="N1496">
        <v>2400</v>
      </c>
    </row>
    <row r="1497" spans="1:14" x14ac:dyDescent="0.25">
      <c r="A1497">
        <v>884</v>
      </c>
      <c r="B1497" s="1">
        <f>DATE(2012,10,1) + TIME(0,0,0)</f>
        <v>41183</v>
      </c>
      <c r="C1497">
        <v>80</v>
      </c>
      <c r="D1497">
        <v>79.962341308999996</v>
      </c>
      <c r="E1497">
        <v>50</v>
      </c>
      <c r="F1497">
        <v>49.114356995000001</v>
      </c>
      <c r="G1497">
        <v>1343.6427002</v>
      </c>
      <c r="H1497">
        <v>1340.3176269999999</v>
      </c>
      <c r="I1497">
        <v>1320.7633057</v>
      </c>
      <c r="J1497">
        <v>1316.0393065999999</v>
      </c>
      <c r="K1497">
        <v>2400</v>
      </c>
      <c r="L1497">
        <v>0</v>
      </c>
      <c r="M1497">
        <v>0</v>
      </c>
      <c r="N1497">
        <v>2400</v>
      </c>
    </row>
    <row r="1498" spans="1:14" x14ac:dyDescent="0.25">
      <c r="A1498">
        <v>886.49461099999996</v>
      </c>
      <c r="B1498" s="1">
        <f>DATE(2012,10,3) + TIME(11,52,14)</f>
        <v>41185.494606481479</v>
      </c>
      <c r="C1498">
        <v>80</v>
      </c>
      <c r="D1498">
        <v>79.962371825999995</v>
      </c>
      <c r="E1498">
        <v>50</v>
      </c>
      <c r="F1498">
        <v>49.435161591000004</v>
      </c>
      <c r="G1498">
        <v>1343.6369629000001</v>
      </c>
      <c r="H1498">
        <v>1340.3135986</v>
      </c>
      <c r="I1498">
        <v>1320.7495117000001</v>
      </c>
      <c r="J1498">
        <v>1316.0272216999999</v>
      </c>
      <c r="K1498">
        <v>2400</v>
      </c>
      <c r="L1498">
        <v>0</v>
      </c>
      <c r="M1498">
        <v>0</v>
      </c>
      <c r="N1498">
        <v>2400</v>
      </c>
    </row>
    <row r="1499" spans="1:14" x14ac:dyDescent="0.25">
      <c r="A1499">
        <v>889.09726499999999</v>
      </c>
      <c r="B1499" s="1">
        <f>DATE(2012,10,6) + TIME(2,20,3)</f>
        <v>41188.097256944442</v>
      </c>
      <c r="C1499">
        <v>80</v>
      </c>
      <c r="D1499">
        <v>79.962394713999998</v>
      </c>
      <c r="E1499">
        <v>50</v>
      </c>
      <c r="F1499">
        <v>49.868980407999999</v>
      </c>
      <c r="G1499">
        <v>1343.6226807</v>
      </c>
      <c r="H1499">
        <v>1340.3035889</v>
      </c>
      <c r="I1499">
        <v>1320.7376709</v>
      </c>
      <c r="J1499">
        <v>1316.0076904</v>
      </c>
      <c r="K1499">
        <v>2400</v>
      </c>
      <c r="L1499">
        <v>0</v>
      </c>
      <c r="M1499">
        <v>0</v>
      </c>
      <c r="N1499">
        <v>2400</v>
      </c>
    </row>
    <row r="1500" spans="1:14" x14ac:dyDescent="0.25">
      <c r="A1500">
        <v>891.78431599999999</v>
      </c>
      <c r="B1500" s="1">
        <f>DATE(2012,10,8) + TIME(18,49,24)</f>
        <v>41190.784305555557</v>
      </c>
      <c r="C1500">
        <v>80</v>
      </c>
      <c r="D1500">
        <v>79.962409973000007</v>
      </c>
      <c r="E1500">
        <v>50</v>
      </c>
      <c r="F1500">
        <v>50.345439911</v>
      </c>
      <c r="G1500">
        <v>1343.6080322</v>
      </c>
      <c r="H1500">
        <v>1340.2932129000001</v>
      </c>
      <c r="I1500">
        <v>1320.7255858999999</v>
      </c>
      <c r="J1500">
        <v>1315.989624</v>
      </c>
      <c r="K1500">
        <v>2400</v>
      </c>
      <c r="L1500">
        <v>0</v>
      </c>
      <c r="M1500">
        <v>0</v>
      </c>
      <c r="N1500">
        <v>2400</v>
      </c>
    </row>
    <row r="1501" spans="1:14" x14ac:dyDescent="0.25">
      <c r="A1501">
        <v>894.49460899999997</v>
      </c>
      <c r="B1501" s="1">
        <f>DATE(2012,10,11) + TIME(11,52,14)</f>
        <v>41193.494606481479</v>
      </c>
      <c r="C1501">
        <v>80</v>
      </c>
      <c r="D1501">
        <v>79.962432860999996</v>
      </c>
      <c r="E1501">
        <v>50</v>
      </c>
      <c r="F1501">
        <v>50.840606688999998</v>
      </c>
      <c r="G1501">
        <v>1343.5931396000001</v>
      </c>
      <c r="H1501">
        <v>1340.2825928</v>
      </c>
      <c r="I1501">
        <v>1320.7141113</v>
      </c>
      <c r="J1501">
        <v>1315.9732666</v>
      </c>
      <c r="K1501">
        <v>2400</v>
      </c>
      <c r="L1501">
        <v>0</v>
      </c>
      <c r="M1501">
        <v>0</v>
      </c>
      <c r="N1501">
        <v>2400</v>
      </c>
    </row>
    <row r="1502" spans="1:14" x14ac:dyDescent="0.25">
      <c r="A1502">
        <v>897.220012</v>
      </c>
      <c r="B1502" s="1">
        <f>DATE(2012,10,14) + TIME(5,16,49)</f>
        <v>41196.220011574071</v>
      </c>
      <c r="C1502">
        <v>80</v>
      </c>
      <c r="D1502">
        <v>79.962448120000005</v>
      </c>
      <c r="E1502">
        <v>50</v>
      </c>
      <c r="F1502">
        <v>51.338630676000001</v>
      </c>
      <c r="G1502">
        <v>1343.5783690999999</v>
      </c>
      <c r="H1502">
        <v>1340.2722168</v>
      </c>
      <c r="I1502">
        <v>1320.7036132999999</v>
      </c>
      <c r="J1502">
        <v>1315.9588623</v>
      </c>
      <c r="K1502">
        <v>2400</v>
      </c>
      <c r="L1502">
        <v>0</v>
      </c>
      <c r="M1502">
        <v>0</v>
      </c>
      <c r="N1502">
        <v>2400</v>
      </c>
    </row>
    <row r="1503" spans="1:14" x14ac:dyDescent="0.25">
      <c r="A1503">
        <v>899.95088899999996</v>
      </c>
      <c r="B1503" s="1">
        <f>DATE(2012,10,16) + TIME(22,49,16)</f>
        <v>41198.950879629629</v>
      </c>
      <c r="C1503">
        <v>80</v>
      </c>
      <c r="D1503">
        <v>79.962471007999994</v>
      </c>
      <c r="E1503">
        <v>50</v>
      </c>
      <c r="F1503">
        <v>51.833084106000001</v>
      </c>
      <c r="G1503">
        <v>1343.5639647999999</v>
      </c>
      <c r="H1503">
        <v>1340.2618408000001</v>
      </c>
      <c r="I1503">
        <v>1320.6940918</v>
      </c>
      <c r="J1503">
        <v>1315.9462891000001</v>
      </c>
      <c r="K1503">
        <v>2400</v>
      </c>
      <c r="L1503">
        <v>0</v>
      </c>
      <c r="M1503">
        <v>0</v>
      </c>
      <c r="N1503">
        <v>2400</v>
      </c>
    </row>
    <row r="1504" spans="1:14" x14ac:dyDescent="0.25">
      <c r="A1504">
        <v>902.707626</v>
      </c>
      <c r="B1504" s="1">
        <f>DATE(2012,10,19) + TIME(16,58,58)</f>
        <v>41201.707615740743</v>
      </c>
      <c r="C1504">
        <v>80</v>
      </c>
      <c r="D1504">
        <v>79.962493895999998</v>
      </c>
      <c r="E1504">
        <v>50</v>
      </c>
      <c r="F1504">
        <v>52.319705962999997</v>
      </c>
      <c r="G1504">
        <v>1343.5496826000001</v>
      </c>
      <c r="H1504">
        <v>1340.2517089999999</v>
      </c>
      <c r="I1504">
        <v>1320.6855469</v>
      </c>
      <c r="J1504">
        <v>1315.9354248</v>
      </c>
      <c r="K1504">
        <v>2400</v>
      </c>
      <c r="L1504">
        <v>0</v>
      </c>
      <c r="M1504">
        <v>0</v>
      </c>
      <c r="N1504">
        <v>2400</v>
      </c>
    </row>
    <row r="1505" spans="1:14" x14ac:dyDescent="0.25">
      <c r="A1505">
        <v>905.51064299999996</v>
      </c>
      <c r="B1505" s="1">
        <f>DATE(2012,10,22) + TIME(12,15,19)</f>
        <v>41204.510636574072</v>
      </c>
      <c r="C1505">
        <v>80</v>
      </c>
      <c r="D1505">
        <v>79.962516785000005</v>
      </c>
      <c r="E1505">
        <v>50</v>
      </c>
      <c r="F1505">
        <v>52.798732758</v>
      </c>
      <c r="G1505">
        <v>1343.5356445</v>
      </c>
      <c r="H1505">
        <v>1340.2416992000001</v>
      </c>
      <c r="I1505">
        <v>1320.6778564000001</v>
      </c>
      <c r="J1505">
        <v>1315.9260254000001</v>
      </c>
      <c r="K1505">
        <v>2400</v>
      </c>
      <c r="L1505">
        <v>0</v>
      </c>
      <c r="M1505">
        <v>0</v>
      </c>
      <c r="N1505">
        <v>2400</v>
      </c>
    </row>
    <row r="1506" spans="1:14" x14ac:dyDescent="0.25">
      <c r="A1506">
        <v>908.37952499999994</v>
      </c>
      <c r="B1506" s="1">
        <f>DATE(2012,10,25) + TIME(9,6,30)</f>
        <v>41207.379513888889</v>
      </c>
      <c r="C1506">
        <v>80</v>
      </c>
      <c r="D1506">
        <v>79.962539672999995</v>
      </c>
      <c r="E1506">
        <v>50</v>
      </c>
      <c r="F1506">
        <v>53.271800995</v>
      </c>
      <c r="G1506">
        <v>1343.5216064000001</v>
      </c>
      <c r="H1506">
        <v>1340.2316894999999</v>
      </c>
      <c r="I1506">
        <v>1320.6710204999999</v>
      </c>
      <c r="J1506">
        <v>1315.9177245999999</v>
      </c>
      <c r="K1506">
        <v>2400</v>
      </c>
      <c r="L1506">
        <v>0</v>
      </c>
      <c r="M1506">
        <v>0</v>
      </c>
      <c r="N1506">
        <v>2400</v>
      </c>
    </row>
    <row r="1507" spans="1:14" x14ac:dyDescent="0.25">
      <c r="A1507">
        <v>911.33598800000004</v>
      </c>
      <c r="B1507" s="1">
        <f>DATE(2012,10,28) + TIME(8,3,49)</f>
        <v>41210.3359837963</v>
      </c>
      <c r="C1507">
        <v>80</v>
      </c>
      <c r="D1507">
        <v>79.962562560999999</v>
      </c>
      <c r="E1507">
        <v>50</v>
      </c>
      <c r="F1507">
        <v>53.739376067999999</v>
      </c>
      <c r="G1507">
        <v>1343.5075684000001</v>
      </c>
      <c r="H1507">
        <v>1340.2215576000001</v>
      </c>
      <c r="I1507">
        <v>1320.6647949000001</v>
      </c>
      <c r="J1507">
        <v>1315.9104004000001</v>
      </c>
      <c r="K1507">
        <v>2400</v>
      </c>
      <c r="L1507">
        <v>0</v>
      </c>
      <c r="M1507">
        <v>0</v>
      </c>
      <c r="N1507">
        <v>2400</v>
      </c>
    </row>
    <row r="1508" spans="1:14" x14ac:dyDescent="0.25">
      <c r="A1508">
        <v>914.36157000000003</v>
      </c>
      <c r="B1508" s="1">
        <f>DATE(2012,10,31) + TIME(8,40,39)</f>
        <v>41213.361562500002</v>
      </c>
      <c r="C1508">
        <v>80</v>
      </c>
      <c r="D1508">
        <v>79.962593079000001</v>
      </c>
      <c r="E1508">
        <v>50</v>
      </c>
      <c r="F1508">
        <v>54.202922821000001</v>
      </c>
      <c r="G1508">
        <v>1343.4934082</v>
      </c>
      <c r="H1508">
        <v>1340.2114257999999</v>
      </c>
      <c r="I1508">
        <v>1320.6591797000001</v>
      </c>
      <c r="J1508">
        <v>1315.9039307</v>
      </c>
      <c r="K1508">
        <v>2400</v>
      </c>
      <c r="L1508">
        <v>0</v>
      </c>
      <c r="M1508">
        <v>0</v>
      </c>
      <c r="N1508">
        <v>2400</v>
      </c>
    </row>
    <row r="1509" spans="1:14" x14ac:dyDescent="0.25">
      <c r="A1509">
        <v>915</v>
      </c>
      <c r="B1509" s="1">
        <f>DATE(2012,11,1) + TIME(0,0,0)</f>
        <v>41214</v>
      </c>
      <c r="C1509">
        <v>80</v>
      </c>
      <c r="D1509">
        <v>79.962577820000007</v>
      </c>
      <c r="E1509">
        <v>50</v>
      </c>
      <c r="F1509">
        <v>54.480117798000002</v>
      </c>
      <c r="G1509">
        <v>1343.4792480000001</v>
      </c>
      <c r="H1509">
        <v>1340.2012939000001</v>
      </c>
      <c r="I1509">
        <v>1320.6633300999999</v>
      </c>
      <c r="J1509">
        <v>1315.9014893000001</v>
      </c>
      <c r="K1509">
        <v>2400</v>
      </c>
      <c r="L1509">
        <v>0</v>
      </c>
      <c r="M1509">
        <v>0</v>
      </c>
      <c r="N1509">
        <v>2400</v>
      </c>
    </row>
    <row r="1510" spans="1:14" x14ac:dyDescent="0.25">
      <c r="A1510">
        <v>915.000001</v>
      </c>
      <c r="B1510" s="1">
        <f>DATE(2012,11,1) + TIME(0,0,0)</f>
        <v>41214</v>
      </c>
      <c r="C1510">
        <v>80</v>
      </c>
      <c r="D1510">
        <v>79.962478637999993</v>
      </c>
      <c r="E1510">
        <v>50</v>
      </c>
      <c r="F1510">
        <v>54.480239867999998</v>
      </c>
      <c r="G1510">
        <v>1339.4914550999999</v>
      </c>
      <c r="H1510">
        <v>1337.7055664</v>
      </c>
      <c r="I1510">
        <v>1326.3405762</v>
      </c>
      <c r="J1510">
        <v>1321.6580810999999</v>
      </c>
      <c r="K1510">
        <v>0</v>
      </c>
      <c r="L1510">
        <v>2400</v>
      </c>
      <c r="M1510">
        <v>2400</v>
      </c>
      <c r="N1510">
        <v>0</v>
      </c>
    </row>
    <row r="1511" spans="1:14" x14ac:dyDescent="0.25">
      <c r="A1511">
        <v>915.00000399999999</v>
      </c>
      <c r="B1511" s="1">
        <f>DATE(2012,11,1) + TIME(0,0,0)</f>
        <v>41214</v>
      </c>
      <c r="C1511">
        <v>80</v>
      </c>
      <c r="D1511">
        <v>79.962303161999998</v>
      </c>
      <c r="E1511">
        <v>50</v>
      </c>
      <c r="F1511">
        <v>54.480464935000001</v>
      </c>
      <c r="G1511">
        <v>1338.2777100000001</v>
      </c>
      <c r="H1511">
        <v>1336.4916992000001</v>
      </c>
      <c r="I1511">
        <v>1327.9981689000001</v>
      </c>
      <c r="J1511">
        <v>1323.5279541</v>
      </c>
      <c r="K1511">
        <v>0</v>
      </c>
      <c r="L1511">
        <v>2400</v>
      </c>
      <c r="M1511">
        <v>2400</v>
      </c>
      <c r="N1511">
        <v>0</v>
      </c>
    </row>
    <row r="1512" spans="1:14" x14ac:dyDescent="0.25">
      <c r="A1512">
        <v>915.00001299999997</v>
      </c>
      <c r="B1512" s="1">
        <f>DATE(2012,11,1) + TIME(0,0,1)</f>
        <v>41214.000011574077</v>
      </c>
      <c r="C1512">
        <v>80</v>
      </c>
      <c r="D1512">
        <v>79.962097168</v>
      </c>
      <c r="E1512">
        <v>50</v>
      </c>
      <c r="F1512">
        <v>54.480728149000001</v>
      </c>
      <c r="G1512">
        <v>1336.7913818</v>
      </c>
      <c r="H1512">
        <v>1335.0029297000001</v>
      </c>
      <c r="I1512">
        <v>1330.4698486</v>
      </c>
      <c r="J1512">
        <v>1326.0489502</v>
      </c>
      <c r="K1512">
        <v>0</v>
      </c>
      <c r="L1512">
        <v>2400</v>
      </c>
      <c r="M1512">
        <v>2400</v>
      </c>
      <c r="N1512">
        <v>0</v>
      </c>
    </row>
    <row r="1513" spans="1:14" x14ac:dyDescent="0.25">
      <c r="A1513">
        <v>915.00004000000001</v>
      </c>
      <c r="B1513" s="1">
        <f>DATE(2012,11,1) + TIME(0,0,3)</f>
        <v>41214.000034722223</v>
      </c>
      <c r="C1513">
        <v>80</v>
      </c>
      <c r="D1513">
        <v>79.961875915999997</v>
      </c>
      <c r="E1513">
        <v>50</v>
      </c>
      <c r="F1513">
        <v>54.480895996000001</v>
      </c>
      <c r="G1513">
        <v>1335.2836914</v>
      </c>
      <c r="H1513">
        <v>1333.4818115</v>
      </c>
      <c r="I1513">
        <v>1333.2722168</v>
      </c>
      <c r="J1513">
        <v>1328.7949219</v>
      </c>
      <c r="K1513">
        <v>0</v>
      </c>
      <c r="L1513">
        <v>2400</v>
      </c>
      <c r="M1513">
        <v>2400</v>
      </c>
      <c r="N1513">
        <v>0</v>
      </c>
    </row>
    <row r="1514" spans="1:14" x14ac:dyDescent="0.25">
      <c r="A1514">
        <v>915.00012100000004</v>
      </c>
      <c r="B1514" s="1">
        <f>DATE(2012,11,1) + TIME(0,0,10)</f>
        <v>41214.000115740739</v>
      </c>
      <c r="C1514">
        <v>80</v>
      </c>
      <c r="D1514">
        <v>79.961647033999995</v>
      </c>
      <c r="E1514">
        <v>50</v>
      </c>
      <c r="F1514">
        <v>54.480693817000002</v>
      </c>
      <c r="G1514">
        <v>1333.7631836</v>
      </c>
      <c r="H1514">
        <v>1331.9182129000001</v>
      </c>
      <c r="I1514">
        <v>1336.1022949000001</v>
      </c>
      <c r="J1514">
        <v>1331.5625</v>
      </c>
      <c r="K1514">
        <v>0</v>
      </c>
      <c r="L1514">
        <v>2400</v>
      </c>
      <c r="M1514">
        <v>2400</v>
      </c>
      <c r="N1514">
        <v>0</v>
      </c>
    </row>
    <row r="1515" spans="1:14" x14ac:dyDescent="0.25">
      <c r="A1515">
        <v>915.00036399999999</v>
      </c>
      <c r="B1515" s="1">
        <f>DATE(2012,11,1) + TIME(0,0,31)</f>
        <v>41214.000358796293</v>
      </c>
      <c r="C1515">
        <v>80</v>
      </c>
      <c r="D1515">
        <v>79.961380004999995</v>
      </c>
      <c r="E1515">
        <v>50</v>
      </c>
      <c r="F1515">
        <v>54.479347228999998</v>
      </c>
      <c r="G1515">
        <v>1332.1437988</v>
      </c>
      <c r="H1515">
        <v>1330.2116699000001</v>
      </c>
      <c r="I1515">
        <v>1338.9434814000001</v>
      </c>
      <c r="J1515">
        <v>1334.3303223</v>
      </c>
      <c r="K1515">
        <v>0</v>
      </c>
      <c r="L1515">
        <v>2400</v>
      </c>
      <c r="M1515">
        <v>2400</v>
      </c>
      <c r="N1515">
        <v>0</v>
      </c>
    </row>
    <row r="1516" spans="1:14" x14ac:dyDescent="0.25">
      <c r="A1516">
        <v>915.00109299999997</v>
      </c>
      <c r="B1516" s="1">
        <f>DATE(2012,11,1) + TIME(0,1,34)</f>
        <v>41214.001087962963</v>
      </c>
      <c r="C1516">
        <v>80</v>
      </c>
      <c r="D1516">
        <v>79.961013793999996</v>
      </c>
      <c r="E1516">
        <v>50</v>
      </c>
      <c r="F1516">
        <v>54.474487304999997</v>
      </c>
      <c r="G1516">
        <v>1330.4083252</v>
      </c>
      <c r="H1516">
        <v>1328.3664550999999</v>
      </c>
      <c r="I1516">
        <v>1341.7364502</v>
      </c>
      <c r="J1516">
        <v>1337.0264893000001</v>
      </c>
      <c r="K1516">
        <v>0</v>
      </c>
      <c r="L1516">
        <v>2400</v>
      </c>
      <c r="M1516">
        <v>2400</v>
      </c>
      <c r="N1516">
        <v>0</v>
      </c>
    </row>
    <row r="1517" spans="1:14" x14ac:dyDescent="0.25">
      <c r="A1517">
        <v>915.00328000000002</v>
      </c>
      <c r="B1517" s="1">
        <f>DATE(2012,11,1) + TIME(0,4,43)</f>
        <v>41214.003275462965</v>
      </c>
      <c r="C1517">
        <v>80</v>
      </c>
      <c r="D1517">
        <v>79.960411071999999</v>
      </c>
      <c r="E1517">
        <v>50</v>
      </c>
      <c r="F1517">
        <v>54.458911895999996</v>
      </c>
      <c r="G1517">
        <v>1328.8195800999999</v>
      </c>
      <c r="H1517">
        <v>1326.6968993999999</v>
      </c>
      <c r="I1517">
        <v>1344.114624</v>
      </c>
      <c r="J1517">
        <v>1339.3092041</v>
      </c>
      <c r="K1517">
        <v>0</v>
      </c>
      <c r="L1517">
        <v>2400</v>
      </c>
      <c r="M1517">
        <v>2400</v>
      </c>
      <c r="N1517">
        <v>0</v>
      </c>
    </row>
    <row r="1518" spans="1:14" x14ac:dyDescent="0.25">
      <c r="A1518">
        <v>915.00984100000005</v>
      </c>
      <c r="B1518" s="1">
        <f>DATE(2012,11,1) + TIME(0,14,10)</f>
        <v>41214.009837962964</v>
      </c>
      <c r="C1518">
        <v>80</v>
      </c>
      <c r="D1518">
        <v>79.959129333000007</v>
      </c>
      <c r="E1518">
        <v>50</v>
      </c>
      <c r="F1518">
        <v>54.411483765</v>
      </c>
      <c r="G1518">
        <v>1327.8054199000001</v>
      </c>
      <c r="H1518">
        <v>1325.6497803</v>
      </c>
      <c r="I1518">
        <v>1345.5426024999999</v>
      </c>
      <c r="J1518">
        <v>1340.6828613</v>
      </c>
      <c r="K1518">
        <v>0</v>
      </c>
      <c r="L1518">
        <v>2400</v>
      </c>
      <c r="M1518">
        <v>2400</v>
      </c>
      <c r="N1518">
        <v>0</v>
      </c>
    </row>
    <row r="1519" spans="1:14" x14ac:dyDescent="0.25">
      <c r="A1519">
        <v>915.02952400000004</v>
      </c>
      <c r="B1519" s="1">
        <f>DATE(2012,11,1) + TIME(0,42,30)</f>
        <v>41214.029513888891</v>
      </c>
      <c r="C1519">
        <v>80</v>
      </c>
      <c r="D1519">
        <v>79.955726623999993</v>
      </c>
      <c r="E1519">
        <v>50</v>
      </c>
      <c r="F1519">
        <v>54.273212432999998</v>
      </c>
      <c r="G1519">
        <v>1327.458374</v>
      </c>
      <c r="H1519">
        <v>1325.2950439000001</v>
      </c>
      <c r="I1519">
        <v>1345.9737548999999</v>
      </c>
      <c r="J1519">
        <v>1341.1043701000001</v>
      </c>
      <c r="K1519">
        <v>0</v>
      </c>
      <c r="L1519">
        <v>2400</v>
      </c>
      <c r="M1519">
        <v>2400</v>
      </c>
      <c r="N1519">
        <v>0</v>
      </c>
    </row>
    <row r="1520" spans="1:14" x14ac:dyDescent="0.25">
      <c r="A1520">
        <v>915.07351100000005</v>
      </c>
      <c r="B1520" s="1">
        <f>DATE(2012,11,1) + TIME(1,45,51)</f>
        <v>41214.073506944442</v>
      </c>
      <c r="C1520">
        <v>80</v>
      </c>
      <c r="D1520">
        <v>79.948448181000003</v>
      </c>
      <c r="E1520">
        <v>50</v>
      </c>
      <c r="F1520">
        <v>53.986820221000002</v>
      </c>
      <c r="G1520">
        <v>1327.4084473</v>
      </c>
      <c r="H1520">
        <v>1325.2438964999999</v>
      </c>
      <c r="I1520">
        <v>1345.9749756000001</v>
      </c>
      <c r="J1520">
        <v>1341.1185303</v>
      </c>
      <c r="K1520">
        <v>0</v>
      </c>
      <c r="L1520">
        <v>2400</v>
      </c>
      <c r="M1520">
        <v>2400</v>
      </c>
      <c r="N1520">
        <v>0</v>
      </c>
    </row>
    <row r="1521" spans="1:14" x14ac:dyDescent="0.25">
      <c r="A1521">
        <v>915.11871900000006</v>
      </c>
      <c r="B1521" s="1">
        <f>DATE(2012,11,1) + TIME(2,50,57)</f>
        <v>41214.118715277778</v>
      </c>
      <c r="C1521">
        <v>80</v>
      </c>
      <c r="D1521">
        <v>79.941078185999999</v>
      </c>
      <c r="E1521">
        <v>50</v>
      </c>
      <c r="F1521">
        <v>53.714385986000003</v>
      </c>
      <c r="G1521">
        <v>1327.4036865</v>
      </c>
      <c r="H1521">
        <v>1325.2390137</v>
      </c>
      <c r="I1521">
        <v>1345.9318848</v>
      </c>
      <c r="J1521">
        <v>1341.0870361</v>
      </c>
      <c r="K1521">
        <v>0</v>
      </c>
      <c r="L1521">
        <v>2400</v>
      </c>
      <c r="M1521">
        <v>2400</v>
      </c>
      <c r="N1521">
        <v>0</v>
      </c>
    </row>
    <row r="1522" spans="1:14" x14ac:dyDescent="0.25">
      <c r="A1522">
        <v>915.16530399999999</v>
      </c>
      <c r="B1522" s="1">
        <f>DATE(2012,11,1) + TIME(3,58,2)</f>
        <v>41214.165300925924</v>
      </c>
      <c r="C1522">
        <v>80</v>
      </c>
      <c r="D1522">
        <v>79.933586121000005</v>
      </c>
      <c r="E1522">
        <v>50</v>
      </c>
      <c r="F1522">
        <v>53.454902648999997</v>
      </c>
      <c r="G1522">
        <v>1327.4022216999999</v>
      </c>
      <c r="H1522">
        <v>1325.2371826000001</v>
      </c>
      <c r="I1522">
        <v>1345.8875731999999</v>
      </c>
      <c r="J1522">
        <v>1341.0543213000001</v>
      </c>
      <c r="K1522">
        <v>0</v>
      </c>
      <c r="L1522">
        <v>2400</v>
      </c>
      <c r="M1522">
        <v>2400</v>
      </c>
      <c r="N1522">
        <v>0</v>
      </c>
    </row>
    <row r="1523" spans="1:14" x14ac:dyDescent="0.25">
      <c r="A1523">
        <v>915.21338500000002</v>
      </c>
      <c r="B1523" s="1">
        <f>DATE(2012,11,1) + TIME(5,7,16)</f>
        <v>41214.213379629633</v>
      </c>
      <c r="C1523">
        <v>80</v>
      </c>
      <c r="D1523">
        <v>79.925956725999995</v>
      </c>
      <c r="E1523">
        <v>50</v>
      </c>
      <c r="F1523">
        <v>53.207733154000003</v>
      </c>
      <c r="G1523">
        <v>1327.4008789</v>
      </c>
      <c r="H1523">
        <v>1325.2355957</v>
      </c>
      <c r="I1523">
        <v>1345.8449707</v>
      </c>
      <c r="J1523">
        <v>1341.0228271000001</v>
      </c>
      <c r="K1523">
        <v>0</v>
      </c>
      <c r="L1523">
        <v>2400</v>
      </c>
      <c r="M1523">
        <v>2400</v>
      </c>
      <c r="N1523">
        <v>0</v>
      </c>
    </row>
    <row r="1524" spans="1:14" x14ac:dyDescent="0.25">
      <c r="A1524">
        <v>915.26309400000002</v>
      </c>
      <c r="B1524" s="1">
        <f>DATE(2012,11,1) + TIME(6,18,51)</f>
        <v>41214.263090277775</v>
      </c>
      <c r="C1524">
        <v>80</v>
      </c>
      <c r="D1524">
        <v>79.918182372999993</v>
      </c>
      <c r="E1524">
        <v>50</v>
      </c>
      <c r="F1524">
        <v>52.972297668000003</v>
      </c>
      <c r="G1524">
        <v>1327.3995361</v>
      </c>
      <c r="H1524">
        <v>1325.2338867000001</v>
      </c>
      <c r="I1524">
        <v>1345.8041992000001</v>
      </c>
      <c r="J1524">
        <v>1340.9927978999999</v>
      </c>
      <c r="K1524">
        <v>0</v>
      </c>
      <c r="L1524">
        <v>2400</v>
      </c>
      <c r="M1524">
        <v>2400</v>
      </c>
      <c r="N1524">
        <v>0</v>
      </c>
    </row>
    <row r="1525" spans="1:14" x14ac:dyDescent="0.25">
      <c r="A1525">
        <v>915.31454499999995</v>
      </c>
      <c r="B1525" s="1">
        <f>DATE(2012,11,1) + TIME(7,32,56)</f>
        <v>41214.31453703704</v>
      </c>
      <c r="C1525">
        <v>80</v>
      </c>
      <c r="D1525">
        <v>79.910247803000004</v>
      </c>
      <c r="E1525">
        <v>50</v>
      </c>
      <c r="F1525">
        <v>52.748195647999999</v>
      </c>
      <c r="G1525">
        <v>1327.3981934000001</v>
      </c>
      <c r="H1525">
        <v>1325.2321777</v>
      </c>
      <c r="I1525">
        <v>1345.7651367000001</v>
      </c>
      <c r="J1525">
        <v>1340.9641113</v>
      </c>
      <c r="K1525">
        <v>0</v>
      </c>
      <c r="L1525">
        <v>2400</v>
      </c>
      <c r="M1525">
        <v>2400</v>
      </c>
      <c r="N1525">
        <v>0</v>
      </c>
    </row>
    <row r="1526" spans="1:14" x14ac:dyDescent="0.25">
      <c r="A1526">
        <v>915.36793299999999</v>
      </c>
      <c r="B1526" s="1">
        <f>DATE(2012,11,1) + TIME(8,49,49)</f>
        <v>41214.367928240739</v>
      </c>
      <c r="C1526">
        <v>80</v>
      </c>
      <c r="D1526">
        <v>79.902130127000007</v>
      </c>
      <c r="E1526">
        <v>50</v>
      </c>
      <c r="F1526">
        <v>52.534801483000003</v>
      </c>
      <c r="G1526">
        <v>1327.3967285000001</v>
      </c>
      <c r="H1526">
        <v>1325.2303466999999</v>
      </c>
      <c r="I1526">
        <v>1345.7276611</v>
      </c>
      <c r="J1526">
        <v>1340.9366454999999</v>
      </c>
      <c r="K1526">
        <v>0</v>
      </c>
      <c r="L1526">
        <v>2400</v>
      </c>
      <c r="M1526">
        <v>2400</v>
      </c>
      <c r="N1526">
        <v>0</v>
      </c>
    </row>
    <row r="1527" spans="1:14" x14ac:dyDescent="0.25">
      <c r="A1527">
        <v>915.42344300000002</v>
      </c>
      <c r="B1527" s="1">
        <f>DATE(2012,11,1) + TIME(10,9,45)</f>
        <v>41214.423437500001</v>
      </c>
      <c r="C1527">
        <v>80</v>
      </c>
      <c r="D1527">
        <v>79.893814086999996</v>
      </c>
      <c r="E1527">
        <v>50</v>
      </c>
      <c r="F1527">
        <v>52.331680298000002</v>
      </c>
      <c r="G1527">
        <v>1327.3951416</v>
      </c>
      <c r="H1527">
        <v>1325.2283935999999</v>
      </c>
      <c r="I1527">
        <v>1345.6916504000001</v>
      </c>
      <c r="J1527">
        <v>1340.9105225000001</v>
      </c>
      <c r="K1527">
        <v>0</v>
      </c>
      <c r="L1527">
        <v>2400</v>
      </c>
      <c r="M1527">
        <v>2400</v>
      </c>
      <c r="N1527">
        <v>0</v>
      </c>
    </row>
    <row r="1528" spans="1:14" x14ac:dyDescent="0.25">
      <c r="A1528">
        <v>915.48128299999996</v>
      </c>
      <c r="B1528" s="1">
        <f>DATE(2012,11,1) + TIME(11,33,2)</f>
        <v>41214.481273148151</v>
      </c>
      <c r="C1528">
        <v>80</v>
      </c>
      <c r="D1528">
        <v>79.885269164999997</v>
      </c>
      <c r="E1528">
        <v>50</v>
      </c>
      <c r="F1528">
        <v>52.138439177999999</v>
      </c>
      <c r="G1528">
        <v>1327.3935547000001</v>
      </c>
      <c r="H1528">
        <v>1325.2263184000001</v>
      </c>
      <c r="I1528">
        <v>1345.6572266000001</v>
      </c>
      <c r="J1528">
        <v>1340.8854980000001</v>
      </c>
      <c r="K1528">
        <v>0</v>
      </c>
      <c r="L1528">
        <v>2400</v>
      </c>
      <c r="M1528">
        <v>2400</v>
      </c>
      <c r="N1528">
        <v>0</v>
      </c>
    </row>
    <row r="1529" spans="1:14" x14ac:dyDescent="0.25">
      <c r="A1529">
        <v>915.54168900000002</v>
      </c>
      <c r="B1529" s="1">
        <f>DATE(2012,11,1) + TIME(13,0,1)</f>
        <v>41214.541678240741</v>
      </c>
      <c r="C1529">
        <v>80</v>
      </c>
      <c r="D1529">
        <v>79.876472473000007</v>
      </c>
      <c r="E1529">
        <v>50</v>
      </c>
      <c r="F1529">
        <v>51.954734801999997</v>
      </c>
      <c r="G1529">
        <v>1327.3918457</v>
      </c>
      <c r="H1529">
        <v>1325.2241211</v>
      </c>
      <c r="I1529">
        <v>1345.6240233999999</v>
      </c>
      <c r="J1529">
        <v>1340.8614502</v>
      </c>
      <c r="K1529">
        <v>0</v>
      </c>
      <c r="L1529">
        <v>2400</v>
      </c>
      <c r="M1529">
        <v>2400</v>
      </c>
      <c r="N1529">
        <v>0</v>
      </c>
    </row>
    <row r="1530" spans="1:14" x14ac:dyDescent="0.25">
      <c r="A1530">
        <v>915.604916</v>
      </c>
      <c r="B1530" s="1">
        <f>DATE(2012,11,1) + TIME(14,31,4)</f>
        <v>41214.604907407411</v>
      </c>
      <c r="C1530">
        <v>80</v>
      </c>
      <c r="D1530">
        <v>79.867401122999993</v>
      </c>
      <c r="E1530">
        <v>50</v>
      </c>
      <c r="F1530">
        <v>51.780281066999997</v>
      </c>
      <c r="G1530">
        <v>1327.3900146000001</v>
      </c>
      <c r="H1530">
        <v>1325.2218018000001</v>
      </c>
      <c r="I1530">
        <v>1345.5922852000001</v>
      </c>
      <c r="J1530">
        <v>1340.8386230000001</v>
      </c>
      <c r="K1530">
        <v>0</v>
      </c>
      <c r="L1530">
        <v>2400</v>
      </c>
      <c r="M1530">
        <v>2400</v>
      </c>
      <c r="N1530">
        <v>0</v>
      </c>
    </row>
    <row r="1531" spans="1:14" x14ac:dyDescent="0.25">
      <c r="A1531">
        <v>915.67128200000002</v>
      </c>
      <c r="B1531" s="1">
        <f>DATE(2012,11,1) + TIME(16,6,38)</f>
        <v>41214.671273148146</v>
      </c>
      <c r="C1531">
        <v>80</v>
      </c>
      <c r="D1531">
        <v>79.858024596999996</v>
      </c>
      <c r="E1531">
        <v>50</v>
      </c>
      <c r="F1531">
        <v>51.614768982000001</v>
      </c>
      <c r="G1531">
        <v>1327.3880615</v>
      </c>
      <c r="H1531">
        <v>1325.2192382999999</v>
      </c>
      <c r="I1531">
        <v>1345.5617675999999</v>
      </c>
      <c r="J1531">
        <v>1340.8166504000001</v>
      </c>
      <c r="K1531">
        <v>0</v>
      </c>
      <c r="L1531">
        <v>2400</v>
      </c>
      <c r="M1531">
        <v>2400</v>
      </c>
      <c r="N1531">
        <v>0</v>
      </c>
    </row>
    <row r="1532" spans="1:14" x14ac:dyDescent="0.25">
      <c r="A1532">
        <v>915.74114399999996</v>
      </c>
      <c r="B1532" s="1">
        <f>DATE(2012,11,1) + TIME(17,47,14)</f>
        <v>41214.74113425926</v>
      </c>
      <c r="C1532">
        <v>80</v>
      </c>
      <c r="D1532">
        <v>79.848304748999993</v>
      </c>
      <c r="E1532">
        <v>50</v>
      </c>
      <c r="F1532">
        <v>51.457950592000003</v>
      </c>
      <c r="G1532">
        <v>1327.3861084</v>
      </c>
      <c r="H1532">
        <v>1325.2166748</v>
      </c>
      <c r="I1532">
        <v>1345.5323486</v>
      </c>
      <c r="J1532">
        <v>1340.7957764</v>
      </c>
      <c r="K1532">
        <v>0</v>
      </c>
      <c r="L1532">
        <v>2400</v>
      </c>
      <c r="M1532">
        <v>2400</v>
      </c>
      <c r="N1532">
        <v>0</v>
      </c>
    </row>
    <row r="1533" spans="1:14" x14ac:dyDescent="0.25">
      <c r="A1533">
        <v>915.81491500000004</v>
      </c>
      <c r="B1533" s="1">
        <f>DATE(2012,11,1) + TIME(19,33,28)</f>
        <v>41214.81490740741</v>
      </c>
      <c r="C1533">
        <v>80</v>
      </c>
      <c r="D1533">
        <v>79.838195800999998</v>
      </c>
      <c r="E1533">
        <v>50</v>
      </c>
      <c r="F1533">
        <v>51.309608459000003</v>
      </c>
      <c r="G1533">
        <v>1327.3839111</v>
      </c>
      <c r="H1533">
        <v>1325.2138672000001</v>
      </c>
      <c r="I1533">
        <v>1345.5040283000001</v>
      </c>
      <c r="J1533">
        <v>1340.7756348</v>
      </c>
      <c r="K1533">
        <v>0</v>
      </c>
      <c r="L1533">
        <v>2400</v>
      </c>
      <c r="M1533">
        <v>2400</v>
      </c>
      <c r="N1533">
        <v>0</v>
      </c>
    </row>
    <row r="1534" spans="1:14" x14ac:dyDescent="0.25">
      <c r="A1534">
        <v>915.89308300000005</v>
      </c>
      <c r="B1534" s="1">
        <f>DATE(2012,11,1) + TIME(21,26,2)</f>
        <v>41214.893078703702</v>
      </c>
      <c r="C1534">
        <v>80</v>
      </c>
      <c r="D1534">
        <v>79.827651978000006</v>
      </c>
      <c r="E1534">
        <v>50</v>
      </c>
      <c r="F1534">
        <v>51.169555664000001</v>
      </c>
      <c r="G1534">
        <v>1327.3815918</v>
      </c>
      <c r="H1534">
        <v>1325.2108154</v>
      </c>
      <c r="I1534">
        <v>1345.4766846</v>
      </c>
      <c r="J1534">
        <v>1340.7564697</v>
      </c>
      <c r="K1534">
        <v>0</v>
      </c>
      <c r="L1534">
        <v>2400</v>
      </c>
      <c r="M1534">
        <v>2400</v>
      </c>
      <c r="N1534">
        <v>0</v>
      </c>
    </row>
    <row r="1535" spans="1:14" x14ac:dyDescent="0.25">
      <c r="A1535">
        <v>915.97622100000001</v>
      </c>
      <c r="B1535" s="1">
        <f>DATE(2012,11,1) + TIME(23,25,45)</f>
        <v>41214.976215277777</v>
      </c>
      <c r="C1535">
        <v>80</v>
      </c>
      <c r="D1535">
        <v>79.816619872999993</v>
      </c>
      <c r="E1535">
        <v>50</v>
      </c>
      <c r="F1535">
        <v>51.037628173999998</v>
      </c>
      <c r="G1535">
        <v>1327.3791504000001</v>
      </c>
      <c r="H1535">
        <v>1325.2075195</v>
      </c>
      <c r="I1535">
        <v>1345.4503173999999</v>
      </c>
      <c r="J1535">
        <v>1340.7379149999999</v>
      </c>
      <c r="K1535">
        <v>0</v>
      </c>
      <c r="L1535">
        <v>2400</v>
      </c>
      <c r="M1535">
        <v>2400</v>
      </c>
      <c r="N1535">
        <v>0</v>
      </c>
    </row>
    <row r="1536" spans="1:14" x14ac:dyDescent="0.25">
      <c r="A1536">
        <v>916.06501800000001</v>
      </c>
      <c r="B1536" s="1">
        <f>DATE(2012,11,2) + TIME(1,33,37)</f>
        <v>41215.065011574072</v>
      </c>
      <c r="C1536">
        <v>80</v>
      </c>
      <c r="D1536">
        <v>79.805038452000005</v>
      </c>
      <c r="E1536">
        <v>50</v>
      </c>
      <c r="F1536">
        <v>50.913696289000001</v>
      </c>
      <c r="G1536">
        <v>1327.3764647999999</v>
      </c>
      <c r="H1536">
        <v>1325.2039795000001</v>
      </c>
      <c r="I1536">
        <v>1345.4248047000001</v>
      </c>
      <c r="J1536">
        <v>1340.7202147999999</v>
      </c>
      <c r="K1536">
        <v>0</v>
      </c>
      <c r="L1536">
        <v>2400</v>
      </c>
      <c r="M1536">
        <v>2400</v>
      </c>
      <c r="N1536">
        <v>0</v>
      </c>
    </row>
    <row r="1537" spans="1:14" x14ac:dyDescent="0.25">
      <c r="A1537">
        <v>916.160304</v>
      </c>
      <c r="B1537" s="1">
        <f>DATE(2012,11,2) + TIME(3,50,50)</f>
        <v>41215.160300925927</v>
      </c>
      <c r="C1537">
        <v>80</v>
      </c>
      <c r="D1537">
        <v>79.792816161999994</v>
      </c>
      <c r="E1537">
        <v>50</v>
      </c>
      <c r="F1537">
        <v>50.797641753999997</v>
      </c>
      <c r="G1537">
        <v>1327.3735352000001</v>
      </c>
      <c r="H1537">
        <v>1325.2000731999999</v>
      </c>
      <c r="I1537">
        <v>1345.4000243999999</v>
      </c>
      <c r="J1537">
        <v>1340.703125</v>
      </c>
      <c r="K1537">
        <v>0</v>
      </c>
      <c r="L1537">
        <v>2400</v>
      </c>
      <c r="M1537">
        <v>2400</v>
      </c>
      <c r="N1537">
        <v>0</v>
      </c>
    </row>
    <row r="1538" spans="1:14" x14ac:dyDescent="0.25">
      <c r="A1538">
        <v>916.26309800000001</v>
      </c>
      <c r="B1538" s="1">
        <f>DATE(2012,11,2) + TIME(6,18,51)</f>
        <v>41215.263090277775</v>
      </c>
      <c r="C1538">
        <v>80</v>
      </c>
      <c r="D1538">
        <v>79.779861449999999</v>
      </c>
      <c r="E1538">
        <v>50</v>
      </c>
      <c r="F1538">
        <v>50.689380645999996</v>
      </c>
      <c r="G1538">
        <v>1327.3703613</v>
      </c>
      <c r="H1538">
        <v>1325.1959228999999</v>
      </c>
      <c r="I1538">
        <v>1345.3758545000001</v>
      </c>
      <c r="J1538">
        <v>1340.6867675999999</v>
      </c>
      <c r="K1538">
        <v>0</v>
      </c>
      <c r="L1538">
        <v>2400</v>
      </c>
      <c r="M1538">
        <v>2400</v>
      </c>
      <c r="N1538">
        <v>0</v>
      </c>
    </row>
    <row r="1539" spans="1:14" x14ac:dyDescent="0.25">
      <c r="A1539">
        <v>916.37466099999995</v>
      </c>
      <c r="B1539" s="1">
        <f>DATE(2012,11,2) + TIME(8,59,30)</f>
        <v>41215.374652777777</v>
      </c>
      <c r="C1539">
        <v>80</v>
      </c>
      <c r="D1539">
        <v>79.766052246000001</v>
      </c>
      <c r="E1539">
        <v>50</v>
      </c>
      <c r="F1539">
        <v>50.588844299000002</v>
      </c>
      <c r="G1539">
        <v>1327.3669434000001</v>
      </c>
      <c r="H1539">
        <v>1325.1912841999999</v>
      </c>
      <c r="I1539">
        <v>1345.3522949000001</v>
      </c>
      <c r="J1539">
        <v>1340.6708983999999</v>
      </c>
      <c r="K1539">
        <v>0</v>
      </c>
      <c r="L1539">
        <v>2400</v>
      </c>
      <c r="M1539">
        <v>2400</v>
      </c>
      <c r="N1539">
        <v>0</v>
      </c>
    </row>
    <row r="1540" spans="1:14" x14ac:dyDescent="0.25">
      <c r="A1540">
        <v>916.49658099999999</v>
      </c>
      <c r="B1540" s="1">
        <f>DATE(2012,11,2) + TIME(11,55,4)</f>
        <v>41215.496574074074</v>
      </c>
      <c r="C1540">
        <v>80</v>
      </c>
      <c r="D1540">
        <v>79.751258849999999</v>
      </c>
      <c r="E1540">
        <v>50</v>
      </c>
      <c r="F1540">
        <v>50.495998383</v>
      </c>
      <c r="G1540">
        <v>1327.3631591999999</v>
      </c>
      <c r="H1540">
        <v>1325.1862793</v>
      </c>
      <c r="I1540">
        <v>1345.3292236</v>
      </c>
      <c r="J1540">
        <v>1340.6555175999999</v>
      </c>
      <c r="K1540">
        <v>0</v>
      </c>
      <c r="L1540">
        <v>2400</v>
      </c>
      <c r="M1540">
        <v>2400</v>
      </c>
      <c r="N1540">
        <v>0</v>
      </c>
    </row>
    <row r="1541" spans="1:14" x14ac:dyDescent="0.25">
      <c r="A1541">
        <v>916.63087800000005</v>
      </c>
      <c r="B1541" s="1">
        <f>DATE(2012,11,2) + TIME(15,8,27)</f>
        <v>41215.630868055552</v>
      </c>
      <c r="C1541">
        <v>80</v>
      </c>
      <c r="D1541">
        <v>79.735282897999994</v>
      </c>
      <c r="E1541">
        <v>50</v>
      </c>
      <c r="F1541">
        <v>50.410823821999998</v>
      </c>
      <c r="G1541">
        <v>1327.3588867000001</v>
      </c>
      <c r="H1541">
        <v>1325.1805420000001</v>
      </c>
      <c r="I1541">
        <v>1345.3065185999999</v>
      </c>
      <c r="J1541">
        <v>1340.6405029</v>
      </c>
      <c r="K1541">
        <v>0</v>
      </c>
      <c r="L1541">
        <v>2400</v>
      </c>
      <c r="M1541">
        <v>2400</v>
      </c>
      <c r="N1541">
        <v>0</v>
      </c>
    </row>
    <row r="1542" spans="1:14" x14ac:dyDescent="0.25">
      <c r="A1542">
        <v>916.78025300000002</v>
      </c>
      <c r="B1542" s="1">
        <f>DATE(2012,11,2) + TIME(18,43,33)</f>
        <v>41215.780243055553</v>
      </c>
      <c r="C1542">
        <v>80</v>
      </c>
      <c r="D1542">
        <v>79.717895507999998</v>
      </c>
      <c r="E1542">
        <v>50</v>
      </c>
      <c r="F1542">
        <v>50.333301544000001</v>
      </c>
      <c r="G1542">
        <v>1327.3542480000001</v>
      </c>
      <c r="H1542">
        <v>1325.1741943</v>
      </c>
      <c r="I1542">
        <v>1345.2839355000001</v>
      </c>
      <c r="J1542">
        <v>1340.6259766000001</v>
      </c>
      <c r="K1542">
        <v>0</v>
      </c>
      <c r="L1542">
        <v>2400</v>
      </c>
      <c r="M1542">
        <v>2400</v>
      </c>
      <c r="N1542">
        <v>0</v>
      </c>
    </row>
    <row r="1543" spans="1:14" x14ac:dyDescent="0.25">
      <c r="A1543">
        <v>916.93726200000003</v>
      </c>
      <c r="B1543" s="1">
        <f>DATE(2012,11,2) + TIME(22,29,39)</f>
        <v>41215.937256944446</v>
      </c>
      <c r="C1543">
        <v>80</v>
      </c>
      <c r="D1543">
        <v>79.699867248999993</v>
      </c>
      <c r="E1543">
        <v>50</v>
      </c>
      <c r="F1543">
        <v>50.267169952000003</v>
      </c>
      <c r="G1543">
        <v>1327.348999</v>
      </c>
      <c r="H1543">
        <v>1325.1671143000001</v>
      </c>
      <c r="I1543">
        <v>1345.2631836</v>
      </c>
      <c r="J1543">
        <v>1340.6126709</v>
      </c>
      <c r="K1543">
        <v>0</v>
      </c>
      <c r="L1543">
        <v>2400</v>
      </c>
      <c r="M1543">
        <v>2400</v>
      </c>
      <c r="N1543">
        <v>0</v>
      </c>
    </row>
    <row r="1544" spans="1:14" x14ac:dyDescent="0.25">
      <c r="A1544">
        <v>917.09971800000005</v>
      </c>
      <c r="B1544" s="1">
        <f>DATE(2012,11,3) + TIME(2,23,35)</f>
        <v>41216.099710648145</v>
      </c>
      <c r="C1544">
        <v>80</v>
      </c>
      <c r="D1544">
        <v>79.681404114000003</v>
      </c>
      <c r="E1544">
        <v>50</v>
      </c>
      <c r="F1544">
        <v>50.211948395</v>
      </c>
      <c r="G1544">
        <v>1327.3433838000001</v>
      </c>
      <c r="H1544">
        <v>1325.1595459</v>
      </c>
      <c r="I1544">
        <v>1345.2437743999999</v>
      </c>
      <c r="J1544">
        <v>1340.6005858999999</v>
      </c>
      <c r="K1544">
        <v>0</v>
      </c>
      <c r="L1544">
        <v>2400</v>
      </c>
      <c r="M1544">
        <v>2400</v>
      </c>
      <c r="N1544">
        <v>0</v>
      </c>
    </row>
    <row r="1545" spans="1:14" x14ac:dyDescent="0.25">
      <c r="A1545">
        <v>917.26803700000005</v>
      </c>
      <c r="B1545" s="1">
        <f>DATE(2012,11,3) + TIME(6,25,58)</f>
        <v>41216.26803240741</v>
      </c>
      <c r="C1545">
        <v>80</v>
      </c>
      <c r="D1545">
        <v>79.662475585999999</v>
      </c>
      <c r="E1545">
        <v>50</v>
      </c>
      <c r="F1545">
        <v>50.166049956999998</v>
      </c>
      <c r="G1545">
        <v>1327.3375243999999</v>
      </c>
      <c r="H1545">
        <v>1325.1516113</v>
      </c>
      <c r="I1545">
        <v>1345.2254639</v>
      </c>
      <c r="J1545">
        <v>1340.5893555</v>
      </c>
      <c r="K1545">
        <v>0</v>
      </c>
      <c r="L1545">
        <v>2400</v>
      </c>
      <c r="M1545">
        <v>2400</v>
      </c>
      <c r="N1545">
        <v>0</v>
      </c>
    </row>
    <row r="1546" spans="1:14" x14ac:dyDescent="0.25">
      <c r="A1546">
        <v>917.44257100000004</v>
      </c>
      <c r="B1546" s="1">
        <f>DATE(2012,11,3) + TIME(10,37,18)</f>
        <v>41216.442569444444</v>
      </c>
      <c r="C1546">
        <v>80</v>
      </c>
      <c r="D1546">
        <v>79.643043517999999</v>
      </c>
      <c r="E1546">
        <v>50</v>
      </c>
      <c r="F1546">
        <v>50.128116607999999</v>
      </c>
      <c r="G1546">
        <v>1327.3312988</v>
      </c>
      <c r="H1546">
        <v>1325.1431885</v>
      </c>
      <c r="I1546">
        <v>1345.2080077999999</v>
      </c>
      <c r="J1546">
        <v>1340.5787353999999</v>
      </c>
      <c r="K1546">
        <v>0</v>
      </c>
      <c r="L1546">
        <v>2400</v>
      </c>
      <c r="M1546">
        <v>2400</v>
      </c>
      <c r="N1546">
        <v>0</v>
      </c>
    </row>
    <row r="1547" spans="1:14" x14ac:dyDescent="0.25">
      <c r="A1547">
        <v>917.62370599999997</v>
      </c>
      <c r="B1547" s="1">
        <f>DATE(2012,11,3) + TIME(14,58,8)</f>
        <v>41216.623703703706</v>
      </c>
      <c r="C1547">
        <v>80</v>
      </c>
      <c r="D1547">
        <v>79.623085021999998</v>
      </c>
      <c r="E1547">
        <v>50</v>
      </c>
      <c r="F1547">
        <v>50.096954345999997</v>
      </c>
      <c r="G1547">
        <v>1327.324707</v>
      </c>
      <c r="H1547">
        <v>1325.1342772999999</v>
      </c>
      <c r="I1547">
        <v>1345.1914062000001</v>
      </c>
      <c r="J1547">
        <v>1340.5687256000001</v>
      </c>
      <c r="K1547">
        <v>0</v>
      </c>
      <c r="L1547">
        <v>2400</v>
      </c>
      <c r="M1547">
        <v>2400</v>
      </c>
      <c r="N1547">
        <v>0</v>
      </c>
    </row>
    <row r="1548" spans="1:14" x14ac:dyDescent="0.25">
      <c r="A1548">
        <v>917.81186000000002</v>
      </c>
      <c r="B1548" s="1">
        <f>DATE(2012,11,3) + TIME(19,29,4)</f>
        <v>41216.811851851853</v>
      </c>
      <c r="C1548">
        <v>80</v>
      </c>
      <c r="D1548">
        <v>79.602554321</v>
      </c>
      <c r="E1548">
        <v>50</v>
      </c>
      <c r="F1548">
        <v>50.071510314999998</v>
      </c>
      <c r="G1548">
        <v>1327.3178711</v>
      </c>
      <c r="H1548">
        <v>1325.1248779</v>
      </c>
      <c r="I1548">
        <v>1345.175293</v>
      </c>
      <c r="J1548">
        <v>1340.5592041</v>
      </c>
      <c r="K1548">
        <v>0</v>
      </c>
      <c r="L1548">
        <v>2400</v>
      </c>
      <c r="M1548">
        <v>2400</v>
      </c>
      <c r="N1548">
        <v>0</v>
      </c>
    </row>
    <row r="1549" spans="1:14" x14ac:dyDescent="0.25">
      <c r="A1549">
        <v>918.00573699999995</v>
      </c>
      <c r="B1549" s="1">
        <f>DATE(2012,11,4) + TIME(0,8,15)</f>
        <v>41217.005729166667</v>
      </c>
      <c r="C1549">
        <v>80</v>
      </c>
      <c r="D1549">
        <v>79.581581115999995</v>
      </c>
      <c r="E1549">
        <v>50</v>
      </c>
      <c r="F1549">
        <v>50.051021575999997</v>
      </c>
      <c r="G1549">
        <v>1327.3106689000001</v>
      </c>
      <c r="H1549">
        <v>1325.1149902</v>
      </c>
      <c r="I1549">
        <v>1345.1599120999999</v>
      </c>
      <c r="J1549">
        <v>1340.5501709</v>
      </c>
      <c r="K1549">
        <v>0</v>
      </c>
      <c r="L1549">
        <v>2400</v>
      </c>
      <c r="M1549">
        <v>2400</v>
      </c>
      <c r="N1549">
        <v>0</v>
      </c>
    </row>
    <row r="1550" spans="1:14" x14ac:dyDescent="0.25">
      <c r="A1550">
        <v>918.20526299999995</v>
      </c>
      <c r="B1550" s="1">
        <f>DATE(2012,11,4) + TIME(4,55,34)</f>
        <v>41217.205254629633</v>
      </c>
      <c r="C1550">
        <v>80</v>
      </c>
      <c r="D1550">
        <v>79.560165405000006</v>
      </c>
      <c r="E1550">
        <v>50</v>
      </c>
      <c r="F1550">
        <v>50.034633636000002</v>
      </c>
      <c r="G1550">
        <v>1327.3031006000001</v>
      </c>
      <c r="H1550">
        <v>1325.1046143000001</v>
      </c>
      <c r="I1550">
        <v>1345.1451416</v>
      </c>
      <c r="J1550">
        <v>1340.541626</v>
      </c>
      <c r="K1550">
        <v>0</v>
      </c>
      <c r="L1550">
        <v>2400</v>
      </c>
      <c r="M1550">
        <v>2400</v>
      </c>
      <c r="N1550">
        <v>0</v>
      </c>
    </row>
    <row r="1551" spans="1:14" x14ac:dyDescent="0.25">
      <c r="A1551">
        <v>918.40859799999998</v>
      </c>
      <c r="B1551" s="1">
        <f>DATE(2012,11,4) + TIME(9,48,22)</f>
        <v>41217.408587962964</v>
      </c>
      <c r="C1551">
        <v>80</v>
      </c>
      <c r="D1551">
        <v>79.538475036999998</v>
      </c>
      <c r="E1551">
        <v>50</v>
      </c>
      <c r="F1551">
        <v>50.021694183000001</v>
      </c>
      <c r="G1551">
        <v>1327.2952881000001</v>
      </c>
      <c r="H1551">
        <v>1325.0938721</v>
      </c>
      <c r="I1551">
        <v>1345.1308594</v>
      </c>
      <c r="J1551">
        <v>1340.5333252</v>
      </c>
      <c r="K1551">
        <v>0</v>
      </c>
      <c r="L1551">
        <v>2400</v>
      </c>
      <c r="M1551">
        <v>2400</v>
      </c>
      <c r="N1551">
        <v>0</v>
      </c>
    </row>
    <row r="1552" spans="1:14" x14ac:dyDescent="0.25">
      <c r="A1552">
        <v>918.61454200000003</v>
      </c>
      <c r="B1552" s="1">
        <f>DATE(2012,11,4) + TIME(14,44,56)</f>
        <v>41217.614537037036</v>
      </c>
      <c r="C1552">
        <v>80</v>
      </c>
      <c r="D1552">
        <v>79.516624450999998</v>
      </c>
      <c r="E1552">
        <v>50</v>
      </c>
      <c r="F1552">
        <v>50.011558532999999</v>
      </c>
      <c r="G1552">
        <v>1327.2872314000001</v>
      </c>
      <c r="H1552">
        <v>1325.0827637</v>
      </c>
      <c r="I1552">
        <v>1345.1171875</v>
      </c>
      <c r="J1552">
        <v>1340.5255127</v>
      </c>
      <c r="K1552">
        <v>0</v>
      </c>
      <c r="L1552">
        <v>2400</v>
      </c>
      <c r="M1552">
        <v>2400</v>
      </c>
      <c r="N1552">
        <v>0</v>
      </c>
    </row>
    <row r="1553" spans="1:14" x14ac:dyDescent="0.25">
      <c r="A1553">
        <v>918.82351400000005</v>
      </c>
      <c r="B1553" s="1">
        <f>DATE(2012,11,4) + TIME(19,45,51)</f>
        <v>41217.823506944442</v>
      </c>
      <c r="C1553">
        <v>80</v>
      </c>
      <c r="D1553">
        <v>79.494583129999995</v>
      </c>
      <c r="E1553">
        <v>50</v>
      </c>
      <c r="F1553">
        <v>50.003627776999998</v>
      </c>
      <c r="G1553">
        <v>1327.2790527</v>
      </c>
      <c r="H1553">
        <v>1325.0714111</v>
      </c>
      <c r="I1553">
        <v>1345.1040039</v>
      </c>
      <c r="J1553">
        <v>1340.5180664</v>
      </c>
      <c r="K1553">
        <v>0</v>
      </c>
      <c r="L1553">
        <v>2400</v>
      </c>
      <c r="M1553">
        <v>2400</v>
      </c>
      <c r="N1553">
        <v>0</v>
      </c>
    </row>
    <row r="1554" spans="1:14" x14ac:dyDescent="0.25">
      <c r="A1554">
        <v>919.03593499999999</v>
      </c>
      <c r="B1554" s="1">
        <f>DATE(2012,11,5) + TIME(0,51,44)</f>
        <v>41218.035925925928</v>
      </c>
      <c r="C1554">
        <v>80</v>
      </c>
      <c r="D1554">
        <v>79.472312927000004</v>
      </c>
      <c r="E1554">
        <v>50</v>
      </c>
      <c r="F1554">
        <v>49.997421265</v>
      </c>
      <c r="G1554">
        <v>1327.2705077999999</v>
      </c>
      <c r="H1554">
        <v>1325.0596923999999</v>
      </c>
      <c r="I1554">
        <v>1345.0913086</v>
      </c>
      <c r="J1554">
        <v>1340.5108643000001</v>
      </c>
      <c r="K1554">
        <v>0</v>
      </c>
      <c r="L1554">
        <v>2400</v>
      </c>
      <c r="M1554">
        <v>2400</v>
      </c>
      <c r="N1554">
        <v>0</v>
      </c>
    </row>
    <row r="1555" spans="1:14" x14ac:dyDescent="0.25">
      <c r="A1555">
        <v>919.25221799999997</v>
      </c>
      <c r="B1555" s="1">
        <f>DATE(2012,11,5) + TIME(6,3,11)</f>
        <v>41218.252210648148</v>
      </c>
      <c r="C1555">
        <v>80</v>
      </c>
      <c r="D1555">
        <v>79.449798584000007</v>
      </c>
      <c r="E1555">
        <v>50</v>
      </c>
      <c r="F1555">
        <v>49.992568970000001</v>
      </c>
      <c r="G1555">
        <v>1327.2618408000001</v>
      </c>
      <c r="H1555">
        <v>1325.0477295000001</v>
      </c>
      <c r="I1555">
        <v>1345.0791016000001</v>
      </c>
      <c r="J1555">
        <v>1340.5039062000001</v>
      </c>
      <c r="K1555">
        <v>0</v>
      </c>
      <c r="L1555">
        <v>2400</v>
      </c>
      <c r="M1555">
        <v>2400</v>
      </c>
      <c r="N1555">
        <v>0</v>
      </c>
    </row>
    <row r="1556" spans="1:14" x14ac:dyDescent="0.25">
      <c r="A1556">
        <v>919.47268499999996</v>
      </c>
      <c r="B1556" s="1">
        <f>DATE(2012,11,5) + TIME(11,20,39)</f>
        <v>41218.472673611112</v>
      </c>
      <c r="C1556">
        <v>80</v>
      </c>
      <c r="D1556">
        <v>79.427009583</v>
      </c>
      <c r="E1556">
        <v>50</v>
      </c>
      <c r="F1556">
        <v>49.988788605000003</v>
      </c>
      <c r="G1556">
        <v>1327.2529297000001</v>
      </c>
      <c r="H1556">
        <v>1325.0354004000001</v>
      </c>
      <c r="I1556">
        <v>1345.0672606999999</v>
      </c>
      <c r="J1556">
        <v>1340.4971923999999</v>
      </c>
      <c r="K1556">
        <v>0</v>
      </c>
      <c r="L1556">
        <v>2400</v>
      </c>
      <c r="M1556">
        <v>2400</v>
      </c>
      <c r="N1556">
        <v>0</v>
      </c>
    </row>
    <row r="1557" spans="1:14" x14ac:dyDescent="0.25">
      <c r="A1557">
        <v>919.69776400000001</v>
      </c>
      <c r="B1557" s="1">
        <f>DATE(2012,11,5) + TIME(16,44,46)</f>
        <v>41218.697754629633</v>
      </c>
      <c r="C1557">
        <v>80</v>
      </c>
      <c r="D1557">
        <v>79.403915405000006</v>
      </c>
      <c r="E1557">
        <v>50</v>
      </c>
      <c r="F1557">
        <v>49.985843658</v>
      </c>
      <c r="G1557">
        <v>1327.2437743999999</v>
      </c>
      <c r="H1557">
        <v>1325.0227050999999</v>
      </c>
      <c r="I1557">
        <v>1345.0556641000001</v>
      </c>
      <c r="J1557">
        <v>1340.4906006000001</v>
      </c>
      <c r="K1557">
        <v>0</v>
      </c>
      <c r="L1557">
        <v>2400</v>
      </c>
      <c r="M1557">
        <v>2400</v>
      </c>
      <c r="N1557">
        <v>0</v>
      </c>
    </row>
    <row r="1558" spans="1:14" x14ac:dyDescent="0.25">
      <c r="A1558">
        <v>919.92793300000005</v>
      </c>
      <c r="B1558" s="1">
        <f>DATE(2012,11,5) + TIME(22,16,13)</f>
        <v>41218.927928240744</v>
      </c>
      <c r="C1558">
        <v>80</v>
      </c>
      <c r="D1558">
        <v>79.380470275999997</v>
      </c>
      <c r="E1558">
        <v>50</v>
      </c>
      <c r="F1558">
        <v>49.983554839999996</v>
      </c>
      <c r="G1558">
        <v>1327.234375</v>
      </c>
      <c r="H1558">
        <v>1325.0096435999999</v>
      </c>
      <c r="I1558">
        <v>1345.0443115</v>
      </c>
      <c r="J1558">
        <v>1340.4842529</v>
      </c>
      <c r="K1558">
        <v>0</v>
      </c>
      <c r="L1558">
        <v>2400</v>
      </c>
      <c r="M1558">
        <v>2400</v>
      </c>
      <c r="N1558">
        <v>0</v>
      </c>
    </row>
    <row r="1559" spans="1:14" x14ac:dyDescent="0.25">
      <c r="A1559">
        <v>920.16362700000002</v>
      </c>
      <c r="B1559" s="1">
        <f>DATE(2012,11,6) + TIME(3,55,37)</f>
        <v>41219.163622685184</v>
      </c>
      <c r="C1559">
        <v>80</v>
      </c>
      <c r="D1559">
        <v>79.356658936000002</v>
      </c>
      <c r="E1559">
        <v>50</v>
      </c>
      <c r="F1559">
        <v>49.981781005999999</v>
      </c>
      <c r="G1559">
        <v>1327.2247314000001</v>
      </c>
      <c r="H1559">
        <v>1324.9960937999999</v>
      </c>
      <c r="I1559">
        <v>1345.0333252</v>
      </c>
      <c r="J1559">
        <v>1340.4780272999999</v>
      </c>
      <c r="K1559">
        <v>0</v>
      </c>
      <c r="L1559">
        <v>2400</v>
      </c>
      <c r="M1559">
        <v>2400</v>
      </c>
      <c r="N1559">
        <v>0</v>
      </c>
    </row>
    <row r="1560" spans="1:14" x14ac:dyDescent="0.25">
      <c r="A1560">
        <v>920.40528800000004</v>
      </c>
      <c r="B1560" s="1">
        <f>DATE(2012,11,6) + TIME(9,43,36)</f>
        <v>41219.405277777776</v>
      </c>
      <c r="C1560">
        <v>80</v>
      </c>
      <c r="D1560">
        <v>79.332435607999997</v>
      </c>
      <c r="E1560">
        <v>50</v>
      </c>
      <c r="F1560">
        <v>49.980407714999998</v>
      </c>
      <c r="G1560">
        <v>1327.2147216999999</v>
      </c>
      <c r="H1560">
        <v>1324.9822998</v>
      </c>
      <c r="I1560">
        <v>1345.0224608999999</v>
      </c>
      <c r="J1560">
        <v>1340.4719238</v>
      </c>
      <c r="K1560">
        <v>0</v>
      </c>
      <c r="L1560">
        <v>2400</v>
      </c>
      <c r="M1560">
        <v>2400</v>
      </c>
      <c r="N1560">
        <v>0</v>
      </c>
    </row>
    <row r="1561" spans="1:14" x14ac:dyDescent="0.25">
      <c r="A1561">
        <v>920.65337699999998</v>
      </c>
      <c r="B1561" s="1">
        <f>DATE(2012,11,6) + TIME(15,40,51)</f>
        <v>41219.653368055559</v>
      </c>
      <c r="C1561">
        <v>80</v>
      </c>
      <c r="D1561">
        <v>79.307762146000002</v>
      </c>
      <c r="E1561">
        <v>50</v>
      </c>
      <c r="F1561">
        <v>49.979343413999999</v>
      </c>
      <c r="G1561">
        <v>1327.2044678</v>
      </c>
      <c r="H1561">
        <v>1324.9678954999999</v>
      </c>
      <c r="I1561">
        <v>1345.0117187999999</v>
      </c>
      <c r="J1561">
        <v>1340.4659423999999</v>
      </c>
      <c r="K1561">
        <v>0</v>
      </c>
      <c r="L1561">
        <v>2400</v>
      </c>
      <c r="M1561">
        <v>2400</v>
      </c>
      <c r="N1561">
        <v>0</v>
      </c>
    </row>
    <row r="1562" spans="1:14" x14ac:dyDescent="0.25">
      <c r="A1562">
        <v>920.90838499999995</v>
      </c>
      <c r="B1562" s="1">
        <f>DATE(2012,11,6) + TIME(21,48,4)</f>
        <v>41219.908379629633</v>
      </c>
      <c r="C1562">
        <v>80</v>
      </c>
      <c r="D1562">
        <v>79.282615661999998</v>
      </c>
      <c r="E1562">
        <v>50</v>
      </c>
      <c r="F1562">
        <v>49.978523254000002</v>
      </c>
      <c r="G1562">
        <v>1327.1938477000001</v>
      </c>
      <c r="H1562">
        <v>1324.953125</v>
      </c>
      <c r="I1562">
        <v>1345.0012207</v>
      </c>
      <c r="J1562">
        <v>1340.4599608999999</v>
      </c>
      <c r="K1562">
        <v>0</v>
      </c>
      <c r="L1562">
        <v>2400</v>
      </c>
      <c r="M1562">
        <v>2400</v>
      </c>
      <c r="N1562">
        <v>0</v>
      </c>
    </row>
    <row r="1563" spans="1:14" x14ac:dyDescent="0.25">
      <c r="A1563">
        <v>921.17083200000002</v>
      </c>
      <c r="B1563" s="1">
        <f>DATE(2012,11,7) + TIME(4,5,59)</f>
        <v>41220.17082175926</v>
      </c>
      <c r="C1563">
        <v>80</v>
      </c>
      <c r="D1563">
        <v>79.256942749000004</v>
      </c>
      <c r="E1563">
        <v>50</v>
      </c>
      <c r="F1563">
        <v>49.977893829000003</v>
      </c>
      <c r="G1563">
        <v>1327.1829834</v>
      </c>
      <c r="H1563">
        <v>1324.9378661999999</v>
      </c>
      <c r="I1563">
        <v>1344.9908447</v>
      </c>
      <c r="J1563">
        <v>1340.4541016000001</v>
      </c>
      <c r="K1563">
        <v>0</v>
      </c>
      <c r="L1563">
        <v>2400</v>
      </c>
      <c r="M1563">
        <v>2400</v>
      </c>
      <c r="N1563">
        <v>0</v>
      </c>
    </row>
    <row r="1564" spans="1:14" x14ac:dyDescent="0.25">
      <c r="A1564">
        <v>921.44127100000003</v>
      </c>
      <c r="B1564" s="1">
        <f>DATE(2012,11,7) + TIME(10,35,25)</f>
        <v>41220.441261574073</v>
      </c>
      <c r="C1564">
        <v>80</v>
      </c>
      <c r="D1564">
        <v>79.230712890999996</v>
      </c>
      <c r="E1564">
        <v>50</v>
      </c>
      <c r="F1564">
        <v>49.977405548</v>
      </c>
      <c r="G1564">
        <v>1327.1716309000001</v>
      </c>
      <c r="H1564">
        <v>1324.9219971</v>
      </c>
      <c r="I1564">
        <v>1344.9805908000001</v>
      </c>
      <c r="J1564">
        <v>1340.4483643000001</v>
      </c>
      <c r="K1564">
        <v>0</v>
      </c>
      <c r="L1564">
        <v>2400</v>
      </c>
      <c r="M1564">
        <v>2400</v>
      </c>
      <c r="N1564">
        <v>0</v>
      </c>
    </row>
    <row r="1565" spans="1:14" x14ac:dyDescent="0.25">
      <c r="A1565">
        <v>921.72031000000004</v>
      </c>
      <c r="B1565" s="1">
        <f>DATE(2012,11,7) + TIME(17,17,14)</f>
        <v>41220.720300925925</v>
      </c>
      <c r="C1565">
        <v>80</v>
      </c>
      <c r="D1565">
        <v>79.203880310000002</v>
      </c>
      <c r="E1565">
        <v>50</v>
      </c>
      <c r="F1565">
        <v>49.977031707999998</v>
      </c>
      <c r="G1565">
        <v>1327.1599120999999</v>
      </c>
      <c r="H1565">
        <v>1324.9056396000001</v>
      </c>
      <c r="I1565">
        <v>1344.9703368999999</v>
      </c>
      <c r="J1565">
        <v>1340.4426269999999</v>
      </c>
      <c r="K1565">
        <v>0</v>
      </c>
      <c r="L1565">
        <v>2400</v>
      </c>
      <c r="M1565">
        <v>2400</v>
      </c>
      <c r="N1565">
        <v>0</v>
      </c>
    </row>
    <row r="1566" spans="1:14" x14ac:dyDescent="0.25">
      <c r="A1566">
        <v>922.00856599999997</v>
      </c>
      <c r="B1566" s="1">
        <f>DATE(2012,11,8) + TIME(0,12,20)</f>
        <v>41221.008564814816</v>
      </c>
      <c r="C1566">
        <v>80</v>
      </c>
      <c r="D1566">
        <v>79.176399231000005</v>
      </c>
      <c r="E1566">
        <v>50</v>
      </c>
      <c r="F1566">
        <v>49.976741791000002</v>
      </c>
      <c r="G1566">
        <v>1327.1477050999999</v>
      </c>
      <c r="H1566">
        <v>1324.8886719</v>
      </c>
      <c r="I1566">
        <v>1344.9603271000001</v>
      </c>
      <c r="J1566">
        <v>1340.4370117000001</v>
      </c>
      <c r="K1566">
        <v>0</v>
      </c>
      <c r="L1566">
        <v>2400</v>
      </c>
      <c r="M1566">
        <v>2400</v>
      </c>
      <c r="N1566">
        <v>0</v>
      </c>
    </row>
    <row r="1567" spans="1:14" x14ac:dyDescent="0.25">
      <c r="A1567">
        <v>922.30669699999999</v>
      </c>
      <c r="B1567" s="1">
        <f>DATE(2012,11,8) + TIME(7,21,38)</f>
        <v>41221.306689814817</v>
      </c>
      <c r="C1567">
        <v>80</v>
      </c>
      <c r="D1567">
        <v>79.148216247999997</v>
      </c>
      <c r="E1567">
        <v>50</v>
      </c>
      <c r="F1567">
        <v>49.976516724</v>
      </c>
      <c r="G1567">
        <v>1327.1351318</v>
      </c>
      <c r="H1567">
        <v>1324.8710937999999</v>
      </c>
      <c r="I1567">
        <v>1344.9501952999999</v>
      </c>
      <c r="J1567">
        <v>1340.4312743999999</v>
      </c>
      <c r="K1567">
        <v>0</v>
      </c>
      <c r="L1567">
        <v>2400</v>
      </c>
      <c r="M1567">
        <v>2400</v>
      </c>
      <c r="N1567">
        <v>0</v>
      </c>
    </row>
    <row r="1568" spans="1:14" x14ac:dyDescent="0.25">
      <c r="A1568">
        <v>922.61555999999996</v>
      </c>
      <c r="B1568" s="1">
        <f>DATE(2012,11,8) + TIME(14,46,24)</f>
        <v>41221.615555555552</v>
      </c>
      <c r="C1568">
        <v>80</v>
      </c>
      <c r="D1568">
        <v>79.119285583000007</v>
      </c>
      <c r="E1568">
        <v>50</v>
      </c>
      <c r="F1568">
        <v>49.976345062</v>
      </c>
      <c r="G1568">
        <v>1327.1220702999999</v>
      </c>
      <c r="H1568">
        <v>1324.8527832</v>
      </c>
      <c r="I1568">
        <v>1344.9401855000001</v>
      </c>
      <c r="J1568">
        <v>1340.4256591999999</v>
      </c>
      <c r="K1568">
        <v>0</v>
      </c>
      <c r="L1568">
        <v>2400</v>
      </c>
      <c r="M1568">
        <v>2400</v>
      </c>
      <c r="N1568">
        <v>0</v>
      </c>
    </row>
    <row r="1569" spans="1:14" x14ac:dyDescent="0.25">
      <c r="A1569">
        <v>922.93600100000003</v>
      </c>
      <c r="B1569" s="1">
        <f>DATE(2012,11,8) + TIME(22,27,50)</f>
        <v>41221.935995370368</v>
      </c>
      <c r="C1569">
        <v>80</v>
      </c>
      <c r="D1569">
        <v>79.089538574000002</v>
      </c>
      <c r="E1569">
        <v>50</v>
      </c>
      <c r="F1569">
        <v>49.976207733000003</v>
      </c>
      <c r="G1569">
        <v>1327.1085204999999</v>
      </c>
      <c r="H1569">
        <v>1324.8338623</v>
      </c>
      <c r="I1569">
        <v>1344.9302978999999</v>
      </c>
      <c r="J1569">
        <v>1340.4200439000001</v>
      </c>
      <c r="K1569">
        <v>0</v>
      </c>
      <c r="L1569">
        <v>2400</v>
      </c>
      <c r="M1569">
        <v>2400</v>
      </c>
      <c r="N1569">
        <v>0</v>
      </c>
    </row>
    <row r="1570" spans="1:14" x14ac:dyDescent="0.25">
      <c r="A1570">
        <v>923.26895100000002</v>
      </c>
      <c r="B1570" s="1">
        <f>DATE(2012,11,9) + TIME(6,27,17)</f>
        <v>41222.268946759257</v>
      </c>
      <c r="C1570">
        <v>80</v>
      </c>
      <c r="D1570">
        <v>79.058921814000001</v>
      </c>
      <c r="E1570">
        <v>50</v>
      </c>
      <c r="F1570">
        <v>49.976097107000001</v>
      </c>
      <c r="G1570">
        <v>1327.0943603999999</v>
      </c>
      <c r="H1570">
        <v>1324.8139647999999</v>
      </c>
      <c r="I1570">
        <v>1344.9202881000001</v>
      </c>
      <c r="J1570">
        <v>1340.4144286999999</v>
      </c>
      <c r="K1570">
        <v>0</v>
      </c>
      <c r="L1570">
        <v>2400</v>
      </c>
      <c r="M1570">
        <v>2400</v>
      </c>
      <c r="N1570">
        <v>0</v>
      </c>
    </row>
    <row r="1571" spans="1:14" x14ac:dyDescent="0.25">
      <c r="A1571">
        <v>923.61543500000005</v>
      </c>
      <c r="B1571" s="1">
        <f>DATE(2012,11,9) + TIME(14,46,13)</f>
        <v>41222.615428240744</v>
      </c>
      <c r="C1571">
        <v>80</v>
      </c>
      <c r="D1571">
        <v>79.027359008999994</v>
      </c>
      <c r="E1571">
        <v>50</v>
      </c>
      <c r="F1571">
        <v>49.976009369000003</v>
      </c>
      <c r="G1571">
        <v>1327.0795897999999</v>
      </c>
      <c r="H1571">
        <v>1324.793457</v>
      </c>
      <c r="I1571">
        <v>1344.9102783000001</v>
      </c>
      <c r="J1571">
        <v>1340.4088135</v>
      </c>
      <c r="K1571">
        <v>0</v>
      </c>
      <c r="L1571">
        <v>2400</v>
      </c>
      <c r="M1571">
        <v>2400</v>
      </c>
      <c r="N1571">
        <v>0</v>
      </c>
    </row>
    <row r="1572" spans="1:14" x14ac:dyDescent="0.25">
      <c r="A1572">
        <v>923.976585</v>
      </c>
      <c r="B1572" s="1">
        <f>DATE(2012,11,9) + TIME(23,26,16)</f>
        <v>41222.976574074077</v>
      </c>
      <c r="C1572">
        <v>80</v>
      </c>
      <c r="D1572">
        <v>78.994773864999999</v>
      </c>
      <c r="E1572">
        <v>50</v>
      </c>
      <c r="F1572">
        <v>49.975940704000003</v>
      </c>
      <c r="G1572">
        <v>1327.0643310999999</v>
      </c>
      <c r="H1572">
        <v>1324.7718506000001</v>
      </c>
      <c r="I1572">
        <v>1344.9002685999999</v>
      </c>
      <c r="J1572">
        <v>1340.4031981999999</v>
      </c>
      <c r="K1572">
        <v>0</v>
      </c>
      <c r="L1572">
        <v>2400</v>
      </c>
      <c r="M1572">
        <v>2400</v>
      </c>
      <c r="N1572">
        <v>0</v>
      </c>
    </row>
    <row r="1573" spans="1:14" x14ac:dyDescent="0.25">
      <c r="A1573">
        <v>924.35366299999998</v>
      </c>
      <c r="B1573" s="1">
        <f>DATE(2012,11,10) + TIME(8,29,16)</f>
        <v>41223.35365740741</v>
      </c>
      <c r="C1573">
        <v>80</v>
      </c>
      <c r="D1573">
        <v>78.961090088000006</v>
      </c>
      <c r="E1573">
        <v>50</v>
      </c>
      <c r="F1573">
        <v>49.975879669000001</v>
      </c>
      <c r="G1573">
        <v>1327.0482178</v>
      </c>
      <c r="H1573">
        <v>1324.7493896000001</v>
      </c>
      <c r="I1573">
        <v>1344.8902588000001</v>
      </c>
      <c r="J1573">
        <v>1340.3974608999999</v>
      </c>
      <c r="K1573">
        <v>0</v>
      </c>
      <c r="L1573">
        <v>2400</v>
      </c>
      <c r="M1573">
        <v>2400</v>
      </c>
      <c r="N1573">
        <v>0</v>
      </c>
    </row>
    <row r="1574" spans="1:14" x14ac:dyDescent="0.25">
      <c r="A1574">
        <v>924.74807099999998</v>
      </c>
      <c r="B1574" s="1">
        <f>DATE(2012,11,10) + TIME(17,57,13)</f>
        <v>41223.748067129629</v>
      </c>
      <c r="C1574">
        <v>80</v>
      </c>
      <c r="D1574">
        <v>78.926208496000001</v>
      </c>
      <c r="E1574">
        <v>50</v>
      </c>
      <c r="F1574">
        <v>49.975833893000001</v>
      </c>
      <c r="G1574">
        <v>1327.0313721</v>
      </c>
      <c r="H1574">
        <v>1324.7258300999999</v>
      </c>
      <c r="I1574">
        <v>1344.8801269999999</v>
      </c>
      <c r="J1574">
        <v>1340.3918457</v>
      </c>
      <c r="K1574">
        <v>0</v>
      </c>
      <c r="L1574">
        <v>2400</v>
      </c>
      <c r="M1574">
        <v>2400</v>
      </c>
      <c r="N1574">
        <v>0</v>
      </c>
    </row>
    <row r="1575" spans="1:14" x14ac:dyDescent="0.25">
      <c r="A1575">
        <v>925.161383</v>
      </c>
      <c r="B1575" s="1">
        <f>DATE(2012,11,11) + TIME(3,52,23)</f>
        <v>41224.161377314813</v>
      </c>
      <c r="C1575">
        <v>80</v>
      </c>
      <c r="D1575">
        <v>78.890045165999993</v>
      </c>
      <c r="E1575">
        <v>50</v>
      </c>
      <c r="F1575">
        <v>49.975791931000003</v>
      </c>
      <c r="G1575">
        <v>1327.0137939000001</v>
      </c>
      <c r="H1575">
        <v>1324.7011719</v>
      </c>
      <c r="I1575">
        <v>1344.8699951000001</v>
      </c>
      <c r="J1575">
        <v>1340.3861084</v>
      </c>
      <c r="K1575">
        <v>0</v>
      </c>
      <c r="L1575">
        <v>2400</v>
      </c>
      <c r="M1575">
        <v>2400</v>
      </c>
      <c r="N1575">
        <v>0</v>
      </c>
    </row>
    <row r="1576" spans="1:14" x14ac:dyDescent="0.25">
      <c r="A1576">
        <v>925.59464500000001</v>
      </c>
      <c r="B1576" s="1">
        <f>DATE(2012,11,11) + TIME(14,16,17)</f>
        <v>41224.594641203701</v>
      </c>
      <c r="C1576">
        <v>80</v>
      </c>
      <c r="D1576">
        <v>78.852523804</v>
      </c>
      <c r="E1576">
        <v>50</v>
      </c>
      <c r="F1576">
        <v>49.975753783999998</v>
      </c>
      <c r="G1576">
        <v>1326.9953613</v>
      </c>
      <c r="H1576">
        <v>1324.675293</v>
      </c>
      <c r="I1576">
        <v>1344.8597411999999</v>
      </c>
      <c r="J1576">
        <v>1340.3803711</v>
      </c>
      <c r="K1576">
        <v>0</v>
      </c>
      <c r="L1576">
        <v>2400</v>
      </c>
      <c r="M1576">
        <v>2400</v>
      </c>
      <c r="N1576">
        <v>0</v>
      </c>
    </row>
    <row r="1577" spans="1:14" x14ac:dyDescent="0.25">
      <c r="A1577">
        <v>926.04617199999996</v>
      </c>
      <c r="B1577" s="1">
        <f>DATE(2012,11,12) + TIME(1,6,29)</f>
        <v>41225.046168981484</v>
      </c>
      <c r="C1577">
        <v>80</v>
      </c>
      <c r="D1577">
        <v>78.813728333</v>
      </c>
      <c r="E1577">
        <v>50</v>
      </c>
      <c r="F1577">
        <v>49.975723266999999</v>
      </c>
      <c r="G1577">
        <v>1326.9759521000001</v>
      </c>
      <c r="H1577">
        <v>1324.6480713000001</v>
      </c>
      <c r="I1577">
        <v>1344.8493652</v>
      </c>
      <c r="J1577">
        <v>1340.3745117000001</v>
      </c>
      <c r="K1577">
        <v>0</v>
      </c>
      <c r="L1577">
        <v>2400</v>
      </c>
      <c r="M1577">
        <v>2400</v>
      </c>
      <c r="N1577">
        <v>0</v>
      </c>
    </row>
    <row r="1578" spans="1:14" x14ac:dyDescent="0.25">
      <c r="A1578">
        <v>926.51460699999996</v>
      </c>
      <c r="B1578" s="1">
        <f>DATE(2012,11,12) + TIME(12,21,2)</f>
        <v>41225.514606481483</v>
      </c>
      <c r="C1578">
        <v>80</v>
      </c>
      <c r="D1578">
        <v>78.773773192999997</v>
      </c>
      <c r="E1578">
        <v>50</v>
      </c>
      <c r="F1578">
        <v>49.975692748999997</v>
      </c>
      <c r="G1578">
        <v>1326.9558105000001</v>
      </c>
      <c r="H1578">
        <v>1324.619751</v>
      </c>
      <c r="I1578">
        <v>1344.8389893000001</v>
      </c>
      <c r="J1578">
        <v>1340.3687743999999</v>
      </c>
      <c r="K1578">
        <v>0</v>
      </c>
      <c r="L1578">
        <v>2400</v>
      </c>
      <c r="M1578">
        <v>2400</v>
      </c>
      <c r="N1578">
        <v>0</v>
      </c>
    </row>
    <row r="1579" spans="1:14" x14ac:dyDescent="0.25">
      <c r="A1579">
        <v>926.98924599999998</v>
      </c>
      <c r="B1579" s="1">
        <f>DATE(2012,11,12) + TIME(23,44,30)</f>
        <v>41225.989236111112</v>
      </c>
      <c r="C1579">
        <v>80</v>
      </c>
      <c r="D1579">
        <v>78.733276367000002</v>
      </c>
      <c r="E1579">
        <v>50</v>
      </c>
      <c r="F1579">
        <v>49.975666046000001</v>
      </c>
      <c r="G1579">
        <v>1326.9348144999999</v>
      </c>
      <c r="H1579">
        <v>1324.590332</v>
      </c>
      <c r="I1579">
        <v>1344.8286132999999</v>
      </c>
      <c r="J1579">
        <v>1340.3629149999999</v>
      </c>
      <c r="K1579">
        <v>0</v>
      </c>
      <c r="L1579">
        <v>2400</v>
      </c>
      <c r="M1579">
        <v>2400</v>
      </c>
      <c r="N1579">
        <v>0</v>
      </c>
    </row>
    <row r="1580" spans="1:14" x14ac:dyDescent="0.25">
      <c r="A1580">
        <v>927.47119599999996</v>
      </c>
      <c r="B1580" s="1">
        <f>DATE(2012,11,13) + TIME(11,18,31)</f>
        <v>41226.471192129633</v>
      </c>
      <c r="C1580">
        <v>80</v>
      </c>
      <c r="D1580">
        <v>78.692306518999999</v>
      </c>
      <c r="E1580">
        <v>50</v>
      </c>
      <c r="F1580">
        <v>49.975643157999997</v>
      </c>
      <c r="G1580">
        <v>1326.9134521000001</v>
      </c>
      <c r="H1580">
        <v>1324.5603027</v>
      </c>
      <c r="I1580">
        <v>1344.8186035000001</v>
      </c>
      <c r="J1580">
        <v>1340.3572998</v>
      </c>
      <c r="K1580">
        <v>0</v>
      </c>
      <c r="L1580">
        <v>2400</v>
      </c>
      <c r="M1580">
        <v>2400</v>
      </c>
      <c r="N1580">
        <v>0</v>
      </c>
    </row>
    <row r="1581" spans="1:14" x14ac:dyDescent="0.25">
      <c r="A1581">
        <v>927.96143700000005</v>
      </c>
      <c r="B1581" s="1">
        <f>DATE(2012,11,13) + TIME(23,4,28)</f>
        <v>41226.961435185185</v>
      </c>
      <c r="C1581">
        <v>80</v>
      </c>
      <c r="D1581">
        <v>78.650901794000006</v>
      </c>
      <c r="E1581">
        <v>50</v>
      </c>
      <c r="F1581">
        <v>49.975624084000003</v>
      </c>
      <c r="G1581">
        <v>1326.8917236</v>
      </c>
      <c r="H1581">
        <v>1324.5297852000001</v>
      </c>
      <c r="I1581">
        <v>1344.8087158000001</v>
      </c>
      <c r="J1581">
        <v>1340.3516846</v>
      </c>
      <c r="K1581">
        <v>0</v>
      </c>
      <c r="L1581">
        <v>2400</v>
      </c>
      <c r="M1581">
        <v>2400</v>
      </c>
      <c r="N1581">
        <v>0</v>
      </c>
    </row>
    <row r="1582" spans="1:14" x14ac:dyDescent="0.25">
      <c r="A1582">
        <v>928.46098600000005</v>
      </c>
      <c r="B1582" s="1">
        <f>DATE(2012,11,14) + TIME(11,3,49)</f>
        <v>41227.4609837963</v>
      </c>
      <c r="C1582">
        <v>80</v>
      </c>
      <c r="D1582">
        <v>78.609046935999999</v>
      </c>
      <c r="E1582">
        <v>50</v>
      </c>
      <c r="F1582">
        <v>49.975605010999999</v>
      </c>
      <c r="G1582">
        <v>1326.8695068</v>
      </c>
      <c r="H1582">
        <v>1324.4986572</v>
      </c>
      <c r="I1582">
        <v>1344.7990723</v>
      </c>
      <c r="J1582">
        <v>1340.3463135</v>
      </c>
      <c r="K1582">
        <v>0</v>
      </c>
      <c r="L1582">
        <v>2400</v>
      </c>
      <c r="M1582">
        <v>2400</v>
      </c>
      <c r="N1582">
        <v>0</v>
      </c>
    </row>
    <row r="1583" spans="1:14" x14ac:dyDescent="0.25">
      <c r="A1583">
        <v>928.97087599999998</v>
      </c>
      <c r="B1583" s="1">
        <f>DATE(2012,11,14) + TIME(23,18,3)</f>
        <v>41227.970868055556</v>
      </c>
      <c r="C1583">
        <v>80</v>
      </c>
      <c r="D1583">
        <v>78.566726685000006</v>
      </c>
      <c r="E1583">
        <v>50</v>
      </c>
      <c r="F1583">
        <v>49.975585938000002</v>
      </c>
      <c r="G1583">
        <v>1326.8469238</v>
      </c>
      <c r="H1583">
        <v>1324.4669189000001</v>
      </c>
      <c r="I1583">
        <v>1344.7895507999999</v>
      </c>
      <c r="J1583">
        <v>1340.3410644999999</v>
      </c>
      <c r="K1583">
        <v>0</v>
      </c>
      <c r="L1583">
        <v>2400</v>
      </c>
      <c r="M1583">
        <v>2400</v>
      </c>
      <c r="N1583">
        <v>0</v>
      </c>
    </row>
    <row r="1584" spans="1:14" x14ac:dyDescent="0.25">
      <c r="A1584">
        <v>929.49216799999999</v>
      </c>
      <c r="B1584" s="1">
        <f>DATE(2012,11,15) + TIME(11,48,43)</f>
        <v>41228.492164351854</v>
      </c>
      <c r="C1584">
        <v>80</v>
      </c>
      <c r="D1584">
        <v>78.523887634000005</v>
      </c>
      <c r="E1584">
        <v>50</v>
      </c>
      <c r="F1584">
        <v>49.975570679</v>
      </c>
      <c r="G1584">
        <v>1326.8238524999999</v>
      </c>
      <c r="H1584">
        <v>1324.4344481999999</v>
      </c>
      <c r="I1584">
        <v>1344.7801514</v>
      </c>
      <c r="J1584">
        <v>1340.3358154</v>
      </c>
      <c r="K1584">
        <v>0</v>
      </c>
      <c r="L1584">
        <v>2400</v>
      </c>
      <c r="M1584">
        <v>2400</v>
      </c>
      <c r="N1584">
        <v>0</v>
      </c>
    </row>
    <row r="1585" spans="1:14" x14ac:dyDescent="0.25">
      <c r="A1585">
        <v>930.02598999999998</v>
      </c>
      <c r="B1585" s="1">
        <f>DATE(2012,11,16) + TIME(0,37,25)</f>
        <v>41229.025983796295</v>
      </c>
      <c r="C1585">
        <v>80</v>
      </c>
      <c r="D1585">
        <v>78.480484008999994</v>
      </c>
      <c r="E1585">
        <v>50</v>
      </c>
      <c r="F1585">
        <v>49.975555419999999</v>
      </c>
      <c r="G1585">
        <v>1326.8001709</v>
      </c>
      <c r="H1585">
        <v>1324.4013672000001</v>
      </c>
      <c r="I1585">
        <v>1344.7709961</v>
      </c>
      <c r="J1585">
        <v>1340.3306885</v>
      </c>
      <c r="K1585">
        <v>0</v>
      </c>
      <c r="L1585">
        <v>2400</v>
      </c>
      <c r="M1585">
        <v>2400</v>
      </c>
      <c r="N1585">
        <v>0</v>
      </c>
    </row>
    <row r="1586" spans="1:14" x14ac:dyDescent="0.25">
      <c r="A1586">
        <v>930.57352000000003</v>
      </c>
      <c r="B1586" s="1">
        <f>DATE(2012,11,16) + TIME(13,45,52)</f>
        <v>41229.573518518519</v>
      </c>
      <c r="C1586">
        <v>80</v>
      </c>
      <c r="D1586">
        <v>78.436447143999999</v>
      </c>
      <c r="E1586">
        <v>50</v>
      </c>
      <c r="F1586">
        <v>49.975540160999998</v>
      </c>
      <c r="G1586">
        <v>1326.776001</v>
      </c>
      <c r="H1586">
        <v>1324.3674315999999</v>
      </c>
      <c r="I1586">
        <v>1344.7618408000001</v>
      </c>
      <c r="J1586">
        <v>1340.3255615</v>
      </c>
      <c r="K1586">
        <v>0</v>
      </c>
      <c r="L1586">
        <v>2400</v>
      </c>
      <c r="M1586">
        <v>2400</v>
      </c>
      <c r="N1586">
        <v>0</v>
      </c>
    </row>
    <row r="1587" spans="1:14" x14ac:dyDescent="0.25">
      <c r="A1587">
        <v>931.13600299999996</v>
      </c>
      <c r="B1587" s="1">
        <f>DATE(2012,11,17) + TIME(3,15,50)</f>
        <v>41230.135995370372</v>
      </c>
      <c r="C1587">
        <v>80</v>
      </c>
      <c r="D1587">
        <v>78.391716002999999</v>
      </c>
      <c r="E1587">
        <v>50</v>
      </c>
      <c r="F1587">
        <v>49.975524901999997</v>
      </c>
      <c r="G1587">
        <v>1326.7513428</v>
      </c>
      <c r="H1587">
        <v>1324.3326416</v>
      </c>
      <c r="I1587">
        <v>1344.7528076000001</v>
      </c>
      <c r="J1587">
        <v>1340.3205565999999</v>
      </c>
      <c r="K1587">
        <v>0</v>
      </c>
      <c r="L1587">
        <v>2400</v>
      </c>
      <c r="M1587">
        <v>2400</v>
      </c>
      <c r="N1587">
        <v>0</v>
      </c>
    </row>
    <row r="1588" spans="1:14" x14ac:dyDescent="0.25">
      <c r="A1588">
        <v>931.71456699999999</v>
      </c>
      <c r="B1588" s="1">
        <f>DATE(2012,11,17) + TIME(17,8,58)</f>
        <v>41230.714560185188</v>
      </c>
      <c r="C1588">
        <v>80</v>
      </c>
      <c r="D1588">
        <v>78.346229553000001</v>
      </c>
      <c r="E1588">
        <v>50</v>
      </c>
      <c r="F1588">
        <v>49.975513458000002</v>
      </c>
      <c r="G1588">
        <v>1326.7259521000001</v>
      </c>
      <c r="H1588">
        <v>1324.2969971</v>
      </c>
      <c r="I1588">
        <v>1344.7437743999999</v>
      </c>
      <c r="J1588">
        <v>1340.3156738</v>
      </c>
      <c r="K1588">
        <v>0</v>
      </c>
      <c r="L1588">
        <v>2400</v>
      </c>
      <c r="M1588">
        <v>2400</v>
      </c>
      <c r="N1588">
        <v>0</v>
      </c>
    </row>
    <row r="1589" spans="1:14" x14ac:dyDescent="0.25">
      <c r="A1589">
        <v>932.31073400000002</v>
      </c>
      <c r="B1589" s="1">
        <f>DATE(2012,11,18) + TIME(7,27,27)</f>
        <v>41231.310729166667</v>
      </c>
      <c r="C1589">
        <v>80</v>
      </c>
      <c r="D1589">
        <v>78.299896239999995</v>
      </c>
      <c r="E1589">
        <v>50</v>
      </c>
      <c r="F1589">
        <v>49.975498199</v>
      </c>
      <c r="G1589">
        <v>1326.6998291</v>
      </c>
      <c r="H1589">
        <v>1324.2602539</v>
      </c>
      <c r="I1589">
        <v>1344.7348632999999</v>
      </c>
      <c r="J1589">
        <v>1340.3106689000001</v>
      </c>
      <c r="K1589">
        <v>0</v>
      </c>
      <c r="L1589">
        <v>2400</v>
      </c>
      <c r="M1589">
        <v>2400</v>
      </c>
      <c r="N1589">
        <v>0</v>
      </c>
    </row>
    <row r="1590" spans="1:14" x14ac:dyDescent="0.25">
      <c r="A1590">
        <v>932.92609800000002</v>
      </c>
      <c r="B1590" s="1">
        <f>DATE(2012,11,18) + TIME(22,13,34)</f>
        <v>41231.926087962966</v>
      </c>
      <c r="C1590">
        <v>80</v>
      </c>
      <c r="D1590">
        <v>78.252647400000001</v>
      </c>
      <c r="E1590">
        <v>50</v>
      </c>
      <c r="F1590">
        <v>49.975486754999999</v>
      </c>
      <c r="G1590">
        <v>1326.6729736</v>
      </c>
      <c r="H1590">
        <v>1324.2225341999999</v>
      </c>
      <c r="I1590">
        <v>1344.7259521000001</v>
      </c>
      <c r="J1590">
        <v>1340.3057861</v>
      </c>
      <c r="K1590">
        <v>0</v>
      </c>
      <c r="L1590">
        <v>2400</v>
      </c>
      <c r="M1590">
        <v>2400</v>
      </c>
      <c r="N1590">
        <v>0</v>
      </c>
    </row>
    <row r="1591" spans="1:14" x14ac:dyDescent="0.25">
      <c r="A1591">
        <v>933.56232899999998</v>
      </c>
      <c r="B1591" s="1">
        <f>DATE(2012,11,19) + TIME(13,29,45)</f>
        <v>41232.562326388892</v>
      </c>
      <c r="C1591">
        <v>80</v>
      </c>
      <c r="D1591">
        <v>78.204383849999999</v>
      </c>
      <c r="E1591">
        <v>50</v>
      </c>
      <c r="F1591">
        <v>49.975475310999997</v>
      </c>
      <c r="G1591">
        <v>1326.6452637</v>
      </c>
      <c r="H1591">
        <v>1324.1837158000001</v>
      </c>
      <c r="I1591">
        <v>1344.7171631000001</v>
      </c>
      <c r="J1591">
        <v>1340.3009033000001</v>
      </c>
      <c r="K1591">
        <v>0</v>
      </c>
      <c r="L1591">
        <v>2400</v>
      </c>
      <c r="M1591">
        <v>2400</v>
      </c>
      <c r="N1591">
        <v>0</v>
      </c>
    </row>
    <row r="1592" spans="1:14" x14ac:dyDescent="0.25">
      <c r="A1592">
        <v>934.22126300000002</v>
      </c>
      <c r="B1592" s="1">
        <f>DATE(2012,11,20) + TIME(5,18,37)</f>
        <v>41233.221261574072</v>
      </c>
      <c r="C1592">
        <v>80</v>
      </c>
      <c r="D1592">
        <v>78.155021667</v>
      </c>
      <c r="E1592">
        <v>50</v>
      </c>
      <c r="F1592">
        <v>49.975463867000002</v>
      </c>
      <c r="G1592">
        <v>1326.6166992000001</v>
      </c>
      <c r="H1592">
        <v>1324.1436768000001</v>
      </c>
      <c r="I1592">
        <v>1344.7082519999999</v>
      </c>
      <c r="J1592">
        <v>1340.2960204999999</v>
      </c>
      <c r="K1592">
        <v>0</v>
      </c>
      <c r="L1592">
        <v>2400</v>
      </c>
      <c r="M1592">
        <v>2400</v>
      </c>
      <c r="N1592">
        <v>0</v>
      </c>
    </row>
    <row r="1593" spans="1:14" x14ac:dyDescent="0.25">
      <c r="A1593">
        <v>934.90490199999999</v>
      </c>
      <c r="B1593" s="1">
        <f>DATE(2012,11,20) + TIME(21,43,3)</f>
        <v>41233.904895833337</v>
      </c>
      <c r="C1593">
        <v>80</v>
      </c>
      <c r="D1593">
        <v>78.104446410999998</v>
      </c>
      <c r="E1593">
        <v>50</v>
      </c>
      <c r="F1593">
        <v>49.975452423</v>
      </c>
      <c r="G1593">
        <v>1326.5871582</v>
      </c>
      <c r="H1593">
        <v>1324.1022949000001</v>
      </c>
      <c r="I1593">
        <v>1344.6993408000001</v>
      </c>
      <c r="J1593">
        <v>1340.2912598</v>
      </c>
      <c r="K1593">
        <v>0</v>
      </c>
      <c r="L1593">
        <v>2400</v>
      </c>
      <c r="M1593">
        <v>2400</v>
      </c>
      <c r="N1593">
        <v>0</v>
      </c>
    </row>
    <row r="1594" spans="1:14" x14ac:dyDescent="0.25">
      <c r="A1594">
        <v>935.61544100000003</v>
      </c>
      <c r="B1594" s="1">
        <f>DATE(2012,11,21) + TIME(14,46,14)</f>
        <v>41234.615439814814</v>
      </c>
      <c r="C1594">
        <v>80</v>
      </c>
      <c r="D1594">
        <v>78.052558899000005</v>
      </c>
      <c r="E1594">
        <v>50</v>
      </c>
      <c r="F1594">
        <v>49.975440978999998</v>
      </c>
      <c r="G1594">
        <v>1326.5566406</v>
      </c>
      <c r="H1594">
        <v>1324.0594481999999</v>
      </c>
      <c r="I1594">
        <v>1344.6904297000001</v>
      </c>
      <c r="J1594">
        <v>1340.2863769999999</v>
      </c>
      <c r="K1594">
        <v>0</v>
      </c>
      <c r="L1594">
        <v>2400</v>
      </c>
      <c r="M1594">
        <v>2400</v>
      </c>
      <c r="N1594">
        <v>0</v>
      </c>
    </row>
    <row r="1595" spans="1:14" x14ac:dyDescent="0.25">
      <c r="A1595">
        <v>936.35532599999999</v>
      </c>
      <c r="B1595" s="1">
        <f>DATE(2012,11,22) + TIME(8,31,40)</f>
        <v>41235.355324074073</v>
      </c>
      <c r="C1595">
        <v>80</v>
      </c>
      <c r="D1595">
        <v>77.999237061000002</v>
      </c>
      <c r="E1595">
        <v>50</v>
      </c>
      <c r="F1595">
        <v>49.975429535000004</v>
      </c>
      <c r="G1595">
        <v>1326.5250243999999</v>
      </c>
      <c r="H1595">
        <v>1324.0150146000001</v>
      </c>
      <c r="I1595">
        <v>1344.6815185999999</v>
      </c>
      <c r="J1595">
        <v>1340.2814940999999</v>
      </c>
      <c r="K1595">
        <v>0</v>
      </c>
      <c r="L1595">
        <v>2400</v>
      </c>
      <c r="M1595">
        <v>2400</v>
      </c>
      <c r="N1595">
        <v>0</v>
      </c>
    </row>
    <row r="1596" spans="1:14" x14ac:dyDescent="0.25">
      <c r="A1596">
        <v>937.12726399999997</v>
      </c>
      <c r="B1596" s="1">
        <f>DATE(2012,11,23) + TIME(3,3,15)</f>
        <v>41236.127256944441</v>
      </c>
      <c r="C1596">
        <v>80</v>
      </c>
      <c r="D1596">
        <v>77.944366454999994</v>
      </c>
      <c r="E1596">
        <v>50</v>
      </c>
      <c r="F1596">
        <v>49.975421906000001</v>
      </c>
      <c r="G1596">
        <v>1326.4920654</v>
      </c>
      <c r="H1596">
        <v>1323.9688721</v>
      </c>
      <c r="I1596">
        <v>1344.6724853999999</v>
      </c>
      <c r="J1596">
        <v>1340.2766113</v>
      </c>
      <c r="K1596">
        <v>0</v>
      </c>
      <c r="L1596">
        <v>2400</v>
      </c>
      <c r="M1596">
        <v>2400</v>
      </c>
      <c r="N1596">
        <v>0</v>
      </c>
    </row>
    <row r="1597" spans="1:14" x14ac:dyDescent="0.25">
      <c r="A1597">
        <v>937.93072099999995</v>
      </c>
      <c r="B1597" s="1">
        <f>DATE(2012,11,23) + TIME(22,20,14)</f>
        <v>41236.930717592593</v>
      </c>
      <c r="C1597">
        <v>80</v>
      </c>
      <c r="D1597">
        <v>77.887916564999998</v>
      </c>
      <c r="E1597">
        <v>50</v>
      </c>
      <c r="F1597">
        <v>49.975410461000003</v>
      </c>
      <c r="G1597">
        <v>1326.4580077999999</v>
      </c>
      <c r="H1597">
        <v>1323.9210204999999</v>
      </c>
      <c r="I1597">
        <v>1344.6634521000001</v>
      </c>
      <c r="J1597">
        <v>1340.2717285000001</v>
      </c>
      <c r="K1597">
        <v>0</v>
      </c>
      <c r="L1597">
        <v>2400</v>
      </c>
      <c r="M1597">
        <v>2400</v>
      </c>
      <c r="N1597">
        <v>0</v>
      </c>
    </row>
    <row r="1598" spans="1:14" x14ac:dyDescent="0.25">
      <c r="A1598">
        <v>938.750001</v>
      </c>
      <c r="B1598" s="1">
        <f>DATE(2012,11,24) + TIME(18,0,0)</f>
        <v>41237.75</v>
      </c>
      <c r="C1598">
        <v>80</v>
      </c>
      <c r="D1598">
        <v>77.830467224000003</v>
      </c>
      <c r="E1598">
        <v>50</v>
      </c>
      <c r="F1598">
        <v>49.975399017000001</v>
      </c>
      <c r="G1598">
        <v>1326.4226074000001</v>
      </c>
      <c r="H1598">
        <v>1323.8714600000001</v>
      </c>
      <c r="I1598">
        <v>1344.6542969</v>
      </c>
      <c r="J1598">
        <v>1340.2667236</v>
      </c>
      <c r="K1598">
        <v>0</v>
      </c>
      <c r="L1598">
        <v>2400</v>
      </c>
      <c r="M1598">
        <v>2400</v>
      </c>
      <c r="N1598">
        <v>0</v>
      </c>
    </row>
    <row r="1599" spans="1:14" x14ac:dyDescent="0.25">
      <c r="A1599">
        <v>939.58213999999998</v>
      </c>
      <c r="B1599" s="1">
        <f>DATE(2012,11,25) + TIME(13,58,16)</f>
        <v>41238.582129629627</v>
      </c>
      <c r="C1599">
        <v>80</v>
      </c>
      <c r="D1599">
        <v>77.772407532000003</v>
      </c>
      <c r="E1599">
        <v>50</v>
      </c>
      <c r="F1599">
        <v>49.975391387999998</v>
      </c>
      <c r="G1599">
        <v>1326.3864745999999</v>
      </c>
      <c r="H1599">
        <v>1323.8209228999999</v>
      </c>
      <c r="I1599">
        <v>1344.6452637</v>
      </c>
      <c r="J1599">
        <v>1340.2618408000001</v>
      </c>
      <c r="K1599">
        <v>0</v>
      </c>
      <c r="L1599">
        <v>2400</v>
      </c>
      <c r="M1599">
        <v>2400</v>
      </c>
      <c r="N1599">
        <v>0</v>
      </c>
    </row>
    <row r="1600" spans="1:14" x14ac:dyDescent="0.25">
      <c r="A1600">
        <v>940.42899799999998</v>
      </c>
      <c r="B1600" s="1">
        <f>DATE(2012,11,26) + TIME(10,17,45)</f>
        <v>41239.428993055553</v>
      </c>
      <c r="C1600">
        <v>80</v>
      </c>
      <c r="D1600">
        <v>77.713890075999998</v>
      </c>
      <c r="E1600">
        <v>50</v>
      </c>
      <c r="F1600">
        <v>49.975383759000003</v>
      </c>
      <c r="G1600">
        <v>1326.3498535000001</v>
      </c>
      <c r="H1600">
        <v>1323.7695312000001</v>
      </c>
      <c r="I1600">
        <v>1344.6364745999999</v>
      </c>
      <c r="J1600">
        <v>1340.2572021000001</v>
      </c>
      <c r="K1600">
        <v>0</v>
      </c>
      <c r="L1600">
        <v>2400</v>
      </c>
      <c r="M1600">
        <v>2400</v>
      </c>
      <c r="N1600">
        <v>0</v>
      </c>
    </row>
    <row r="1601" spans="1:14" x14ac:dyDescent="0.25">
      <c r="A1601">
        <v>941.29242999999997</v>
      </c>
      <c r="B1601" s="1">
        <f>DATE(2012,11,27) + TIME(7,1,5)</f>
        <v>41240.29241898148</v>
      </c>
      <c r="C1601">
        <v>80</v>
      </c>
      <c r="D1601">
        <v>77.654930114999999</v>
      </c>
      <c r="E1601">
        <v>50</v>
      </c>
      <c r="F1601">
        <v>49.975376128999997</v>
      </c>
      <c r="G1601">
        <v>1326.3126221</v>
      </c>
      <c r="H1601">
        <v>1323.7174072</v>
      </c>
      <c r="I1601">
        <v>1344.6278076000001</v>
      </c>
      <c r="J1601">
        <v>1340.2525635</v>
      </c>
      <c r="K1601">
        <v>0</v>
      </c>
      <c r="L1601">
        <v>2400</v>
      </c>
      <c r="M1601">
        <v>2400</v>
      </c>
      <c r="N1601">
        <v>0</v>
      </c>
    </row>
    <row r="1602" spans="1:14" x14ac:dyDescent="0.25">
      <c r="A1602">
        <v>942.17439300000001</v>
      </c>
      <c r="B1602" s="1">
        <f>DATE(2012,11,28) + TIME(4,11,7)</f>
        <v>41241.174386574072</v>
      </c>
      <c r="C1602">
        <v>80</v>
      </c>
      <c r="D1602">
        <v>77.595481872999997</v>
      </c>
      <c r="E1602">
        <v>50</v>
      </c>
      <c r="F1602">
        <v>49.975368500000002</v>
      </c>
      <c r="G1602">
        <v>1326.2747803</v>
      </c>
      <c r="H1602">
        <v>1323.6644286999999</v>
      </c>
      <c r="I1602">
        <v>1344.6192627</v>
      </c>
      <c r="J1602">
        <v>1340.2479248</v>
      </c>
      <c r="K1602">
        <v>0</v>
      </c>
      <c r="L1602">
        <v>2400</v>
      </c>
      <c r="M1602">
        <v>2400</v>
      </c>
      <c r="N1602">
        <v>0</v>
      </c>
    </row>
    <row r="1603" spans="1:14" x14ac:dyDescent="0.25">
      <c r="A1603">
        <v>943.07696999999996</v>
      </c>
      <c r="B1603" s="1">
        <f>DATE(2012,11,29) + TIME(1,50,50)</f>
        <v>41242.076967592591</v>
      </c>
      <c r="C1603">
        <v>80</v>
      </c>
      <c r="D1603">
        <v>77.535476685000006</v>
      </c>
      <c r="E1603">
        <v>50</v>
      </c>
      <c r="F1603">
        <v>49.975360870000003</v>
      </c>
      <c r="G1603">
        <v>1326.2362060999999</v>
      </c>
      <c r="H1603">
        <v>1323.6104736</v>
      </c>
      <c r="I1603">
        <v>1344.6108397999999</v>
      </c>
      <c r="J1603">
        <v>1340.2434082</v>
      </c>
      <c r="K1603">
        <v>0</v>
      </c>
      <c r="L1603">
        <v>2400</v>
      </c>
      <c r="M1603">
        <v>2400</v>
      </c>
      <c r="N1603">
        <v>0</v>
      </c>
    </row>
    <row r="1604" spans="1:14" x14ac:dyDescent="0.25">
      <c r="A1604">
        <v>944.00230499999998</v>
      </c>
      <c r="B1604" s="1">
        <f>DATE(2012,11,30) + TIME(0,3,19)</f>
        <v>41243.002303240741</v>
      </c>
      <c r="C1604">
        <v>80</v>
      </c>
      <c r="D1604">
        <v>77.474807738999999</v>
      </c>
      <c r="E1604">
        <v>50</v>
      </c>
      <c r="F1604">
        <v>49.975353241000001</v>
      </c>
      <c r="G1604">
        <v>1326.1970214999999</v>
      </c>
      <c r="H1604">
        <v>1323.5555420000001</v>
      </c>
      <c r="I1604">
        <v>1344.6024170000001</v>
      </c>
      <c r="J1604">
        <v>1340.2390137</v>
      </c>
      <c r="K1604">
        <v>0</v>
      </c>
      <c r="L1604">
        <v>2400</v>
      </c>
      <c r="M1604">
        <v>2400</v>
      </c>
      <c r="N1604">
        <v>0</v>
      </c>
    </row>
    <row r="1605" spans="1:14" x14ac:dyDescent="0.25">
      <c r="A1605">
        <v>944.95248500000002</v>
      </c>
      <c r="B1605" s="1">
        <f>DATE(2012,11,30) + TIME(22,51,34)</f>
        <v>41243.952476851853</v>
      </c>
      <c r="C1605">
        <v>80</v>
      </c>
      <c r="D1605">
        <v>77.413375853999995</v>
      </c>
      <c r="E1605">
        <v>50</v>
      </c>
      <c r="F1605">
        <v>49.975345611999998</v>
      </c>
      <c r="G1605">
        <v>1326.1569824000001</v>
      </c>
      <c r="H1605">
        <v>1323.4995117000001</v>
      </c>
      <c r="I1605">
        <v>1344.5941161999999</v>
      </c>
      <c r="J1605">
        <v>1340.2346190999999</v>
      </c>
      <c r="K1605">
        <v>0</v>
      </c>
      <c r="L1605">
        <v>2400</v>
      </c>
      <c r="M1605">
        <v>2400</v>
      </c>
      <c r="N1605">
        <v>0</v>
      </c>
    </row>
    <row r="1606" spans="1:14" x14ac:dyDescent="0.25">
      <c r="A1606">
        <v>945</v>
      </c>
      <c r="B1606" s="1">
        <f>DATE(2012,12,1) + TIME(0,0,0)</f>
        <v>41244</v>
      </c>
      <c r="C1606">
        <v>80</v>
      </c>
      <c r="D1606">
        <v>77.407012938999998</v>
      </c>
      <c r="E1606">
        <v>50</v>
      </c>
      <c r="F1606">
        <v>49.975345611999998</v>
      </c>
      <c r="G1606">
        <v>1326.1229248</v>
      </c>
      <c r="H1606">
        <v>1323.4552002</v>
      </c>
      <c r="I1606">
        <v>1344.5854492000001</v>
      </c>
      <c r="J1606">
        <v>1340.2298584</v>
      </c>
      <c r="K1606">
        <v>0</v>
      </c>
      <c r="L1606">
        <v>2400</v>
      </c>
      <c r="M1606">
        <v>2400</v>
      </c>
      <c r="N1606">
        <v>0</v>
      </c>
    </row>
    <row r="1607" spans="1:14" x14ac:dyDescent="0.25">
      <c r="A1607">
        <v>945.97727099999997</v>
      </c>
      <c r="B1607" s="1">
        <f>DATE(2012,12,1) + TIME(23,27,16)</f>
        <v>41244.977268518516</v>
      </c>
      <c r="C1607">
        <v>80</v>
      </c>
      <c r="D1607">
        <v>77.346527100000003</v>
      </c>
      <c r="E1607">
        <v>50</v>
      </c>
      <c r="F1607">
        <v>49.975337981999999</v>
      </c>
      <c r="G1607">
        <v>1326.1131591999999</v>
      </c>
      <c r="H1607">
        <v>1323.4379882999999</v>
      </c>
      <c r="I1607">
        <v>1344.5853271000001</v>
      </c>
      <c r="J1607">
        <v>1340.2299805</v>
      </c>
      <c r="K1607">
        <v>0</v>
      </c>
      <c r="L1607">
        <v>2400</v>
      </c>
      <c r="M1607">
        <v>2400</v>
      </c>
      <c r="N1607">
        <v>0</v>
      </c>
    </row>
    <row r="1608" spans="1:14" x14ac:dyDescent="0.25">
      <c r="A1608">
        <v>946.98596999999995</v>
      </c>
      <c r="B1608" s="1">
        <f>DATE(2012,12,2) + TIME(23,39,47)</f>
        <v>41245.985960648148</v>
      </c>
      <c r="C1608">
        <v>80</v>
      </c>
      <c r="D1608">
        <v>77.284027100000003</v>
      </c>
      <c r="E1608">
        <v>50</v>
      </c>
      <c r="F1608">
        <v>49.975334167</v>
      </c>
      <c r="G1608">
        <v>1326.0717772999999</v>
      </c>
      <c r="H1608">
        <v>1323.380249</v>
      </c>
      <c r="I1608">
        <v>1344.5771483999999</v>
      </c>
      <c r="J1608">
        <v>1340.2257079999999</v>
      </c>
      <c r="K1608">
        <v>0</v>
      </c>
      <c r="L1608">
        <v>2400</v>
      </c>
      <c r="M1608">
        <v>2400</v>
      </c>
      <c r="N1608">
        <v>0</v>
      </c>
    </row>
    <row r="1609" spans="1:14" x14ac:dyDescent="0.25">
      <c r="A1609">
        <v>948.02745400000003</v>
      </c>
      <c r="B1609" s="1">
        <f>DATE(2012,12,4) + TIME(0,39,32)</f>
        <v>41247.027453703704</v>
      </c>
      <c r="C1609">
        <v>80</v>
      </c>
      <c r="D1609">
        <v>77.219917296999995</v>
      </c>
      <c r="E1609">
        <v>50</v>
      </c>
      <c r="F1609">
        <v>49.975330352999997</v>
      </c>
      <c r="G1609">
        <v>1326.0289307</v>
      </c>
      <c r="H1609">
        <v>1323.3204346</v>
      </c>
      <c r="I1609">
        <v>1344.5688477000001</v>
      </c>
      <c r="J1609">
        <v>1340.2214355000001</v>
      </c>
      <c r="K1609">
        <v>0</v>
      </c>
      <c r="L1609">
        <v>2400</v>
      </c>
      <c r="M1609">
        <v>2400</v>
      </c>
      <c r="N1609">
        <v>0</v>
      </c>
    </row>
    <row r="1610" spans="1:14" x14ac:dyDescent="0.25">
      <c r="A1610">
        <v>949.104873</v>
      </c>
      <c r="B1610" s="1">
        <f>DATE(2012,12,5) + TIME(2,31,0)</f>
        <v>41248.104861111111</v>
      </c>
      <c r="C1610">
        <v>80</v>
      </c>
      <c r="D1610">
        <v>77.154304503999995</v>
      </c>
      <c r="E1610">
        <v>50</v>
      </c>
      <c r="F1610">
        <v>49.975326537999997</v>
      </c>
      <c r="G1610">
        <v>1325.9848632999999</v>
      </c>
      <c r="H1610">
        <v>1323.2589111</v>
      </c>
      <c r="I1610">
        <v>1344.5606689000001</v>
      </c>
      <c r="J1610">
        <v>1340.2170410000001</v>
      </c>
      <c r="K1610">
        <v>0</v>
      </c>
      <c r="L1610">
        <v>2400</v>
      </c>
      <c r="M1610">
        <v>2400</v>
      </c>
      <c r="N1610">
        <v>0</v>
      </c>
    </row>
    <row r="1611" spans="1:14" x14ac:dyDescent="0.25">
      <c r="A1611">
        <v>950.22161700000004</v>
      </c>
      <c r="B1611" s="1">
        <f>DATE(2012,12,6) + TIME(5,19,7)</f>
        <v>41249.221608796295</v>
      </c>
      <c r="C1611">
        <v>80</v>
      </c>
      <c r="D1611">
        <v>77.087173461999996</v>
      </c>
      <c r="E1611">
        <v>50</v>
      </c>
      <c r="F1611">
        <v>49.975322722999998</v>
      </c>
      <c r="G1611">
        <v>1325.9395752</v>
      </c>
      <c r="H1611">
        <v>1323.1955565999999</v>
      </c>
      <c r="I1611">
        <v>1344.5523682</v>
      </c>
      <c r="J1611">
        <v>1340.2127685999999</v>
      </c>
      <c r="K1611">
        <v>0</v>
      </c>
      <c r="L1611">
        <v>2400</v>
      </c>
      <c r="M1611">
        <v>2400</v>
      </c>
      <c r="N1611">
        <v>0</v>
      </c>
    </row>
    <row r="1612" spans="1:14" x14ac:dyDescent="0.25">
      <c r="A1612">
        <v>951.38141299999995</v>
      </c>
      <c r="B1612" s="1">
        <f>DATE(2012,12,7) + TIME(9,9,14)</f>
        <v>41250.381412037037</v>
      </c>
      <c r="C1612">
        <v>80</v>
      </c>
      <c r="D1612">
        <v>77.018394470000004</v>
      </c>
      <c r="E1612">
        <v>50</v>
      </c>
      <c r="F1612">
        <v>49.975318909000002</v>
      </c>
      <c r="G1612">
        <v>1325.8928223</v>
      </c>
      <c r="H1612">
        <v>1323.130249</v>
      </c>
      <c r="I1612">
        <v>1344.5440673999999</v>
      </c>
      <c r="J1612">
        <v>1340.2084961</v>
      </c>
      <c r="K1612">
        <v>0</v>
      </c>
      <c r="L1612">
        <v>2400</v>
      </c>
      <c r="M1612">
        <v>2400</v>
      </c>
      <c r="N1612">
        <v>0</v>
      </c>
    </row>
    <row r="1613" spans="1:14" x14ac:dyDescent="0.25">
      <c r="A1613">
        <v>952.58838900000001</v>
      </c>
      <c r="B1613" s="1">
        <f>DATE(2012,12,8) + TIME(14,7,16)</f>
        <v>41251.588379629633</v>
      </c>
      <c r="C1613">
        <v>80</v>
      </c>
      <c r="D1613">
        <v>76.947830199999999</v>
      </c>
      <c r="E1613">
        <v>50</v>
      </c>
      <c r="F1613">
        <v>49.975315094000003</v>
      </c>
      <c r="G1613">
        <v>1325.8444824000001</v>
      </c>
      <c r="H1613">
        <v>1323.0628661999999</v>
      </c>
      <c r="I1613">
        <v>1344.5356445</v>
      </c>
      <c r="J1613">
        <v>1340.2042236</v>
      </c>
      <c r="K1613">
        <v>0</v>
      </c>
      <c r="L1613">
        <v>2400</v>
      </c>
      <c r="M1613">
        <v>2400</v>
      </c>
      <c r="N1613">
        <v>0</v>
      </c>
    </row>
    <row r="1614" spans="1:14" x14ac:dyDescent="0.25">
      <c r="A1614">
        <v>953.847128</v>
      </c>
      <c r="B1614" s="1">
        <f>DATE(2012,12,9) + TIME(20,19,51)</f>
        <v>41252.847118055557</v>
      </c>
      <c r="C1614">
        <v>80</v>
      </c>
      <c r="D1614">
        <v>76.875282287999994</v>
      </c>
      <c r="E1614">
        <v>50</v>
      </c>
      <c r="F1614">
        <v>49.975311279000003</v>
      </c>
      <c r="G1614">
        <v>1325.7945557</v>
      </c>
      <c r="H1614">
        <v>1322.9932861</v>
      </c>
      <c r="I1614">
        <v>1344.5272216999999</v>
      </c>
      <c r="J1614">
        <v>1340.1998291</v>
      </c>
      <c r="K1614">
        <v>0</v>
      </c>
      <c r="L1614">
        <v>2400</v>
      </c>
      <c r="M1614">
        <v>2400</v>
      </c>
      <c r="N1614">
        <v>0</v>
      </c>
    </row>
    <row r="1615" spans="1:14" x14ac:dyDescent="0.25">
      <c r="A1615">
        <v>955.13320799999997</v>
      </c>
      <c r="B1615" s="1">
        <f>DATE(2012,12,11) + TIME(3,11,49)</f>
        <v>41254.133206018516</v>
      </c>
      <c r="C1615">
        <v>80</v>
      </c>
      <c r="D1615">
        <v>76.801155089999995</v>
      </c>
      <c r="E1615">
        <v>50</v>
      </c>
      <c r="F1615">
        <v>49.975311279000003</v>
      </c>
      <c r="G1615">
        <v>1325.7429199000001</v>
      </c>
      <c r="H1615">
        <v>1322.9212646000001</v>
      </c>
      <c r="I1615">
        <v>1344.5186768000001</v>
      </c>
      <c r="J1615">
        <v>1340.1955565999999</v>
      </c>
      <c r="K1615">
        <v>0</v>
      </c>
      <c r="L1615">
        <v>2400</v>
      </c>
      <c r="M1615">
        <v>2400</v>
      </c>
      <c r="N1615">
        <v>0</v>
      </c>
    </row>
    <row r="1616" spans="1:14" x14ac:dyDescent="0.25">
      <c r="A1616">
        <v>956.44223499999998</v>
      </c>
      <c r="B1616" s="1">
        <f>DATE(2012,12,12) + TIME(10,36,49)</f>
        <v>41255.442233796297</v>
      </c>
      <c r="C1616">
        <v>80</v>
      </c>
      <c r="D1616">
        <v>76.726081848000007</v>
      </c>
      <c r="E1616">
        <v>50</v>
      </c>
      <c r="F1616">
        <v>49.975307465</v>
      </c>
      <c r="G1616">
        <v>1325.6901855000001</v>
      </c>
      <c r="H1616">
        <v>1322.8479004000001</v>
      </c>
      <c r="I1616">
        <v>1344.5102539</v>
      </c>
      <c r="J1616">
        <v>1340.1911620999999</v>
      </c>
      <c r="K1616">
        <v>0</v>
      </c>
      <c r="L1616">
        <v>2400</v>
      </c>
      <c r="M1616">
        <v>2400</v>
      </c>
      <c r="N1616">
        <v>0</v>
      </c>
    </row>
    <row r="1617" spans="1:14" x14ac:dyDescent="0.25">
      <c r="A1617">
        <v>957.77736800000002</v>
      </c>
      <c r="B1617" s="1">
        <f>DATE(2012,12,13) + TIME(18,39,24)</f>
        <v>41256.777361111112</v>
      </c>
      <c r="C1617">
        <v>80</v>
      </c>
      <c r="D1617">
        <v>76.650283813000001</v>
      </c>
      <c r="E1617">
        <v>50</v>
      </c>
      <c r="F1617">
        <v>49.975307465</v>
      </c>
      <c r="G1617">
        <v>1325.6368408000001</v>
      </c>
      <c r="H1617">
        <v>1322.7734375</v>
      </c>
      <c r="I1617">
        <v>1344.5019531</v>
      </c>
      <c r="J1617">
        <v>1340.1870117000001</v>
      </c>
      <c r="K1617">
        <v>0</v>
      </c>
      <c r="L1617">
        <v>2400</v>
      </c>
      <c r="M1617">
        <v>2400</v>
      </c>
      <c r="N1617">
        <v>0</v>
      </c>
    </row>
    <row r="1618" spans="1:14" x14ac:dyDescent="0.25">
      <c r="A1618">
        <v>959.14183700000001</v>
      </c>
      <c r="B1618" s="1">
        <f>DATE(2012,12,15) + TIME(3,24,14)</f>
        <v>41258.141828703701</v>
      </c>
      <c r="C1618">
        <v>80</v>
      </c>
      <c r="D1618">
        <v>76.573730468999997</v>
      </c>
      <c r="E1618">
        <v>50</v>
      </c>
      <c r="F1618">
        <v>49.975307465</v>
      </c>
      <c r="G1618">
        <v>1325.5826416</v>
      </c>
      <c r="H1618">
        <v>1322.6979980000001</v>
      </c>
      <c r="I1618">
        <v>1344.4937743999999</v>
      </c>
      <c r="J1618">
        <v>1340.1828613</v>
      </c>
      <c r="K1618">
        <v>0</v>
      </c>
      <c r="L1618">
        <v>2400</v>
      </c>
      <c r="M1618">
        <v>2400</v>
      </c>
      <c r="N1618">
        <v>0</v>
      </c>
    </row>
    <row r="1619" spans="1:14" x14ac:dyDescent="0.25">
      <c r="A1619">
        <v>960.53909099999998</v>
      </c>
      <c r="B1619" s="1">
        <f>DATE(2012,12,16) + TIME(12,56,17)</f>
        <v>41259.539085648146</v>
      </c>
      <c r="C1619">
        <v>80</v>
      </c>
      <c r="D1619">
        <v>76.496276855000005</v>
      </c>
      <c r="E1619">
        <v>50</v>
      </c>
      <c r="F1619">
        <v>49.975307465</v>
      </c>
      <c r="G1619">
        <v>1325.5277100000001</v>
      </c>
      <c r="H1619">
        <v>1322.6214600000001</v>
      </c>
      <c r="I1619">
        <v>1344.4855957</v>
      </c>
      <c r="J1619">
        <v>1340.1787108999999</v>
      </c>
      <c r="K1619">
        <v>0</v>
      </c>
      <c r="L1619">
        <v>2400</v>
      </c>
      <c r="M1619">
        <v>2400</v>
      </c>
      <c r="N1619">
        <v>0</v>
      </c>
    </row>
    <row r="1620" spans="1:14" x14ac:dyDescent="0.25">
      <c r="A1620">
        <v>961.97290999999996</v>
      </c>
      <c r="B1620" s="1">
        <f>DATE(2012,12,17) + TIME(23,20,59)</f>
        <v>41260.972905092596</v>
      </c>
      <c r="C1620">
        <v>80</v>
      </c>
      <c r="D1620">
        <v>76.417739867999998</v>
      </c>
      <c r="E1620">
        <v>50</v>
      </c>
      <c r="F1620">
        <v>49.975307465</v>
      </c>
      <c r="G1620">
        <v>1325.4719238</v>
      </c>
      <c r="H1620">
        <v>1322.5437012</v>
      </c>
      <c r="I1620">
        <v>1344.4774170000001</v>
      </c>
      <c r="J1620">
        <v>1340.1745605000001</v>
      </c>
      <c r="K1620">
        <v>0</v>
      </c>
      <c r="L1620">
        <v>2400</v>
      </c>
      <c r="M1620">
        <v>2400</v>
      </c>
      <c r="N1620">
        <v>0</v>
      </c>
    </row>
    <row r="1621" spans="1:14" x14ac:dyDescent="0.25">
      <c r="A1621">
        <v>963.44696699999997</v>
      </c>
      <c r="B1621" s="1">
        <f>DATE(2012,12,19) + TIME(10,43,37)</f>
        <v>41262.446956018517</v>
      </c>
      <c r="C1621">
        <v>80</v>
      </c>
      <c r="D1621">
        <v>76.337898253999995</v>
      </c>
      <c r="E1621">
        <v>50</v>
      </c>
      <c r="F1621">
        <v>49.975307465</v>
      </c>
      <c r="G1621">
        <v>1325.4150391000001</v>
      </c>
      <c r="H1621">
        <v>1322.4645995999999</v>
      </c>
      <c r="I1621">
        <v>1344.4693603999999</v>
      </c>
      <c r="J1621">
        <v>1340.1705322</v>
      </c>
      <c r="K1621">
        <v>0</v>
      </c>
      <c r="L1621">
        <v>2400</v>
      </c>
      <c r="M1621">
        <v>2400</v>
      </c>
      <c r="N1621">
        <v>0</v>
      </c>
    </row>
    <row r="1622" spans="1:14" x14ac:dyDescent="0.25">
      <c r="A1622">
        <v>964.96499900000003</v>
      </c>
      <c r="B1622" s="1">
        <f>DATE(2012,12,20) + TIME(23,9,35)</f>
        <v>41263.964988425927</v>
      </c>
      <c r="C1622">
        <v>80</v>
      </c>
      <c r="D1622">
        <v>76.256546021000005</v>
      </c>
      <c r="E1622">
        <v>50</v>
      </c>
      <c r="F1622">
        <v>49.975311279000003</v>
      </c>
      <c r="G1622">
        <v>1325.3571777</v>
      </c>
      <c r="H1622">
        <v>1322.3840332</v>
      </c>
      <c r="I1622">
        <v>1344.4613036999999</v>
      </c>
      <c r="J1622">
        <v>1340.1665039</v>
      </c>
      <c r="K1622">
        <v>0</v>
      </c>
      <c r="L1622">
        <v>2400</v>
      </c>
      <c r="M1622">
        <v>2400</v>
      </c>
      <c r="N1622">
        <v>0</v>
      </c>
    </row>
    <row r="1623" spans="1:14" x14ac:dyDescent="0.25">
      <c r="A1623">
        <v>966.53163199999995</v>
      </c>
      <c r="B1623" s="1">
        <f>DATE(2012,12,22) + TIME(12,45,32)</f>
        <v>41265.53162037037</v>
      </c>
      <c r="C1623">
        <v>80</v>
      </c>
      <c r="D1623">
        <v>76.173423767000003</v>
      </c>
      <c r="E1623">
        <v>50</v>
      </c>
      <c r="F1623">
        <v>49.975311279000003</v>
      </c>
      <c r="G1623">
        <v>1325.2979736</v>
      </c>
      <c r="H1623">
        <v>1322.3017577999999</v>
      </c>
      <c r="I1623">
        <v>1344.4532471</v>
      </c>
      <c r="J1623">
        <v>1340.1624756000001</v>
      </c>
      <c r="K1623">
        <v>0</v>
      </c>
      <c r="L1623">
        <v>2400</v>
      </c>
      <c r="M1623">
        <v>2400</v>
      </c>
      <c r="N1623">
        <v>0</v>
      </c>
    </row>
    <row r="1624" spans="1:14" x14ac:dyDescent="0.25">
      <c r="A1624">
        <v>968.15185699999995</v>
      </c>
      <c r="B1624" s="1">
        <f>DATE(2012,12,24) + TIME(3,38,40)</f>
        <v>41267.15185185185</v>
      </c>
      <c r="C1624">
        <v>80</v>
      </c>
      <c r="D1624">
        <v>76.088272094999994</v>
      </c>
      <c r="E1624">
        <v>50</v>
      </c>
      <c r="F1624">
        <v>49.975315094000003</v>
      </c>
      <c r="G1624">
        <v>1325.2374268000001</v>
      </c>
      <c r="H1624">
        <v>1322.2176514</v>
      </c>
      <c r="I1624">
        <v>1344.4450684000001</v>
      </c>
      <c r="J1624">
        <v>1340.1584473</v>
      </c>
      <c r="K1624">
        <v>0</v>
      </c>
      <c r="L1624">
        <v>2400</v>
      </c>
      <c r="M1624">
        <v>2400</v>
      </c>
      <c r="N1624">
        <v>0</v>
      </c>
    </row>
    <row r="1625" spans="1:14" x14ac:dyDescent="0.25">
      <c r="A1625">
        <v>969.83110999999997</v>
      </c>
      <c r="B1625" s="1">
        <f>DATE(2012,12,25) + TIME(19,56,47)</f>
        <v>41268.831099537034</v>
      </c>
      <c r="C1625">
        <v>80</v>
      </c>
      <c r="D1625">
        <v>76.000793457</v>
      </c>
      <c r="E1625">
        <v>50</v>
      </c>
      <c r="F1625">
        <v>49.975318909000002</v>
      </c>
      <c r="G1625">
        <v>1325.1754149999999</v>
      </c>
      <c r="H1625">
        <v>1322.1314697</v>
      </c>
      <c r="I1625">
        <v>1344.4370117000001</v>
      </c>
      <c r="J1625">
        <v>1340.1544189000001</v>
      </c>
      <c r="K1625">
        <v>0</v>
      </c>
      <c r="L1625">
        <v>2400</v>
      </c>
      <c r="M1625">
        <v>2400</v>
      </c>
      <c r="N1625">
        <v>0</v>
      </c>
    </row>
    <row r="1626" spans="1:14" x14ac:dyDescent="0.25">
      <c r="A1626">
        <v>971.57537200000002</v>
      </c>
      <c r="B1626" s="1">
        <f>DATE(2012,12,27) + TIME(13,48,32)</f>
        <v>41270.575370370374</v>
      </c>
      <c r="C1626">
        <v>80</v>
      </c>
      <c r="D1626">
        <v>75.910636901999993</v>
      </c>
      <c r="E1626">
        <v>50</v>
      </c>
      <c r="F1626">
        <v>49.975322722999998</v>
      </c>
      <c r="G1626">
        <v>1325.1116943</v>
      </c>
      <c r="H1626">
        <v>1322.0430908000001</v>
      </c>
      <c r="I1626">
        <v>1344.4287108999999</v>
      </c>
      <c r="J1626">
        <v>1340.1503906</v>
      </c>
      <c r="K1626">
        <v>0</v>
      </c>
      <c r="L1626">
        <v>2400</v>
      </c>
      <c r="M1626">
        <v>2400</v>
      </c>
      <c r="N1626">
        <v>0</v>
      </c>
    </row>
    <row r="1627" spans="1:14" x14ac:dyDescent="0.25">
      <c r="A1627">
        <v>973.39126099999999</v>
      </c>
      <c r="B1627" s="1">
        <f>DATE(2012,12,29) + TIME(9,23,24)</f>
        <v>41272.391250000001</v>
      </c>
      <c r="C1627">
        <v>80</v>
      </c>
      <c r="D1627">
        <v>75.817451477000006</v>
      </c>
      <c r="E1627">
        <v>50</v>
      </c>
      <c r="F1627">
        <v>49.975330352999997</v>
      </c>
      <c r="G1627">
        <v>1325.0462646000001</v>
      </c>
      <c r="H1627">
        <v>1321.9521483999999</v>
      </c>
      <c r="I1627">
        <v>1344.4204102000001</v>
      </c>
      <c r="J1627">
        <v>1340.1463623</v>
      </c>
      <c r="K1627">
        <v>0</v>
      </c>
      <c r="L1627">
        <v>2400</v>
      </c>
      <c r="M1627">
        <v>2400</v>
      </c>
      <c r="N1627">
        <v>0</v>
      </c>
    </row>
    <row r="1628" spans="1:14" x14ac:dyDescent="0.25">
      <c r="A1628">
        <v>975.28616899999997</v>
      </c>
      <c r="B1628" s="1">
        <f>DATE(2012,12,31) + TIME(6,52,4)</f>
        <v>41274.286157407405</v>
      </c>
      <c r="C1628">
        <v>80</v>
      </c>
      <c r="D1628">
        <v>75.720817565999994</v>
      </c>
      <c r="E1628">
        <v>50</v>
      </c>
      <c r="F1628">
        <v>49.975334167</v>
      </c>
      <c r="G1628">
        <v>1324.9787598</v>
      </c>
      <c r="H1628">
        <v>1321.8585204999999</v>
      </c>
      <c r="I1628">
        <v>1344.4121094</v>
      </c>
      <c r="J1628">
        <v>1340.1422118999999</v>
      </c>
      <c r="K1628">
        <v>0</v>
      </c>
      <c r="L1628">
        <v>2400</v>
      </c>
      <c r="M1628">
        <v>2400</v>
      </c>
      <c r="N1628">
        <v>0</v>
      </c>
    </row>
    <row r="1629" spans="1:14" x14ac:dyDescent="0.25">
      <c r="A1629">
        <v>976</v>
      </c>
      <c r="B1629" s="1">
        <f>DATE(2013,1,1) + TIME(0,0,0)</f>
        <v>41275</v>
      </c>
      <c r="C1629">
        <v>80</v>
      </c>
      <c r="D1629">
        <v>75.652023314999994</v>
      </c>
      <c r="E1629">
        <v>50</v>
      </c>
      <c r="F1629">
        <v>49.975330352999997</v>
      </c>
      <c r="G1629">
        <v>1324.9132079999999</v>
      </c>
      <c r="H1629">
        <v>1321.7702637</v>
      </c>
      <c r="I1629">
        <v>1344.4033202999999</v>
      </c>
      <c r="J1629">
        <v>1340.1378173999999</v>
      </c>
      <c r="K1629">
        <v>0</v>
      </c>
      <c r="L1629">
        <v>2400</v>
      </c>
      <c r="M1629">
        <v>2400</v>
      </c>
      <c r="N1629">
        <v>0</v>
      </c>
    </row>
    <row r="1630" spans="1:14" x14ac:dyDescent="0.25">
      <c r="A1630">
        <v>977.94689100000005</v>
      </c>
      <c r="B1630" s="1">
        <f>DATE(2013,1,2) + TIME(22,43,31)</f>
        <v>41276.946886574071</v>
      </c>
      <c r="C1630">
        <v>80</v>
      </c>
      <c r="D1630">
        <v>75.574798584000007</v>
      </c>
      <c r="E1630">
        <v>50</v>
      </c>
      <c r="F1630">
        <v>49.975341796999999</v>
      </c>
      <c r="G1630">
        <v>1324.8756103999999</v>
      </c>
      <c r="H1630">
        <v>1321.7131348</v>
      </c>
      <c r="I1630">
        <v>1344.4003906</v>
      </c>
      <c r="J1630">
        <v>1340.1364745999999</v>
      </c>
      <c r="K1630">
        <v>0</v>
      </c>
      <c r="L1630">
        <v>2400</v>
      </c>
      <c r="M1630">
        <v>2400</v>
      </c>
      <c r="N1630">
        <v>0</v>
      </c>
    </row>
    <row r="1631" spans="1:14" x14ac:dyDescent="0.25">
      <c r="A1631">
        <v>979.94503499999996</v>
      </c>
      <c r="B1631" s="1">
        <f>DATE(2013,1,4) + TIME(22,40,51)</f>
        <v>41278.945034722223</v>
      </c>
      <c r="C1631">
        <v>80</v>
      </c>
      <c r="D1631">
        <v>75.477958678999997</v>
      </c>
      <c r="E1631">
        <v>50</v>
      </c>
      <c r="F1631">
        <v>49.975353241000001</v>
      </c>
      <c r="G1631">
        <v>1324.8099365</v>
      </c>
      <c r="H1631">
        <v>1321.6239014</v>
      </c>
      <c r="I1631">
        <v>1344.3919678</v>
      </c>
      <c r="J1631">
        <v>1340.1323242000001</v>
      </c>
      <c r="K1631">
        <v>0</v>
      </c>
      <c r="L1631">
        <v>2400</v>
      </c>
      <c r="M1631">
        <v>2400</v>
      </c>
      <c r="N1631">
        <v>0</v>
      </c>
    </row>
    <row r="1632" spans="1:14" x14ac:dyDescent="0.25">
      <c r="A1632">
        <v>981.99498300000005</v>
      </c>
      <c r="B1632" s="1">
        <f>DATE(2013,1,6) + TIME(23,52,46)</f>
        <v>41280.994976851849</v>
      </c>
      <c r="C1632">
        <v>80</v>
      </c>
      <c r="D1632">
        <v>75.373802185000002</v>
      </c>
      <c r="E1632">
        <v>50</v>
      </c>
      <c r="F1632">
        <v>49.975360870000003</v>
      </c>
      <c r="G1632">
        <v>1324.7393798999999</v>
      </c>
      <c r="H1632">
        <v>1321.5266113</v>
      </c>
      <c r="I1632">
        <v>1344.3835449000001</v>
      </c>
      <c r="J1632">
        <v>1340.1281738</v>
      </c>
      <c r="K1632">
        <v>0</v>
      </c>
      <c r="L1632">
        <v>2400</v>
      </c>
      <c r="M1632">
        <v>2400</v>
      </c>
      <c r="N1632">
        <v>0</v>
      </c>
    </row>
    <row r="1633" spans="1:14" x14ac:dyDescent="0.25">
      <c r="A1633">
        <v>984.09898899999996</v>
      </c>
      <c r="B1633" s="1">
        <f>DATE(2013,1,9) + TIME(2,22,32)</f>
        <v>41283.098981481482</v>
      </c>
      <c r="C1633">
        <v>80</v>
      </c>
      <c r="D1633">
        <v>75.265541076999995</v>
      </c>
      <c r="E1633">
        <v>50</v>
      </c>
      <c r="F1633">
        <v>49.975368500000002</v>
      </c>
      <c r="G1633">
        <v>1324.6667480000001</v>
      </c>
      <c r="H1633">
        <v>1321.4260254000001</v>
      </c>
      <c r="I1633">
        <v>1344.3751221</v>
      </c>
      <c r="J1633">
        <v>1340.1241454999999</v>
      </c>
      <c r="K1633">
        <v>0</v>
      </c>
      <c r="L1633">
        <v>2400</v>
      </c>
      <c r="M1633">
        <v>2400</v>
      </c>
      <c r="N1633">
        <v>0</v>
      </c>
    </row>
    <row r="1634" spans="1:14" x14ac:dyDescent="0.25">
      <c r="A1634">
        <v>986.26262899999995</v>
      </c>
      <c r="B1634" s="1">
        <f>DATE(2013,1,11) + TIME(6,18,11)</f>
        <v>41285.262627314813</v>
      </c>
      <c r="C1634">
        <v>80</v>
      </c>
      <c r="D1634">
        <v>75.153808593999997</v>
      </c>
      <c r="E1634">
        <v>50</v>
      </c>
      <c r="F1634">
        <v>49.975379943999997</v>
      </c>
      <c r="G1634">
        <v>1324.5927733999999</v>
      </c>
      <c r="H1634">
        <v>1321.3236084</v>
      </c>
      <c r="I1634">
        <v>1344.3668213000001</v>
      </c>
      <c r="J1634">
        <v>1340.1199951000001</v>
      </c>
      <c r="K1634">
        <v>0</v>
      </c>
      <c r="L1634">
        <v>2400</v>
      </c>
      <c r="M1634">
        <v>2400</v>
      </c>
      <c r="N1634">
        <v>0</v>
      </c>
    </row>
    <row r="1635" spans="1:14" x14ac:dyDescent="0.25">
      <c r="A1635">
        <v>988.49291100000005</v>
      </c>
      <c r="B1635" s="1">
        <f>DATE(2013,1,13) + TIME(11,49,47)</f>
        <v>41287.492905092593</v>
      </c>
      <c r="C1635">
        <v>80</v>
      </c>
      <c r="D1635">
        <v>75.038429260000001</v>
      </c>
      <c r="E1635">
        <v>50</v>
      </c>
      <c r="F1635">
        <v>49.975391387999998</v>
      </c>
      <c r="G1635">
        <v>1324.5175781</v>
      </c>
      <c r="H1635">
        <v>1321.2194824000001</v>
      </c>
      <c r="I1635">
        <v>1344.3583983999999</v>
      </c>
      <c r="J1635">
        <v>1340.1158447</v>
      </c>
      <c r="K1635">
        <v>0</v>
      </c>
      <c r="L1635">
        <v>2400</v>
      </c>
      <c r="M1635">
        <v>2400</v>
      </c>
      <c r="N1635">
        <v>0</v>
      </c>
    </row>
    <row r="1636" spans="1:14" x14ac:dyDescent="0.25">
      <c r="A1636">
        <v>990.796426</v>
      </c>
      <c r="B1636" s="1">
        <f>DATE(2013,1,15) + TIME(19,6,51)</f>
        <v>41289.796423611115</v>
      </c>
      <c r="C1636">
        <v>80</v>
      </c>
      <c r="D1636">
        <v>74.918838500999996</v>
      </c>
      <c r="E1636">
        <v>50</v>
      </c>
      <c r="F1636">
        <v>49.975402832</v>
      </c>
      <c r="G1636">
        <v>1324.440918</v>
      </c>
      <c r="H1636">
        <v>1321.1134033000001</v>
      </c>
      <c r="I1636">
        <v>1344.3498535000001</v>
      </c>
      <c r="J1636">
        <v>1340.1116943</v>
      </c>
      <c r="K1636">
        <v>0</v>
      </c>
      <c r="L1636">
        <v>2400</v>
      </c>
      <c r="M1636">
        <v>2400</v>
      </c>
      <c r="N1636">
        <v>0</v>
      </c>
    </row>
    <row r="1637" spans="1:14" x14ac:dyDescent="0.25">
      <c r="A1637">
        <v>993.12626699999998</v>
      </c>
      <c r="B1637" s="1">
        <f>DATE(2013,1,18) + TIME(3,1,49)</f>
        <v>41292.126261574071</v>
      </c>
      <c r="C1637">
        <v>80</v>
      </c>
      <c r="D1637">
        <v>74.795120238999999</v>
      </c>
      <c r="E1637">
        <v>50</v>
      </c>
      <c r="F1637">
        <v>49.975414276000002</v>
      </c>
      <c r="G1637">
        <v>1324.3629149999999</v>
      </c>
      <c r="H1637">
        <v>1321.0054932</v>
      </c>
      <c r="I1637">
        <v>1344.3413086</v>
      </c>
      <c r="J1637">
        <v>1340.1075439000001</v>
      </c>
      <c r="K1637">
        <v>0</v>
      </c>
      <c r="L1637">
        <v>2400</v>
      </c>
      <c r="M1637">
        <v>2400</v>
      </c>
      <c r="N1637">
        <v>0</v>
      </c>
    </row>
    <row r="1638" spans="1:14" x14ac:dyDescent="0.25">
      <c r="A1638">
        <v>995.49985300000003</v>
      </c>
      <c r="B1638" s="1">
        <f>DATE(2013,1,20) + TIME(11,59,47)</f>
        <v>41294.499849537038</v>
      </c>
      <c r="C1638">
        <v>80</v>
      </c>
      <c r="D1638">
        <v>74.668418884000005</v>
      </c>
      <c r="E1638">
        <v>50</v>
      </c>
      <c r="F1638">
        <v>49.975425719999997</v>
      </c>
      <c r="G1638">
        <v>1324.284668</v>
      </c>
      <c r="H1638">
        <v>1320.8970947</v>
      </c>
      <c r="I1638">
        <v>1344.3328856999999</v>
      </c>
      <c r="J1638">
        <v>1340.1033935999999</v>
      </c>
      <c r="K1638">
        <v>0</v>
      </c>
      <c r="L1638">
        <v>2400</v>
      </c>
      <c r="M1638">
        <v>2400</v>
      </c>
      <c r="N1638">
        <v>0</v>
      </c>
    </row>
    <row r="1639" spans="1:14" x14ac:dyDescent="0.25">
      <c r="A1639">
        <v>997.93747699999994</v>
      </c>
      <c r="B1639" s="1">
        <f>DATE(2013,1,22) + TIME(22,29,57)</f>
        <v>41296.937465277777</v>
      </c>
      <c r="C1639">
        <v>80</v>
      </c>
      <c r="D1639">
        <v>74.538131714000002</v>
      </c>
      <c r="E1639">
        <v>50</v>
      </c>
      <c r="F1639">
        <v>49.975437163999999</v>
      </c>
      <c r="G1639">
        <v>1324.2059326000001</v>
      </c>
      <c r="H1639">
        <v>1320.7882079999999</v>
      </c>
      <c r="I1639">
        <v>1344.3245850000001</v>
      </c>
      <c r="J1639">
        <v>1340.0992432</v>
      </c>
      <c r="K1639">
        <v>0</v>
      </c>
      <c r="L1639">
        <v>2400</v>
      </c>
      <c r="M1639">
        <v>2400</v>
      </c>
      <c r="N1639">
        <v>0</v>
      </c>
    </row>
    <row r="1640" spans="1:14" x14ac:dyDescent="0.25">
      <c r="A1640">
        <v>1000.461136</v>
      </c>
      <c r="B1640" s="1">
        <f>DATE(2013,1,25) + TIME(11,4,2)</f>
        <v>41299.461134259262</v>
      </c>
      <c r="C1640">
        <v>80</v>
      </c>
      <c r="D1640">
        <v>74.403022766000007</v>
      </c>
      <c r="E1640">
        <v>50</v>
      </c>
      <c r="F1640">
        <v>49.975452423</v>
      </c>
      <c r="G1640">
        <v>1324.1263428</v>
      </c>
      <c r="H1640">
        <v>1320.6781006000001</v>
      </c>
      <c r="I1640">
        <v>1344.3161620999999</v>
      </c>
      <c r="J1640">
        <v>1340.0950928</v>
      </c>
      <c r="K1640">
        <v>0</v>
      </c>
      <c r="L1640">
        <v>2400</v>
      </c>
      <c r="M1640">
        <v>2400</v>
      </c>
      <c r="N1640">
        <v>0</v>
      </c>
    </row>
    <row r="1641" spans="1:14" x14ac:dyDescent="0.25">
      <c r="A1641">
        <v>1003.03532</v>
      </c>
      <c r="B1641" s="1">
        <f>DATE(2013,1,28) + TIME(0,50,51)</f>
        <v>41302.035312499997</v>
      </c>
      <c r="C1641">
        <v>80</v>
      </c>
      <c r="D1641">
        <v>74.262336731000005</v>
      </c>
      <c r="E1641">
        <v>50</v>
      </c>
      <c r="F1641">
        <v>49.975467682000001</v>
      </c>
      <c r="G1641">
        <v>1324.0452881000001</v>
      </c>
      <c r="H1641">
        <v>1320.5660399999999</v>
      </c>
      <c r="I1641">
        <v>1344.3076172000001</v>
      </c>
      <c r="J1641">
        <v>1340.0909423999999</v>
      </c>
      <c r="K1641">
        <v>0</v>
      </c>
      <c r="L1641">
        <v>2400</v>
      </c>
      <c r="M1641">
        <v>2400</v>
      </c>
      <c r="N1641">
        <v>0</v>
      </c>
    </row>
    <row r="1642" spans="1:14" x14ac:dyDescent="0.25">
      <c r="A1642">
        <v>1005.672917</v>
      </c>
      <c r="B1642" s="1">
        <f>DATE(2013,1,30) + TIME(16,9,0)</f>
        <v>41304.67291666667</v>
      </c>
      <c r="C1642">
        <v>80</v>
      </c>
      <c r="D1642">
        <v>74.116744995000005</v>
      </c>
      <c r="E1642">
        <v>50</v>
      </c>
      <c r="F1642">
        <v>49.975486754999999</v>
      </c>
      <c r="G1642">
        <v>1323.963501</v>
      </c>
      <c r="H1642">
        <v>1320.4530029</v>
      </c>
      <c r="I1642">
        <v>1344.2990723</v>
      </c>
      <c r="J1642">
        <v>1340.0866699000001</v>
      </c>
      <c r="K1642">
        <v>0</v>
      </c>
      <c r="L1642">
        <v>2400</v>
      </c>
      <c r="M1642">
        <v>2400</v>
      </c>
      <c r="N1642">
        <v>0</v>
      </c>
    </row>
    <row r="1643" spans="1:14" x14ac:dyDescent="0.25">
      <c r="A1643">
        <v>1007</v>
      </c>
      <c r="B1643" s="1">
        <f>DATE(2013,2,1) + TIME(0,0,0)</f>
        <v>41306</v>
      </c>
      <c r="C1643">
        <v>80</v>
      </c>
      <c r="D1643">
        <v>73.990592957000004</v>
      </c>
      <c r="E1643">
        <v>50</v>
      </c>
      <c r="F1643">
        <v>49.975486754999999</v>
      </c>
      <c r="G1643">
        <v>1323.8834228999999</v>
      </c>
      <c r="H1643">
        <v>1320.3443603999999</v>
      </c>
      <c r="I1643">
        <v>1344.2904053</v>
      </c>
      <c r="J1643">
        <v>1340.0822754000001</v>
      </c>
      <c r="K1643">
        <v>0</v>
      </c>
      <c r="L1643">
        <v>2400</v>
      </c>
      <c r="M1643">
        <v>2400</v>
      </c>
      <c r="N1643">
        <v>0</v>
      </c>
    </row>
    <row r="1644" spans="1:14" x14ac:dyDescent="0.25">
      <c r="A1644">
        <v>1009.705796</v>
      </c>
      <c r="B1644" s="1">
        <f>DATE(2013,2,3) + TIME(16,56,20)</f>
        <v>41308.705787037034</v>
      </c>
      <c r="C1644">
        <v>80</v>
      </c>
      <c r="D1644">
        <v>73.879272460999999</v>
      </c>
      <c r="E1644">
        <v>50</v>
      </c>
      <c r="F1644">
        <v>49.975509643999999</v>
      </c>
      <c r="G1644">
        <v>1323.8312988</v>
      </c>
      <c r="H1644">
        <v>1320.2669678</v>
      </c>
      <c r="I1644">
        <v>1344.2863769999999</v>
      </c>
      <c r="J1644">
        <v>1340.0803223</v>
      </c>
      <c r="K1644">
        <v>0</v>
      </c>
      <c r="L1644">
        <v>2400</v>
      </c>
      <c r="M1644">
        <v>2400</v>
      </c>
      <c r="N1644">
        <v>0</v>
      </c>
    </row>
    <row r="1645" spans="1:14" x14ac:dyDescent="0.25">
      <c r="A1645">
        <v>1012.492986</v>
      </c>
      <c r="B1645" s="1">
        <f>DATE(2013,2,6) + TIME(11,49,53)</f>
        <v>41311.492974537039</v>
      </c>
      <c r="C1645">
        <v>80</v>
      </c>
      <c r="D1645">
        <v>73.729125976999995</v>
      </c>
      <c r="E1645">
        <v>50</v>
      </c>
      <c r="F1645">
        <v>49.975528717000003</v>
      </c>
      <c r="G1645">
        <v>1323.7550048999999</v>
      </c>
      <c r="H1645">
        <v>1320.1641846</v>
      </c>
      <c r="I1645">
        <v>1344.277832</v>
      </c>
      <c r="J1645">
        <v>1340.0759277</v>
      </c>
      <c r="K1645">
        <v>0</v>
      </c>
      <c r="L1645">
        <v>2400</v>
      </c>
      <c r="M1645">
        <v>2400</v>
      </c>
      <c r="N1645">
        <v>0</v>
      </c>
    </row>
    <row r="1646" spans="1:14" x14ac:dyDescent="0.25">
      <c r="A1646">
        <v>1015.363171</v>
      </c>
      <c r="B1646" s="1">
        <f>DATE(2013,2,9) + TIME(8,42,58)</f>
        <v>41314.363171296296</v>
      </c>
      <c r="C1646">
        <v>80</v>
      </c>
      <c r="D1646">
        <v>73.565460204999994</v>
      </c>
      <c r="E1646">
        <v>50</v>
      </c>
      <c r="F1646">
        <v>49.975547790999997</v>
      </c>
      <c r="G1646">
        <v>1323.6724853999999</v>
      </c>
      <c r="H1646">
        <v>1320.0507812000001</v>
      </c>
      <c r="I1646">
        <v>1344.2691649999999</v>
      </c>
      <c r="J1646">
        <v>1340.0716553</v>
      </c>
      <c r="K1646">
        <v>0</v>
      </c>
      <c r="L1646">
        <v>2400</v>
      </c>
      <c r="M1646">
        <v>2400</v>
      </c>
      <c r="N1646">
        <v>0</v>
      </c>
    </row>
    <row r="1647" spans="1:14" x14ac:dyDescent="0.25">
      <c r="A1647">
        <v>1018.319166</v>
      </c>
      <c r="B1647" s="1">
        <f>DATE(2013,2,12) + TIME(7,39,35)</f>
        <v>41317.319155092591</v>
      </c>
      <c r="C1647">
        <v>80</v>
      </c>
      <c r="D1647">
        <v>73.393295288000004</v>
      </c>
      <c r="E1647">
        <v>50</v>
      </c>
      <c r="F1647">
        <v>49.975566864000001</v>
      </c>
      <c r="G1647">
        <v>1323.5877685999999</v>
      </c>
      <c r="H1647">
        <v>1319.9339600000001</v>
      </c>
      <c r="I1647">
        <v>1344.2604980000001</v>
      </c>
      <c r="J1647">
        <v>1340.0671387</v>
      </c>
      <c r="K1647">
        <v>0</v>
      </c>
      <c r="L1647">
        <v>2400</v>
      </c>
      <c r="M1647">
        <v>2400</v>
      </c>
      <c r="N1647">
        <v>0</v>
      </c>
    </row>
    <row r="1648" spans="1:14" x14ac:dyDescent="0.25">
      <c r="A1648">
        <v>1021.360089</v>
      </c>
      <c r="B1648" s="1">
        <f>DATE(2013,2,15) + TIME(8,38,31)</f>
        <v>41320.360081018516</v>
      </c>
      <c r="C1648">
        <v>80</v>
      </c>
      <c r="D1648">
        <v>73.213066100999995</v>
      </c>
      <c r="E1648">
        <v>50</v>
      </c>
      <c r="F1648">
        <v>49.975589751999998</v>
      </c>
      <c r="G1648">
        <v>1323.5017089999999</v>
      </c>
      <c r="H1648">
        <v>1319.8150635</v>
      </c>
      <c r="I1648">
        <v>1344.2517089999999</v>
      </c>
      <c r="J1648">
        <v>1340.0626221</v>
      </c>
      <c r="K1648">
        <v>0</v>
      </c>
      <c r="L1648">
        <v>2400</v>
      </c>
      <c r="M1648">
        <v>2400</v>
      </c>
      <c r="N1648">
        <v>0</v>
      </c>
    </row>
    <row r="1649" spans="1:14" x14ac:dyDescent="0.25">
      <c r="A1649">
        <v>1024.4244409999999</v>
      </c>
      <c r="B1649" s="1">
        <f>DATE(2013,2,18) + TIME(10,11,11)</f>
        <v>41323.424432870372</v>
      </c>
      <c r="C1649">
        <v>80</v>
      </c>
      <c r="D1649">
        <v>73.025337218999994</v>
      </c>
      <c r="E1649">
        <v>50</v>
      </c>
      <c r="F1649">
        <v>49.975608825999998</v>
      </c>
      <c r="G1649">
        <v>1323.4146728999999</v>
      </c>
      <c r="H1649">
        <v>1319.6949463000001</v>
      </c>
      <c r="I1649">
        <v>1344.2427978999999</v>
      </c>
      <c r="J1649">
        <v>1340.0581055</v>
      </c>
      <c r="K1649">
        <v>0</v>
      </c>
      <c r="L1649">
        <v>2400</v>
      </c>
      <c r="M1649">
        <v>2400</v>
      </c>
      <c r="N1649">
        <v>0</v>
      </c>
    </row>
    <row r="1650" spans="1:14" x14ac:dyDescent="0.25">
      <c r="A1650">
        <v>1027.549041</v>
      </c>
      <c r="B1650" s="1">
        <f>DATE(2013,2,21) + TIME(13,10,37)</f>
        <v>41326.549039351848</v>
      </c>
      <c r="C1650">
        <v>80</v>
      </c>
      <c r="D1650">
        <v>72.832138061999999</v>
      </c>
      <c r="E1650">
        <v>50</v>
      </c>
      <c r="F1650">
        <v>49.975631714000002</v>
      </c>
      <c r="G1650">
        <v>1323.3278809000001</v>
      </c>
      <c r="H1650">
        <v>1319.5749512</v>
      </c>
      <c r="I1650">
        <v>1344.2340088000001</v>
      </c>
      <c r="J1650">
        <v>1340.0534668</v>
      </c>
      <c r="K1650">
        <v>0</v>
      </c>
      <c r="L1650">
        <v>2400</v>
      </c>
      <c r="M1650">
        <v>2400</v>
      </c>
      <c r="N1650">
        <v>0</v>
      </c>
    </row>
    <row r="1651" spans="1:14" x14ac:dyDescent="0.25">
      <c r="A1651">
        <v>1030.7609709999999</v>
      </c>
      <c r="B1651" s="1">
        <f>DATE(2013,2,24) + TIME(18,15,47)</f>
        <v>41329.760960648149</v>
      </c>
      <c r="C1651">
        <v>80</v>
      </c>
      <c r="D1651">
        <v>72.631912231000001</v>
      </c>
      <c r="E1651">
        <v>50</v>
      </c>
      <c r="F1651">
        <v>49.975654601999999</v>
      </c>
      <c r="G1651">
        <v>1323.2409668</v>
      </c>
      <c r="H1651">
        <v>1319.4549560999999</v>
      </c>
      <c r="I1651">
        <v>1344.2252197</v>
      </c>
      <c r="J1651">
        <v>1340.0488281</v>
      </c>
      <c r="K1651">
        <v>0</v>
      </c>
      <c r="L1651">
        <v>2400</v>
      </c>
      <c r="M1651">
        <v>2400</v>
      </c>
      <c r="N1651">
        <v>0</v>
      </c>
    </row>
    <row r="1652" spans="1:14" x14ac:dyDescent="0.25">
      <c r="A1652">
        <v>1034.0709400000001</v>
      </c>
      <c r="B1652" s="1">
        <f>DATE(2013,2,28) + TIME(1,42,9)</f>
        <v>41333.070937500001</v>
      </c>
      <c r="C1652">
        <v>80</v>
      </c>
      <c r="D1652">
        <v>72.422828674000002</v>
      </c>
      <c r="E1652">
        <v>50</v>
      </c>
      <c r="F1652">
        <v>49.975681305000002</v>
      </c>
      <c r="G1652">
        <v>1323.1534423999999</v>
      </c>
      <c r="H1652">
        <v>1319.3341064000001</v>
      </c>
      <c r="I1652">
        <v>1344.2163086</v>
      </c>
      <c r="J1652">
        <v>1340.0440673999999</v>
      </c>
      <c r="K1652">
        <v>0</v>
      </c>
      <c r="L1652">
        <v>2400</v>
      </c>
      <c r="M1652">
        <v>2400</v>
      </c>
      <c r="N1652">
        <v>0</v>
      </c>
    </row>
    <row r="1653" spans="1:14" x14ac:dyDescent="0.25">
      <c r="A1653">
        <v>1035</v>
      </c>
      <c r="B1653" s="1">
        <f>DATE(2013,3,1) + TIME(0,0,0)</f>
        <v>41334</v>
      </c>
      <c r="C1653">
        <v>80</v>
      </c>
      <c r="D1653">
        <v>72.266036987000007</v>
      </c>
      <c r="E1653">
        <v>50</v>
      </c>
      <c r="F1653">
        <v>49.975677490000002</v>
      </c>
      <c r="G1653">
        <v>1323.0688477000001</v>
      </c>
      <c r="H1653">
        <v>1319.2219238</v>
      </c>
      <c r="I1653">
        <v>1344.2070312000001</v>
      </c>
      <c r="J1653">
        <v>1340.0389404</v>
      </c>
      <c r="K1653">
        <v>0</v>
      </c>
      <c r="L1653">
        <v>2400</v>
      </c>
      <c r="M1653">
        <v>2400</v>
      </c>
      <c r="N1653">
        <v>0</v>
      </c>
    </row>
    <row r="1654" spans="1:14" x14ac:dyDescent="0.25">
      <c r="A1654">
        <v>1038.3965619999999</v>
      </c>
      <c r="B1654" s="1">
        <f>DATE(2013,3,4) + TIME(9,31,2)</f>
        <v>41337.396550925929</v>
      </c>
      <c r="C1654">
        <v>80</v>
      </c>
      <c r="D1654">
        <v>72.127235412999994</v>
      </c>
      <c r="E1654">
        <v>50</v>
      </c>
      <c r="F1654">
        <v>49.975711822999997</v>
      </c>
      <c r="G1654">
        <v>1323.0294189000001</v>
      </c>
      <c r="H1654">
        <v>1319.1580810999999</v>
      </c>
      <c r="I1654">
        <v>1344.2047118999999</v>
      </c>
      <c r="J1654">
        <v>1340.0377197</v>
      </c>
      <c r="K1654">
        <v>0</v>
      </c>
      <c r="L1654">
        <v>2400</v>
      </c>
      <c r="M1654">
        <v>2400</v>
      </c>
      <c r="N1654">
        <v>0</v>
      </c>
    </row>
    <row r="1655" spans="1:14" x14ac:dyDescent="0.25">
      <c r="A1655">
        <v>1041.9288650000001</v>
      </c>
      <c r="B1655" s="1">
        <f>DATE(2013,3,7) + TIME(22,17,33)</f>
        <v>41340.928854166668</v>
      </c>
      <c r="C1655">
        <v>80</v>
      </c>
      <c r="D1655">
        <v>71.90953064</v>
      </c>
      <c r="E1655">
        <v>50</v>
      </c>
      <c r="F1655">
        <v>49.975742339999996</v>
      </c>
      <c r="G1655">
        <v>1322.9495850000001</v>
      </c>
      <c r="H1655">
        <v>1319.0517577999999</v>
      </c>
      <c r="I1655">
        <v>1344.1955565999999</v>
      </c>
      <c r="J1655">
        <v>1340.0328368999999</v>
      </c>
      <c r="K1655">
        <v>0</v>
      </c>
      <c r="L1655">
        <v>2400</v>
      </c>
      <c r="M1655">
        <v>2400</v>
      </c>
      <c r="N1655">
        <v>0</v>
      </c>
    </row>
    <row r="1656" spans="1:14" x14ac:dyDescent="0.25">
      <c r="A1656">
        <v>1045.5638570000001</v>
      </c>
      <c r="B1656" s="1">
        <f>DATE(2013,3,11) + TIME(13,31,57)</f>
        <v>41344.563854166663</v>
      </c>
      <c r="C1656">
        <v>80</v>
      </c>
      <c r="D1656">
        <v>71.668167113999999</v>
      </c>
      <c r="E1656">
        <v>50</v>
      </c>
      <c r="F1656">
        <v>49.975769043</v>
      </c>
      <c r="G1656">
        <v>1322.8608397999999</v>
      </c>
      <c r="H1656">
        <v>1318.9299315999999</v>
      </c>
      <c r="I1656">
        <v>1344.1861572</v>
      </c>
      <c r="J1656">
        <v>1340.0275879000001</v>
      </c>
      <c r="K1656">
        <v>0</v>
      </c>
      <c r="L1656">
        <v>2400</v>
      </c>
      <c r="M1656">
        <v>2400</v>
      </c>
      <c r="N1656">
        <v>0</v>
      </c>
    </row>
    <row r="1657" spans="1:14" x14ac:dyDescent="0.25">
      <c r="A1657">
        <v>1049.2133980000001</v>
      </c>
      <c r="B1657" s="1">
        <f>DATE(2013,3,15) + TIME(5,7,17)</f>
        <v>41348.213391203702</v>
      </c>
      <c r="C1657">
        <v>80</v>
      </c>
      <c r="D1657">
        <v>71.414810181000007</v>
      </c>
      <c r="E1657">
        <v>50</v>
      </c>
      <c r="F1657">
        <v>49.975795746000003</v>
      </c>
      <c r="G1657">
        <v>1322.7698975000001</v>
      </c>
      <c r="H1657">
        <v>1318.8044434000001</v>
      </c>
      <c r="I1657">
        <v>1344.1765137</v>
      </c>
      <c r="J1657">
        <v>1340.0223389</v>
      </c>
      <c r="K1657">
        <v>0</v>
      </c>
      <c r="L1657">
        <v>2400</v>
      </c>
      <c r="M1657">
        <v>2400</v>
      </c>
      <c r="N1657">
        <v>0</v>
      </c>
    </row>
    <row r="1658" spans="1:14" x14ac:dyDescent="0.25">
      <c r="A1658">
        <v>1052.904749</v>
      </c>
      <c r="B1658" s="1">
        <f>DATE(2013,3,18) + TIME(21,42,50)</f>
        <v>41351.904745370368</v>
      </c>
      <c r="C1658">
        <v>80</v>
      </c>
      <c r="D1658">
        <v>71.154212951999995</v>
      </c>
      <c r="E1658">
        <v>50</v>
      </c>
      <c r="F1658">
        <v>49.975826263000002</v>
      </c>
      <c r="G1658">
        <v>1322.6796875</v>
      </c>
      <c r="H1658">
        <v>1318.6795654</v>
      </c>
      <c r="I1658">
        <v>1344.1671143000001</v>
      </c>
      <c r="J1658">
        <v>1340.0169678</v>
      </c>
      <c r="K1658">
        <v>0</v>
      </c>
      <c r="L1658">
        <v>2400</v>
      </c>
      <c r="M1658">
        <v>2400</v>
      </c>
      <c r="N1658">
        <v>0</v>
      </c>
    </row>
    <row r="1659" spans="1:14" x14ac:dyDescent="0.25">
      <c r="A1659">
        <v>1056.6758500000001</v>
      </c>
      <c r="B1659" s="1">
        <f>DATE(2013,3,22) + TIME(16,13,13)</f>
        <v>41355.675844907404</v>
      </c>
      <c r="C1659">
        <v>80</v>
      </c>
      <c r="D1659">
        <v>70.886116028000004</v>
      </c>
      <c r="E1659">
        <v>50</v>
      </c>
      <c r="F1659">
        <v>49.975856780999997</v>
      </c>
      <c r="G1659">
        <v>1322.590332</v>
      </c>
      <c r="H1659">
        <v>1318.5559082</v>
      </c>
      <c r="I1659">
        <v>1344.1575928</v>
      </c>
      <c r="J1659">
        <v>1340.0115966999999</v>
      </c>
      <c r="K1659">
        <v>0</v>
      </c>
      <c r="L1659">
        <v>2400</v>
      </c>
      <c r="M1659">
        <v>2400</v>
      </c>
      <c r="N1659">
        <v>0</v>
      </c>
    </row>
    <row r="1660" spans="1:14" x14ac:dyDescent="0.25">
      <c r="A1660">
        <v>1060.558677</v>
      </c>
      <c r="B1660" s="1">
        <f>DATE(2013,3,26) + TIME(13,24,29)</f>
        <v>41359.558668981481</v>
      </c>
      <c r="C1660">
        <v>80</v>
      </c>
      <c r="D1660">
        <v>70.607055664000001</v>
      </c>
      <c r="E1660">
        <v>50</v>
      </c>
      <c r="F1660">
        <v>49.975887299</v>
      </c>
      <c r="G1660">
        <v>1322.5010986</v>
      </c>
      <c r="H1660">
        <v>1318.4323730000001</v>
      </c>
      <c r="I1660">
        <v>1344.1480713000001</v>
      </c>
      <c r="J1660">
        <v>1340.0061035000001</v>
      </c>
      <c r="K1660">
        <v>0</v>
      </c>
      <c r="L1660">
        <v>2400</v>
      </c>
      <c r="M1660">
        <v>2400</v>
      </c>
      <c r="N1660">
        <v>0</v>
      </c>
    </row>
    <row r="1661" spans="1:14" x14ac:dyDescent="0.25">
      <c r="A1661">
        <v>1064.52044</v>
      </c>
      <c r="B1661" s="1">
        <f>DATE(2013,3,30) + TIME(12,29,26)</f>
        <v>41363.520439814813</v>
      </c>
      <c r="C1661">
        <v>80</v>
      </c>
      <c r="D1661">
        <v>70.315734863000003</v>
      </c>
      <c r="E1661">
        <v>50</v>
      </c>
      <c r="F1661">
        <v>49.975921630999999</v>
      </c>
      <c r="G1661">
        <v>1322.4113769999999</v>
      </c>
      <c r="H1661">
        <v>1318.3082274999999</v>
      </c>
      <c r="I1661">
        <v>1344.1384277</v>
      </c>
      <c r="J1661">
        <v>1340.0003661999999</v>
      </c>
      <c r="K1661">
        <v>0</v>
      </c>
      <c r="L1661">
        <v>2400</v>
      </c>
      <c r="M1661">
        <v>2400</v>
      </c>
      <c r="N1661">
        <v>0</v>
      </c>
    </row>
    <row r="1662" spans="1:14" x14ac:dyDescent="0.25">
      <c r="A1662">
        <v>1066</v>
      </c>
      <c r="B1662" s="1">
        <f>DATE(2013,4,1) + TIME(0,0,0)</f>
        <v>41365</v>
      </c>
      <c r="C1662">
        <v>80</v>
      </c>
      <c r="D1662">
        <v>70.065803528000004</v>
      </c>
      <c r="E1662">
        <v>50</v>
      </c>
      <c r="F1662">
        <v>49.975921630999999</v>
      </c>
      <c r="G1662">
        <v>1322.3236084</v>
      </c>
      <c r="H1662">
        <v>1318.1906738</v>
      </c>
      <c r="I1662">
        <v>1344.128418</v>
      </c>
      <c r="J1662">
        <v>1339.9945068</v>
      </c>
      <c r="K1662">
        <v>0</v>
      </c>
      <c r="L1662">
        <v>2400</v>
      </c>
      <c r="M1662">
        <v>2400</v>
      </c>
      <c r="N1662">
        <v>0</v>
      </c>
    </row>
    <row r="1663" spans="1:14" x14ac:dyDescent="0.25">
      <c r="A1663">
        <v>1070.0753729999999</v>
      </c>
      <c r="B1663" s="1">
        <f>DATE(2013,4,5) + TIME(1,48,32)</f>
        <v>41369.075370370374</v>
      </c>
      <c r="C1663">
        <v>80</v>
      </c>
      <c r="D1663">
        <v>69.879676818999997</v>
      </c>
      <c r="E1663">
        <v>50</v>
      </c>
      <c r="F1663">
        <v>49.975963593000003</v>
      </c>
      <c r="G1663">
        <v>1322.277832</v>
      </c>
      <c r="H1663">
        <v>1318.1179199000001</v>
      </c>
      <c r="I1663">
        <v>1344.1248779</v>
      </c>
      <c r="J1663">
        <v>1339.9924315999999</v>
      </c>
      <c r="K1663">
        <v>0</v>
      </c>
      <c r="L1663">
        <v>2400</v>
      </c>
      <c r="M1663">
        <v>2400</v>
      </c>
      <c r="N1663">
        <v>0</v>
      </c>
    </row>
    <row r="1664" spans="1:14" x14ac:dyDescent="0.25">
      <c r="A1664">
        <v>1074.368201</v>
      </c>
      <c r="B1664" s="1">
        <f>DATE(2013,4,9) + TIME(8,50,12)</f>
        <v>41373.368194444447</v>
      </c>
      <c r="C1664">
        <v>80</v>
      </c>
      <c r="D1664">
        <v>69.573669433999996</v>
      </c>
      <c r="E1664">
        <v>50</v>
      </c>
      <c r="F1664">
        <v>49.976001740000001</v>
      </c>
      <c r="G1664">
        <v>1322.1977539</v>
      </c>
      <c r="H1664">
        <v>1318.0114745999999</v>
      </c>
      <c r="I1664">
        <v>1344.1149902</v>
      </c>
      <c r="J1664">
        <v>1339.9864502</v>
      </c>
      <c r="K1664">
        <v>0</v>
      </c>
      <c r="L1664">
        <v>2400</v>
      </c>
      <c r="M1664">
        <v>2400</v>
      </c>
      <c r="N1664">
        <v>0</v>
      </c>
    </row>
    <row r="1665" spans="1:14" x14ac:dyDescent="0.25">
      <c r="A1665">
        <v>1078.733489</v>
      </c>
      <c r="B1665" s="1">
        <f>DATE(2013,4,13) + TIME(17,36,13)</f>
        <v>41377.733483796299</v>
      </c>
      <c r="C1665">
        <v>80</v>
      </c>
      <c r="D1665">
        <v>69.232666015999996</v>
      </c>
      <c r="E1665">
        <v>50</v>
      </c>
      <c r="F1665">
        <v>49.976039886000002</v>
      </c>
      <c r="G1665">
        <v>1322.1079102000001</v>
      </c>
      <c r="H1665">
        <v>1317.8876952999999</v>
      </c>
      <c r="I1665">
        <v>1344.1044922000001</v>
      </c>
      <c r="J1665">
        <v>1339.9801024999999</v>
      </c>
      <c r="K1665">
        <v>0</v>
      </c>
      <c r="L1665">
        <v>2400</v>
      </c>
      <c r="M1665">
        <v>2400</v>
      </c>
      <c r="N1665">
        <v>0</v>
      </c>
    </row>
    <row r="1666" spans="1:14" x14ac:dyDescent="0.25">
      <c r="A1666">
        <v>1083.1399260000001</v>
      </c>
      <c r="B1666" s="1">
        <f>DATE(2013,4,18) + TIME(3,21,29)</f>
        <v>41382.139918981484</v>
      </c>
      <c r="C1666">
        <v>80</v>
      </c>
      <c r="D1666">
        <v>68.878814696999996</v>
      </c>
      <c r="E1666">
        <v>50</v>
      </c>
      <c r="F1666">
        <v>49.976078033</v>
      </c>
      <c r="G1666">
        <v>1322.0170897999999</v>
      </c>
      <c r="H1666">
        <v>1317.7617187999999</v>
      </c>
      <c r="I1666">
        <v>1344.0939940999999</v>
      </c>
      <c r="J1666">
        <v>1339.9736327999999</v>
      </c>
      <c r="K1666">
        <v>0</v>
      </c>
      <c r="L1666">
        <v>2400</v>
      </c>
      <c r="M1666">
        <v>2400</v>
      </c>
      <c r="N1666">
        <v>0</v>
      </c>
    </row>
    <row r="1667" spans="1:14" x14ac:dyDescent="0.25">
      <c r="A1667">
        <v>1087.6049390000001</v>
      </c>
      <c r="B1667" s="1">
        <f>DATE(2013,4,22) + TIME(14,31,6)</f>
        <v>41386.604930555557</v>
      </c>
      <c r="C1667">
        <v>80</v>
      </c>
      <c r="D1667">
        <v>68.512207031000003</v>
      </c>
      <c r="E1667">
        <v>50</v>
      </c>
      <c r="F1667">
        <v>49.976116179999998</v>
      </c>
      <c r="G1667">
        <v>1321.9274902</v>
      </c>
      <c r="H1667">
        <v>1317.6369629000001</v>
      </c>
      <c r="I1667">
        <v>1344.0834961</v>
      </c>
      <c r="J1667">
        <v>1339.9670410000001</v>
      </c>
      <c r="K1667">
        <v>0</v>
      </c>
      <c r="L1667">
        <v>2400</v>
      </c>
      <c r="M1667">
        <v>2400</v>
      </c>
      <c r="N1667">
        <v>0</v>
      </c>
    </row>
    <row r="1668" spans="1:14" x14ac:dyDescent="0.25">
      <c r="A1668">
        <v>1092.1146940000001</v>
      </c>
      <c r="B1668" s="1">
        <f>DATE(2013,4,27) + TIME(2,45,9)</f>
        <v>41391.114687499998</v>
      </c>
      <c r="C1668">
        <v>80</v>
      </c>
      <c r="D1668">
        <v>68.138648986999996</v>
      </c>
      <c r="E1668">
        <v>50</v>
      </c>
      <c r="F1668">
        <v>49.976154327000003</v>
      </c>
      <c r="G1668">
        <v>1321.8391113</v>
      </c>
      <c r="H1668">
        <v>1317.5139160000001</v>
      </c>
      <c r="I1668">
        <v>1344.072876</v>
      </c>
      <c r="J1668">
        <v>1339.9603271000001</v>
      </c>
      <c r="K1668">
        <v>0</v>
      </c>
      <c r="L1668">
        <v>2400</v>
      </c>
      <c r="M1668">
        <v>2400</v>
      </c>
      <c r="N1668">
        <v>0</v>
      </c>
    </row>
    <row r="1669" spans="1:14" x14ac:dyDescent="0.25">
      <c r="A1669">
        <v>1096</v>
      </c>
      <c r="B1669" s="1">
        <f>DATE(2013,5,1) + TIME(0,0,0)</f>
        <v>41395</v>
      </c>
      <c r="C1669">
        <v>80</v>
      </c>
      <c r="D1669">
        <v>67.754959106000001</v>
      </c>
      <c r="E1669">
        <v>50</v>
      </c>
      <c r="F1669">
        <v>49.976184844999999</v>
      </c>
      <c r="G1669">
        <v>1321.7525635</v>
      </c>
      <c r="H1669">
        <v>1317.3936768000001</v>
      </c>
      <c r="I1669">
        <v>1344.0622559000001</v>
      </c>
      <c r="J1669">
        <v>1339.9534911999999</v>
      </c>
      <c r="K1669">
        <v>0</v>
      </c>
      <c r="L1669">
        <v>2400</v>
      </c>
      <c r="M1669">
        <v>2400</v>
      </c>
      <c r="N1669">
        <v>0</v>
      </c>
    </row>
    <row r="1670" spans="1:14" x14ac:dyDescent="0.25">
      <c r="A1670">
        <v>1096.0000010000001</v>
      </c>
      <c r="B1670" s="1">
        <f>DATE(2013,5,1) + TIME(0,0,0)</f>
        <v>41395</v>
      </c>
      <c r="C1670">
        <v>80</v>
      </c>
      <c r="D1670">
        <v>67.755134583</v>
      </c>
      <c r="E1670">
        <v>50</v>
      </c>
      <c r="F1670">
        <v>49.976089477999999</v>
      </c>
      <c r="G1670">
        <v>1327.2249756000001</v>
      </c>
      <c r="H1670">
        <v>1322.8323975000001</v>
      </c>
      <c r="I1670">
        <v>1339.1971435999999</v>
      </c>
      <c r="J1670">
        <v>1335.6368408000001</v>
      </c>
      <c r="K1670">
        <v>2400</v>
      </c>
      <c r="L1670">
        <v>0</v>
      </c>
      <c r="M1670">
        <v>0</v>
      </c>
      <c r="N1670">
        <v>2400</v>
      </c>
    </row>
    <row r="1671" spans="1:14" x14ac:dyDescent="0.25">
      <c r="A1671">
        <v>1096.000004</v>
      </c>
      <c r="B1671" s="1">
        <f>DATE(2013,5,1) + TIME(0,0,0)</f>
        <v>41395</v>
      </c>
      <c r="C1671">
        <v>80</v>
      </c>
      <c r="D1671">
        <v>67.755447387999993</v>
      </c>
      <c r="E1671">
        <v>50</v>
      </c>
      <c r="F1671">
        <v>49.975902556999998</v>
      </c>
      <c r="G1671">
        <v>1328.8645019999999</v>
      </c>
      <c r="H1671">
        <v>1324.7152100000001</v>
      </c>
      <c r="I1671">
        <v>1337.7152100000001</v>
      </c>
      <c r="J1671">
        <v>1334.1547852000001</v>
      </c>
      <c r="K1671">
        <v>2400</v>
      </c>
      <c r="L1671">
        <v>0</v>
      </c>
      <c r="M1671">
        <v>0</v>
      </c>
      <c r="N1671">
        <v>2400</v>
      </c>
    </row>
    <row r="1672" spans="1:14" x14ac:dyDescent="0.25">
      <c r="A1672">
        <v>1096.0000130000001</v>
      </c>
      <c r="B1672" s="1">
        <f>DATE(2013,5,1) + TIME(0,0,1)</f>
        <v>41395.000011574077</v>
      </c>
      <c r="C1672">
        <v>80</v>
      </c>
      <c r="D1672">
        <v>67.755966186999999</v>
      </c>
      <c r="E1672">
        <v>50</v>
      </c>
      <c r="F1672">
        <v>49.975639342999997</v>
      </c>
      <c r="G1672">
        <v>1331.2198486</v>
      </c>
      <c r="H1672">
        <v>1327.1160889</v>
      </c>
      <c r="I1672">
        <v>1335.6341553</v>
      </c>
      <c r="J1672">
        <v>1332.0743408000001</v>
      </c>
      <c r="K1672">
        <v>2400</v>
      </c>
      <c r="L1672">
        <v>0</v>
      </c>
      <c r="M1672">
        <v>0</v>
      </c>
      <c r="N1672">
        <v>2400</v>
      </c>
    </row>
    <row r="1673" spans="1:14" x14ac:dyDescent="0.25">
      <c r="A1673">
        <v>1096.0000399999999</v>
      </c>
      <c r="B1673" s="1">
        <f>DATE(2013,5,1) + TIME(0,0,3)</f>
        <v>41395.000034722223</v>
      </c>
      <c r="C1673">
        <v>80</v>
      </c>
      <c r="D1673">
        <v>67.756881714000002</v>
      </c>
      <c r="E1673">
        <v>50</v>
      </c>
      <c r="F1673">
        <v>49.975353241000001</v>
      </c>
      <c r="G1673">
        <v>1333.8460693</v>
      </c>
      <c r="H1673">
        <v>1329.6541748</v>
      </c>
      <c r="I1673">
        <v>1333.3924560999999</v>
      </c>
      <c r="J1673">
        <v>1329.8338623</v>
      </c>
      <c r="K1673">
        <v>2400</v>
      </c>
      <c r="L1673">
        <v>0</v>
      </c>
      <c r="M1673">
        <v>0</v>
      </c>
      <c r="N1673">
        <v>2400</v>
      </c>
    </row>
    <row r="1674" spans="1:14" x14ac:dyDescent="0.25">
      <c r="A1674">
        <v>1096.000121</v>
      </c>
      <c r="B1674" s="1">
        <f>DATE(2013,5,1) + TIME(0,0,10)</f>
        <v>41395.000115740739</v>
      </c>
      <c r="C1674">
        <v>80</v>
      </c>
      <c r="D1674">
        <v>67.758979796999995</v>
      </c>
      <c r="E1674">
        <v>50</v>
      </c>
      <c r="F1674">
        <v>49.975067138999997</v>
      </c>
      <c r="G1674">
        <v>1336.4824219</v>
      </c>
      <c r="H1674">
        <v>1332.1934814000001</v>
      </c>
      <c r="I1674">
        <v>1331.1743164</v>
      </c>
      <c r="J1674">
        <v>1327.6163329999999</v>
      </c>
      <c r="K1674">
        <v>2400</v>
      </c>
      <c r="L1674">
        <v>0</v>
      </c>
      <c r="M1674">
        <v>0</v>
      </c>
      <c r="N1674">
        <v>2400</v>
      </c>
    </row>
    <row r="1675" spans="1:14" x14ac:dyDescent="0.25">
      <c r="A1675">
        <v>1096.000364</v>
      </c>
      <c r="B1675" s="1">
        <f>DATE(2013,5,1) + TIME(0,0,31)</f>
        <v>41395.000358796293</v>
      </c>
      <c r="C1675">
        <v>80</v>
      </c>
      <c r="D1675">
        <v>67.764701842999997</v>
      </c>
      <c r="E1675">
        <v>50</v>
      </c>
      <c r="F1675">
        <v>49.974761962999999</v>
      </c>
      <c r="G1675">
        <v>1339.1130370999999</v>
      </c>
      <c r="H1675">
        <v>1334.7269286999999</v>
      </c>
      <c r="I1675">
        <v>1328.9586182</v>
      </c>
      <c r="J1675">
        <v>1325.3902588000001</v>
      </c>
      <c r="K1675">
        <v>2400</v>
      </c>
      <c r="L1675">
        <v>0</v>
      </c>
      <c r="M1675">
        <v>0</v>
      </c>
      <c r="N1675">
        <v>2400</v>
      </c>
    </row>
    <row r="1676" spans="1:14" x14ac:dyDescent="0.25">
      <c r="A1676">
        <v>1096.0010930000001</v>
      </c>
      <c r="B1676" s="1">
        <f>DATE(2013,5,1) + TIME(0,1,34)</f>
        <v>41395.001087962963</v>
      </c>
      <c r="C1676">
        <v>80</v>
      </c>
      <c r="D1676">
        <v>67.781524657999995</v>
      </c>
      <c r="E1676">
        <v>50</v>
      </c>
      <c r="F1676">
        <v>49.974399566999999</v>
      </c>
      <c r="G1676">
        <v>1341.6893310999999</v>
      </c>
      <c r="H1676">
        <v>1337.2015381000001</v>
      </c>
      <c r="I1676">
        <v>1326.7197266000001</v>
      </c>
      <c r="J1676">
        <v>1323.1118164</v>
      </c>
      <c r="K1676">
        <v>2400</v>
      </c>
      <c r="L1676">
        <v>0</v>
      </c>
      <c r="M1676">
        <v>0</v>
      </c>
      <c r="N1676">
        <v>2400</v>
      </c>
    </row>
    <row r="1677" spans="1:14" x14ac:dyDescent="0.25">
      <c r="A1677">
        <v>1096.0032799999999</v>
      </c>
      <c r="B1677" s="1">
        <f>DATE(2013,5,1) + TIME(0,4,43)</f>
        <v>41395.003275462965</v>
      </c>
      <c r="C1677">
        <v>80</v>
      </c>
      <c r="D1677">
        <v>67.832023621000005</v>
      </c>
      <c r="E1677">
        <v>50</v>
      </c>
      <c r="F1677">
        <v>49.973899840999998</v>
      </c>
      <c r="G1677">
        <v>1343.8884277</v>
      </c>
      <c r="H1677">
        <v>1339.3175048999999</v>
      </c>
      <c r="I1677">
        <v>1324.6584473</v>
      </c>
      <c r="J1677">
        <v>1321.0019531</v>
      </c>
      <c r="K1677">
        <v>2400</v>
      </c>
      <c r="L1677">
        <v>0</v>
      </c>
      <c r="M1677">
        <v>0</v>
      </c>
      <c r="N1677">
        <v>2400</v>
      </c>
    </row>
    <row r="1678" spans="1:14" x14ac:dyDescent="0.25">
      <c r="A1678">
        <v>1096.0098410000001</v>
      </c>
      <c r="B1678" s="1">
        <f>DATE(2013,5,1) + TIME(0,14,10)</f>
        <v>41395.009837962964</v>
      </c>
      <c r="C1678">
        <v>80</v>
      </c>
      <c r="D1678">
        <v>67.982315063000001</v>
      </c>
      <c r="E1678">
        <v>50</v>
      </c>
      <c r="F1678">
        <v>49.973011016999997</v>
      </c>
      <c r="G1678">
        <v>1345.2446289</v>
      </c>
      <c r="H1678">
        <v>1340.6419678</v>
      </c>
      <c r="I1678">
        <v>1323.3154297000001</v>
      </c>
      <c r="J1678">
        <v>1319.6330565999999</v>
      </c>
      <c r="K1678">
        <v>2400</v>
      </c>
      <c r="L1678">
        <v>0</v>
      </c>
      <c r="M1678">
        <v>0</v>
      </c>
      <c r="N1678">
        <v>2400</v>
      </c>
    </row>
    <row r="1679" spans="1:14" x14ac:dyDescent="0.25">
      <c r="A1679">
        <v>1096.029524</v>
      </c>
      <c r="B1679" s="1">
        <f>DATE(2013,5,1) + TIME(0,42,30)</f>
        <v>41395.029513888891</v>
      </c>
      <c r="C1679">
        <v>80</v>
      </c>
      <c r="D1679">
        <v>68.416458129999995</v>
      </c>
      <c r="E1679">
        <v>50</v>
      </c>
      <c r="F1679">
        <v>49.970832825000002</v>
      </c>
      <c r="G1679">
        <v>1345.6710204999999</v>
      </c>
      <c r="H1679">
        <v>1341.0949707</v>
      </c>
      <c r="I1679">
        <v>1322.8852539</v>
      </c>
      <c r="J1679">
        <v>1319.1958007999999</v>
      </c>
      <c r="K1679">
        <v>2400</v>
      </c>
      <c r="L1679">
        <v>0</v>
      </c>
      <c r="M1679">
        <v>0</v>
      </c>
      <c r="N1679">
        <v>2400</v>
      </c>
    </row>
    <row r="1680" spans="1:14" x14ac:dyDescent="0.25">
      <c r="A1680">
        <v>1096.051436</v>
      </c>
      <c r="B1680" s="1">
        <f>DATE(2013,5,1) + TIME(1,14,4)</f>
        <v>41395.051435185182</v>
      </c>
      <c r="C1680">
        <v>80</v>
      </c>
      <c r="D1680">
        <v>68.880592346</v>
      </c>
      <c r="E1680">
        <v>50</v>
      </c>
      <c r="F1680">
        <v>49.968479156000001</v>
      </c>
      <c r="G1680">
        <v>1345.7026367000001</v>
      </c>
      <c r="H1680">
        <v>1341.1533202999999</v>
      </c>
      <c r="I1680">
        <v>1322.8402100000001</v>
      </c>
      <c r="J1680">
        <v>1319.1499022999999</v>
      </c>
      <c r="K1680">
        <v>2400</v>
      </c>
      <c r="L1680">
        <v>0</v>
      </c>
      <c r="M1680">
        <v>0</v>
      </c>
      <c r="N1680">
        <v>2400</v>
      </c>
    </row>
    <row r="1681" spans="1:14" x14ac:dyDescent="0.25">
      <c r="A1681">
        <v>1096.0737610000001</v>
      </c>
      <c r="B1681" s="1">
        <f>DATE(2013,5,1) + TIME(1,46,12)</f>
        <v>41395.073750000003</v>
      </c>
      <c r="C1681">
        <v>80</v>
      </c>
      <c r="D1681">
        <v>69.334533691000004</v>
      </c>
      <c r="E1681">
        <v>50</v>
      </c>
      <c r="F1681">
        <v>49.966110229000002</v>
      </c>
      <c r="G1681">
        <v>1345.6785889</v>
      </c>
      <c r="H1681">
        <v>1341.1539307</v>
      </c>
      <c r="I1681">
        <v>1322.8375243999999</v>
      </c>
      <c r="J1681">
        <v>1319.1470947</v>
      </c>
      <c r="K1681">
        <v>2400</v>
      </c>
      <c r="L1681">
        <v>0</v>
      </c>
      <c r="M1681">
        <v>0</v>
      </c>
      <c r="N1681">
        <v>2400</v>
      </c>
    </row>
    <row r="1682" spans="1:14" x14ac:dyDescent="0.25">
      <c r="A1682">
        <v>1096.0965189999999</v>
      </c>
      <c r="B1682" s="1">
        <f>DATE(2013,5,1) + TIME(2,18,59)</f>
        <v>41395.096516203703</v>
      </c>
      <c r="C1682">
        <v>80</v>
      </c>
      <c r="D1682">
        <v>69.778419494999994</v>
      </c>
      <c r="E1682">
        <v>50</v>
      </c>
      <c r="F1682">
        <v>49.963710785000004</v>
      </c>
      <c r="G1682">
        <v>1345.6477050999999</v>
      </c>
      <c r="H1682">
        <v>1341.1463623</v>
      </c>
      <c r="I1682">
        <v>1322.8378906</v>
      </c>
      <c r="J1682">
        <v>1319.1474608999999</v>
      </c>
      <c r="K1682">
        <v>2400</v>
      </c>
      <c r="L1682">
        <v>0</v>
      </c>
      <c r="M1682">
        <v>0</v>
      </c>
      <c r="N1682">
        <v>2400</v>
      </c>
    </row>
    <row r="1683" spans="1:14" x14ac:dyDescent="0.25">
      <c r="A1683">
        <v>1096.119731</v>
      </c>
      <c r="B1683" s="1">
        <f>DATE(2013,5,1) + TIME(2,52,24)</f>
        <v>41395.119722222225</v>
      </c>
      <c r="C1683">
        <v>80</v>
      </c>
      <c r="D1683">
        <v>70.212219238000003</v>
      </c>
      <c r="E1683">
        <v>50</v>
      </c>
      <c r="F1683">
        <v>49.961288451999998</v>
      </c>
      <c r="G1683">
        <v>1345.6179199000001</v>
      </c>
      <c r="H1683">
        <v>1341.1385498</v>
      </c>
      <c r="I1683">
        <v>1322.8382568</v>
      </c>
      <c r="J1683">
        <v>1319.1477050999999</v>
      </c>
      <c r="K1683">
        <v>2400</v>
      </c>
      <c r="L1683">
        <v>0</v>
      </c>
      <c r="M1683">
        <v>0</v>
      </c>
      <c r="N1683">
        <v>2400</v>
      </c>
    </row>
    <row r="1684" spans="1:14" x14ac:dyDescent="0.25">
      <c r="A1684">
        <v>1096.143419</v>
      </c>
      <c r="B1684" s="1">
        <f>DATE(2013,5,1) + TIME(3,26,31)</f>
        <v>41395.143414351849</v>
      </c>
      <c r="C1684">
        <v>80</v>
      </c>
      <c r="D1684">
        <v>70.636039733999993</v>
      </c>
      <c r="E1684">
        <v>50</v>
      </c>
      <c r="F1684">
        <v>49.958835602000001</v>
      </c>
      <c r="G1684">
        <v>1345.590332</v>
      </c>
      <c r="H1684">
        <v>1341.1315918</v>
      </c>
      <c r="I1684">
        <v>1322.8383789</v>
      </c>
      <c r="J1684">
        <v>1319.1477050999999</v>
      </c>
      <c r="K1684">
        <v>2400</v>
      </c>
      <c r="L1684">
        <v>0</v>
      </c>
      <c r="M1684">
        <v>0</v>
      </c>
      <c r="N1684">
        <v>2400</v>
      </c>
    </row>
    <row r="1685" spans="1:14" x14ac:dyDescent="0.25">
      <c r="A1685">
        <v>1096.1676070000001</v>
      </c>
      <c r="B1685" s="1">
        <f>DATE(2013,5,1) + TIME(4,1,21)</f>
        <v>41395.167604166665</v>
      </c>
      <c r="C1685">
        <v>80</v>
      </c>
      <c r="D1685">
        <v>71.05015564</v>
      </c>
      <c r="E1685">
        <v>50</v>
      </c>
      <c r="F1685">
        <v>49.956348419000001</v>
      </c>
      <c r="G1685">
        <v>1345.5653076000001</v>
      </c>
      <c r="H1685">
        <v>1341.1257324000001</v>
      </c>
      <c r="I1685">
        <v>1322.838501</v>
      </c>
      <c r="J1685">
        <v>1319.1477050999999</v>
      </c>
      <c r="K1685">
        <v>2400</v>
      </c>
      <c r="L1685">
        <v>0</v>
      </c>
      <c r="M1685">
        <v>0</v>
      </c>
      <c r="N1685">
        <v>2400</v>
      </c>
    </row>
    <row r="1686" spans="1:14" x14ac:dyDescent="0.25">
      <c r="A1686">
        <v>1096.1923200000001</v>
      </c>
      <c r="B1686" s="1">
        <f>DATE(2013,5,1) + TIME(4,36,56)</f>
        <v>41395.192314814813</v>
      </c>
      <c r="C1686">
        <v>80</v>
      </c>
      <c r="D1686">
        <v>71.454643250000004</v>
      </c>
      <c r="E1686">
        <v>50</v>
      </c>
      <c r="F1686">
        <v>49.953834534000002</v>
      </c>
      <c r="G1686">
        <v>1345.5426024999999</v>
      </c>
      <c r="H1686">
        <v>1341.1210937999999</v>
      </c>
      <c r="I1686">
        <v>1322.838501</v>
      </c>
      <c r="J1686">
        <v>1319.1477050999999</v>
      </c>
      <c r="K1686">
        <v>2400</v>
      </c>
      <c r="L1686">
        <v>0</v>
      </c>
      <c r="M1686">
        <v>0</v>
      </c>
      <c r="N1686">
        <v>2400</v>
      </c>
    </row>
    <row r="1687" spans="1:14" x14ac:dyDescent="0.25">
      <c r="A1687">
        <v>1096.2175870000001</v>
      </c>
      <c r="B1687" s="1">
        <f>DATE(2013,5,1) + TIME(5,13,19)</f>
        <v>41395.217581018522</v>
      </c>
      <c r="C1687">
        <v>80</v>
      </c>
      <c r="D1687">
        <v>71.849601746000005</v>
      </c>
      <c r="E1687">
        <v>50</v>
      </c>
      <c r="F1687">
        <v>49.951282501000001</v>
      </c>
      <c r="G1687">
        <v>1345.5222168</v>
      </c>
      <c r="H1687">
        <v>1341.1175536999999</v>
      </c>
      <c r="I1687">
        <v>1322.8386230000001</v>
      </c>
      <c r="J1687">
        <v>1319.1477050999999</v>
      </c>
      <c r="K1687">
        <v>2400</v>
      </c>
      <c r="L1687">
        <v>0</v>
      </c>
      <c r="M1687">
        <v>0</v>
      </c>
      <c r="N1687">
        <v>2400</v>
      </c>
    </row>
    <row r="1688" spans="1:14" x14ac:dyDescent="0.25">
      <c r="A1688">
        <v>1096.243432</v>
      </c>
      <c r="B1688" s="1">
        <f>DATE(2013,5,1) + TIME(5,50,32)</f>
        <v>41395.243425925924</v>
      </c>
      <c r="C1688">
        <v>80</v>
      </c>
      <c r="D1688">
        <v>72.235031128000003</v>
      </c>
      <c r="E1688">
        <v>50</v>
      </c>
      <c r="F1688">
        <v>49.948692321999999</v>
      </c>
      <c r="G1688">
        <v>1345.5040283000001</v>
      </c>
      <c r="H1688">
        <v>1341.1151123</v>
      </c>
      <c r="I1688">
        <v>1322.8386230000001</v>
      </c>
      <c r="J1688">
        <v>1319.1477050999999</v>
      </c>
      <c r="K1688">
        <v>2400</v>
      </c>
      <c r="L1688">
        <v>0</v>
      </c>
      <c r="M1688">
        <v>0</v>
      </c>
      <c r="N1688">
        <v>2400</v>
      </c>
    </row>
    <row r="1689" spans="1:14" x14ac:dyDescent="0.25">
      <c r="A1689">
        <v>1096.269886</v>
      </c>
      <c r="B1689" s="1">
        <f>DATE(2013,5,1) + TIME(6,28,38)</f>
        <v>41395.269884259258</v>
      </c>
      <c r="C1689">
        <v>80</v>
      </c>
      <c r="D1689">
        <v>72.611015320000007</v>
      </c>
      <c r="E1689">
        <v>50</v>
      </c>
      <c r="F1689">
        <v>49.946067810000002</v>
      </c>
      <c r="G1689">
        <v>1345.4880370999999</v>
      </c>
      <c r="H1689">
        <v>1341.1136475000001</v>
      </c>
      <c r="I1689">
        <v>1322.8386230000001</v>
      </c>
      <c r="J1689">
        <v>1319.1475829999999</v>
      </c>
      <c r="K1689">
        <v>2400</v>
      </c>
      <c r="L1689">
        <v>0</v>
      </c>
      <c r="M1689">
        <v>0</v>
      </c>
      <c r="N1689">
        <v>2400</v>
      </c>
    </row>
    <row r="1690" spans="1:14" x14ac:dyDescent="0.25">
      <c r="A1690">
        <v>1096.296963</v>
      </c>
      <c r="B1690" s="1">
        <f>DATE(2013,5,1) + TIME(7,7,37)</f>
        <v>41395.296956018516</v>
      </c>
      <c r="C1690">
        <v>80</v>
      </c>
      <c r="D1690">
        <v>72.977348328000005</v>
      </c>
      <c r="E1690">
        <v>50</v>
      </c>
      <c r="F1690">
        <v>49.943401336999997</v>
      </c>
      <c r="G1690">
        <v>1345.473999</v>
      </c>
      <c r="H1690">
        <v>1341.1132812000001</v>
      </c>
      <c r="I1690">
        <v>1322.8386230000001</v>
      </c>
      <c r="J1690">
        <v>1319.1474608999999</v>
      </c>
      <c r="K1690">
        <v>2400</v>
      </c>
      <c r="L1690">
        <v>0</v>
      </c>
      <c r="M1690">
        <v>0</v>
      </c>
      <c r="N1690">
        <v>2400</v>
      </c>
    </row>
    <row r="1691" spans="1:14" x14ac:dyDescent="0.25">
      <c r="A1691">
        <v>1096.3246469999999</v>
      </c>
      <c r="B1691" s="1">
        <f>DATE(2013,5,1) + TIME(7,47,29)</f>
        <v>41395.324641203704</v>
      </c>
      <c r="C1691">
        <v>80</v>
      </c>
      <c r="D1691">
        <v>73.333457946999999</v>
      </c>
      <c r="E1691">
        <v>50</v>
      </c>
      <c r="F1691">
        <v>49.940700530999997</v>
      </c>
      <c r="G1691">
        <v>1345.4620361</v>
      </c>
      <c r="H1691">
        <v>1341.1137695</v>
      </c>
      <c r="I1691">
        <v>1322.8386230000001</v>
      </c>
      <c r="J1691">
        <v>1319.1473389</v>
      </c>
      <c r="K1691">
        <v>2400</v>
      </c>
      <c r="L1691">
        <v>0</v>
      </c>
      <c r="M1691">
        <v>0</v>
      </c>
      <c r="N1691">
        <v>2400</v>
      </c>
    </row>
    <row r="1692" spans="1:14" x14ac:dyDescent="0.25">
      <c r="A1692">
        <v>1096.3529679999999</v>
      </c>
      <c r="B1692" s="1">
        <f>DATE(2013,5,1) + TIME(8,28,16)</f>
        <v>41395.352962962963</v>
      </c>
      <c r="C1692">
        <v>80</v>
      </c>
      <c r="D1692">
        <v>73.679443359000004</v>
      </c>
      <c r="E1692">
        <v>50</v>
      </c>
      <c r="F1692">
        <v>49.937961577999999</v>
      </c>
      <c r="G1692">
        <v>1345.4520264</v>
      </c>
      <c r="H1692">
        <v>1341.1152344</v>
      </c>
      <c r="I1692">
        <v>1322.8386230000001</v>
      </c>
      <c r="J1692">
        <v>1319.1472168</v>
      </c>
      <c r="K1692">
        <v>2400</v>
      </c>
      <c r="L1692">
        <v>0</v>
      </c>
      <c r="M1692">
        <v>0</v>
      </c>
      <c r="N1692">
        <v>2400</v>
      </c>
    </row>
    <row r="1693" spans="1:14" x14ac:dyDescent="0.25">
      <c r="A1693">
        <v>1096.3819599999999</v>
      </c>
      <c r="B1693" s="1">
        <f>DATE(2013,5,1) + TIME(9,10,1)</f>
        <v>41395.381956018522</v>
      </c>
      <c r="C1693">
        <v>80</v>
      </c>
      <c r="D1693">
        <v>74.015380859000004</v>
      </c>
      <c r="E1693">
        <v>50</v>
      </c>
      <c r="F1693">
        <v>49.935184479</v>
      </c>
      <c r="G1693">
        <v>1345.4436035000001</v>
      </c>
      <c r="H1693">
        <v>1341.1174315999999</v>
      </c>
      <c r="I1693">
        <v>1322.838501</v>
      </c>
      <c r="J1693">
        <v>1319.1470947</v>
      </c>
      <c r="K1693">
        <v>2400</v>
      </c>
      <c r="L1693">
        <v>0</v>
      </c>
      <c r="M1693">
        <v>0</v>
      </c>
      <c r="N1693">
        <v>2400</v>
      </c>
    </row>
    <row r="1694" spans="1:14" x14ac:dyDescent="0.25">
      <c r="A1694">
        <v>1096.41166</v>
      </c>
      <c r="B1694" s="1">
        <f>DATE(2013,5,1) + TIME(9,52,47)</f>
        <v>41395.41165509259</v>
      </c>
      <c r="C1694">
        <v>80</v>
      </c>
      <c r="D1694">
        <v>74.341339110999996</v>
      </c>
      <c r="E1694">
        <v>50</v>
      </c>
      <c r="F1694">
        <v>49.932361602999997</v>
      </c>
      <c r="G1694">
        <v>1345.4370117000001</v>
      </c>
      <c r="H1694">
        <v>1341.1204834</v>
      </c>
      <c r="I1694">
        <v>1322.838501</v>
      </c>
      <c r="J1694">
        <v>1319.1469727000001</v>
      </c>
      <c r="K1694">
        <v>2400</v>
      </c>
      <c r="L1694">
        <v>0</v>
      </c>
      <c r="M1694">
        <v>0</v>
      </c>
      <c r="N1694">
        <v>2400</v>
      </c>
    </row>
    <row r="1695" spans="1:14" x14ac:dyDescent="0.25">
      <c r="A1695">
        <v>1096.442098</v>
      </c>
      <c r="B1695" s="1">
        <f>DATE(2013,5,1) + TIME(10,36,37)</f>
        <v>41395.442094907405</v>
      </c>
      <c r="C1695">
        <v>80</v>
      </c>
      <c r="D1695">
        <v>74.657302856000001</v>
      </c>
      <c r="E1695">
        <v>50</v>
      </c>
      <c r="F1695">
        <v>49.929492949999997</v>
      </c>
      <c r="G1695">
        <v>1345.4318848</v>
      </c>
      <c r="H1695">
        <v>1341.1242675999999</v>
      </c>
      <c r="I1695">
        <v>1322.8383789</v>
      </c>
      <c r="J1695">
        <v>1319.1467285000001</v>
      </c>
      <c r="K1695">
        <v>2400</v>
      </c>
      <c r="L1695">
        <v>0</v>
      </c>
      <c r="M1695">
        <v>0</v>
      </c>
      <c r="N1695">
        <v>2400</v>
      </c>
    </row>
    <row r="1696" spans="1:14" x14ac:dyDescent="0.25">
      <c r="A1696">
        <v>1096.4733220000001</v>
      </c>
      <c r="B1696" s="1">
        <f>DATE(2013,5,1) + TIME(11,21,35)</f>
        <v>41395.473321759258</v>
      </c>
      <c r="C1696">
        <v>80</v>
      </c>
      <c r="D1696">
        <v>74.963394164999997</v>
      </c>
      <c r="E1696">
        <v>50</v>
      </c>
      <c r="F1696">
        <v>49.926578522</v>
      </c>
      <c r="G1696">
        <v>1345.4283447</v>
      </c>
      <c r="H1696">
        <v>1341.1286620999999</v>
      </c>
      <c r="I1696">
        <v>1322.8383789</v>
      </c>
      <c r="J1696">
        <v>1319.1466064000001</v>
      </c>
      <c r="K1696">
        <v>2400</v>
      </c>
      <c r="L1696">
        <v>0</v>
      </c>
      <c r="M1696">
        <v>0</v>
      </c>
      <c r="N1696">
        <v>2400</v>
      </c>
    </row>
    <row r="1697" spans="1:14" x14ac:dyDescent="0.25">
      <c r="A1697">
        <v>1096.5053760000001</v>
      </c>
      <c r="B1697" s="1">
        <f>DATE(2013,5,1) + TIME(12,7,44)</f>
        <v>41395.505370370367</v>
      </c>
      <c r="C1697">
        <v>80</v>
      </c>
      <c r="D1697">
        <v>75.259468079000001</v>
      </c>
      <c r="E1697">
        <v>50</v>
      </c>
      <c r="F1697">
        <v>49.923610687</v>
      </c>
      <c r="G1697">
        <v>1345.4261475000001</v>
      </c>
      <c r="H1697">
        <v>1341.1337891000001</v>
      </c>
      <c r="I1697">
        <v>1322.8382568</v>
      </c>
      <c r="J1697">
        <v>1319.1463623</v>
      </c>
      <c r="K1697">
        <v>2400</v>
      </c>
      <c r="L1697">
        <v>0</v>
      </c>
      <c r="M1697">
        <v>0</v>
      </c>
      <c r="N1697">
        <v>2400</v>
      </c>
    </row>
    <row r="1698" spans="1:14" x14ac:dyDescent="0.25">
      <c r="A1698">
        <v>1096.5383059999999</v>
      </c>
      <c r="B1698" s="1">
        <f>DATE(2013,5,1) + TIME(12,55,9)</f>
        <v>41395.538298611114</v>
      </c>
      <c r="C1698">
        <v>80</v>
      </c>
      <c r="D1698">
        <v>75.545722960999996</v>
      </c>
      <c r="E1698">
        <v>50</v>
      </c>
      <c r="F1698">
        <v>49.920589446999998</v>
      </c>
      <c r="G1698">
        <v>1345.425293</v>
      </c>
      <c r="H1698">
        <v>1341.1394043</v>
      </c>
      <c r="I1698">
        <v>1322.8381348</v>
      </c>
      <c r="J1698">
        <v>1319.1461182</v>
      </c>
      <c r="K1698">
        <v>2400</v>
      </c>
      <c r="L1698">
        <v>0</v>
      </c>
      <c r="M1698">
        <v>0</v>
      </c>
      <c r="N1698">
        <v>2400</v>
      </c>
    </row>
    <row r="1699" spans="1:14" x14ac:dyDescent="0.25">
      <c r="A1699">
        <v>1096.572163</v>
      </c>
      <c r="B1699" s="1">
        <f>DATE(2013,5,1) + TIME(13,43,54)</f>
        <v>41395.572152777779</v>
      </c>
      <c r="C1699">
        <v>80</v>
      </c>
      <c r="D1699">
        <v>75.822227478000002</v>
      </c>
      <c r="E1699">
        <v>50</v>
      </c>
      <c r="F1699">
        <v>49.917510986000003</v>
      </c>
      <c r="G1699">
        <v>1345.4256591999999</v>
      </c>
      <c r="H1699">
        <v>1341.1456298999999</v>
      </c>
      <c r="I1699">
        <v>1322.8380127</v>
      </c>
      <c r="J1699">
        <v>1319.1459961</v>
      </c>
      <c r="K1699">
        <v>2400</v>
      </c>
      <c r="L1699">
        <v>0</v>
      </c>
      <c r="M1699">
        <v>0</v>
      </c>
      <c r="N1699">
        <v>2400</v>
      </c>
    </row>
    <row r="1700" spans="1:14" x14ac:dyDescent="0.25">
      <c r="A1700">
        <v>1096.6070030000001</v>
      </c>
      <c r="B1700" s="1">
        <f>DATE(2013,5,1) + TIME(14,34,5)</f>
        <v>41395.607002314813</v>
      </c>
      <c r="C1700">
        <v>80</v>
      </c>
      <c r="D1700">
        <v>76.089004517000006</v>
      </c>
      <c r="E1700">
        <v>50</v>
      </c>
      <c r="F1700">
        <v>49.914371490000001</v>
      </c>
      <c r="G1700">
        <v>1345.4272461</v>
      </c>
      <c r="H1700">
        <v>1341.1522216999999</v>
      </c>
      <c r="I1700">
        <v>1322.8378906</v>
      </c>
      <c r="J1700">
        <v>1319.1457519999999</v>
      </c>
      <c r="K1700">
        <v>2400</v>
      </c>
      <c r="L1700">
        <v>0</v>
      </c>
      <c r="M1700">
        <v>0</v>
      </c>
      <c r="N1700">
        <v>2400</v>
      </c>
    </row>
    <row r="1701" spans="1:14" x14ac:dyDescent="0.25">
      <c r="A1701">
        <v>1096.6428840000001</v>
      </c>
      <c r="B1701" s="1">
        <f>DATE(2013,5,1) + TIME(15,25,45)</f>
        <v>41395.642881944441</v>
      </c>
      <c r="C1701">
        <v>80</v>
      </c>
      <c r="D1701">
        <v>76.346099854000002</v>
      </c>
      <c r="E1701">
        <v>50</v>
      </c>
      <c r="F1701">
        <v>49.911170959000003</v>
      </c>
      <c r="G1701">
        <v>1345.4298096</v>
      </c>
      <c r="H1701">
        <v>1341.1594238</v>
      </c>
      <c r="I1701">
        <v>1322.8377685999999</v>
      </c>
      <c r="J1701">
        <v>1319.1453856999999</v>
      </c>
      <c r="K1701">
        <v>2400</v>
      </c>
      <c r="L1701">
        <v>0</v>
      </c>
      <c r="M1701">
        <v>0</v>
      </c>
      <c r="N1701">
        <v>2400</v>
      </c>
    </row>
    <row r="1702" spans="1:14" x14ac:dyDescent="0.25">
      <c r="A1702">
        <v>1096.6798699999999</v>
      </c>
      <c r="B1702" s="1">
        <f>DATE(2013,5,1) + TIME(16,19,0)</f>
        <v>41395.679861111108</v>
      </c>
      <c r="C1702">
        <v>80</v>
      </c>
      <c r="D1702">
        <v>76.593528747999997</v>
      </c>
      <c r="E1702">
        <v>50</v>
      </c>
      <c r="F1702">
        <v>49.907897949000002</v>
      </c>
      <c r="G1702">
        <v>1345.4333495999999</v>
      </c>
      <c r="H1702">
        <v>1341.1669922000001</v>
      </c>
      <c r="I1702">
        <v>1322.8376464999999</v>
      </c>
      <c r="J1702">
        <v>1319.1451416</v>
      </c>
      <c r="K1702">
        <v>2400</v>
      </c>
      <c r="L1702">
        <v>0</v>
      </c>
      <c r="M1702">
        <v>0</v>
      </c>
      <c r="N1702">
        <v>2400</v>
      </c>
    </row>
    <row r="1703" spans="1:14" x14ac:dyDescent="0.25">
      <c r="A1703">
        <v>1096.7180310000001</v>
      </c>
      <c r="B1703" s="1">
        <f>DATE(2013,5,1) + TIME(17,13,57)</f>
        <v>41395.71802083333</v>
      </c>
      <c r="C1703">
        <v>80</v>
      </c>
      <c r="D1703">
        <v>76.831336974999999</v>
      </c>
      <c r="E1703">
        <v>50</v>
      </c>
      <c r="F1703">
        <v>49.904556274000001</v>
      </c>
      <c r="G1703">
        <v>1345.4379882999999</v>
      </c>
      <c r="H1703">
        <v>1341.1748047000001</v>
      </c>
      <c r="I1703">
        <v>1322.8374022999999</v>
      </c>
      <c r="J1703">
        <v>1319.1448975000001</v>
      </c>
      <c r="K1703">
        <v>2400</v>
      </c>
      <c r="L1703">
        <v>0</v>
      </c>
      <c r="M1703">
        <v>0</v>
      </c>
      <c r="N1703">
        <v>2400</v>
      </c>
    </row>
    <row r="1704" spans="1:14" x14ac:dyDescent="0.25">
      <c r="A1704">
        <v>1096.7574420000001</v>
      </c>
      <c r="B1704" s="1">
        <f>DATE(2013,5,1) + TIME(18,10,43)</f>
        <v>41395.75744212963</v>
      </c>
      <c r="C1704">
        <v>80</v>
      </c>
      <c r="D1704">
        <v>77.059547424000002</v>
      </c>
      <c r="E1704">
        <v>50</v>
      </c>
      <c r="F1704">
        <v>49.901134491000001</v>
      </c>
      <c r="G1704">
        <v>1345.4433594</v>
      </c>
      <c r="H1704">
        <v>1341.1831055</v>
      </c>
      <c r="I1704">
        <v>1322.8372803</v>
      </c>
      <c r="J1704">
        <v>1319.1445312000001</v>
      </c>
      <c r="K1704">
        <v>2400</v>
      </c>
      <c r="L1704">
        <v>0</v>
      </c>
      <c r="M1704">
        <v>0</v>
      </c>
      <c r="N1704">
        <v>2400</v>
      </c>
    </row>
    <row r="1705" spans="1:14" x14ac:dyDescent="0.25">
      <c r="A1705">
        <v>1096.7982</v>
      </c>
      <c r="B1705" s="1">
        <f>DATE(2013,5,1) + TIME(19,9,24)</f>
        <v>41395.798194444447</v>
      </c>
      <c r="C1705">
        <v>80</v>
      </c>
      <c r="D1705">
        <v>77.278266907000003</v>
      </c>
      <c r="E1705">
        <v>50</v>
      </c>
      <c r="F1705">
        <v>49.897628783999998</v>
      </c>
      <c r="G1705">
        <v>1345.4494629000001</v>
      </c>
      <c r="H1705">
        <v>1341.1916504000001</v>
      </c>
      <c r="I1705">
        <v>1322.8371582</v>
      </c>
      <c r="J1705">
        <v>1319.1442870999999</v>
      </c>
      <c r="K1705">
        <v>2400</v>
      </c>
      <c r="L1705">
        <v>0</v>
      </c>
      <c r="M1705">
        <v>0</v>
      </c>
      <c r="N1705">
        <v>2400</v>
      </c>
    </row>
    <row r="1706" spans="1:14" x14ac:dyDescent="0.25">
      <c r="A1706">
        <v>1096.840324</v>
      </c>
      <c r="B1706" s="1">
        <f>DATE(2013,5,1) + TIME(20,10,3)</f>
        <v>41395.840312499997</v>
      </c>
      <c r="C1706">
        <v>80</v>
      </c>
      <c r="D1706">
        <v>77.487174988000007</v>
      </c>
      <c r="E1706">
        <v>50</v>
      </c>
      <c r="F1706">
        <v>49.894039153999998</v>
      </c>
      <c r="G1706">
        <v>1345.4564209</v>
      </c>
      <c r="H1706">
        <v>1341.2003173999999</v>
      </c>
      <c r="I1706">
        <v>1322.8369141000001</v>
      </c>
      <c r="J1706">
        <v>1319.1439209</v>
      </c>
      <c r="K1706">
        <v>2400</v>
      </c>
      <c r="L1706">
        <v>0</v>
      </c>
      <c r="M1706">
        <v>0</v>
      </c>
      <c r="N1706">
        <v>2400</v>
      </c>
    </row>
    <row r="1707" spans="1:14" x14ac:dyDescent="0.25">
      <c r="A1707">
        <v>1096.883885</v>
      </c>
      <c r="B1707" s="1">
        <f>DATE(2013,5,1) + TIME(21,12,47)</f>
        <v>41395.883877314816</v>
      </c>
      <c r="C1707">
        <v>80</v>
      </c>
      <c r="D1707">
        <v>77.686286925999994</v>
      </c>
      <c r="E1707">
        <v>50</v>
      </c>
      <c r="F1707">
        <v>49.890361786</v>
      </c>
      <c r="G1707">
        <v>1345.4638672000001</v>
      </c>
      <c r="H1707">
        <v>1341.2093506000001</v>
      </c>
      <c r="I1707">
        <v>1322.8366699000001</v>
      </c>
      <c r="J1707">
        <v>1319.1435547000001</v>
      </c>
      <c r="K1707">
        <v>2400</v>
      </c>
      <c r="L1707">
        <v>0</v>
      </c>
      <c r="M1707">
        <v>0</v>
      </c>
      <c r="N1707">
        <v>2400</v>
      </c>
    </row>
    <row r="1708" spans="1:14" x14ac:dyDescent="0.25">
      <c r="A1708">
        <v>1096.928979</v>
      </c>
      <c r="B1708" s="1">
        <f>DATE(2013,5,1) + TIME(22,17,43)</f>
        <v>41395.928969907407</v>
      </c>
      <c r="C1708">
        <v>80</v>
      </c>
      <c r="D1708">
        <v>77.875663756999998</v>
      </c>
      <c r="E1708">
        <v>50</v>
      </c>
      <c r="F1708">
        <v>49.886592864999997</v>
      </c>
      <c r="G1708">
        <v>1345.4719238</v>
      </c>
      <c r="H1708">
        <v>1341.2185059000001</v>
      </c>
      <c r="I1708">
        <v>1322.8365478999999</v>
      </c>
      <c r="J1708">
        <v>1319.1431885</v>
      </c>
      <c r="K1708">
        <v>2400</v>
      </c>
      <c r="L1708">
        <v>0</v>
      </c>
      <c r="M1708">
        <v>0</v>
      </c>
      <c r="N1708">
        <v>2400</v>
      </c>
    </row>
    <row r="1709" spans="1:14" x14ac:dyDescent="0.25">
      <c r="A1709">
        <v>1096.9757070000001</v>
      </c>
      <c r="B1709" s="1">
        <f>DATE(2013,5,1) + TIME(23,25,1)</f>
        <v>41395.975706018522</v>
      </c>
      <c r="C1709">
        <v>80</v>
      </c>
      <c r="D1709">
        <v>78.055397033999995</v>
      </c>
      <c r="E1709">
        <v>50</v>
      </c>
      <c r="F1709">
        <v>49.882720947000003</v>
      </c>
      <c r="G1709">
        <v>1345.4804687999999</v>
      </c>
      <c r="H1709">
        <v>1341.2276611</v>
      </c>
      <c r="I1709">
        <v>1322.8363036999999</v>
      </c>
      <c r="J1709">
        <v>1319.1428223</v>
      </c>
      <c r="K1709">
        <v>2400</v>
      </c>
      <c r="L1709">
        <v>0</v>
      </c>
      <c r="M1709">
        <v>0</v>
      </c>
      <c r="N1709">
        <v>2400</v>
      </c>
    </row>
    <row r="1710" spans="1:14" x14ac:dyDescent="0.25">
      <c r="A1710">
        <v>1097.0241960000001</v>
      </c>
      <c r="B1710" s="1">
        <f>DATE(2013,5,2) + TIME(0,34,50)</f>
        <v>41396.024189814816</v>
      </c>
      <c r="C1710">
        <v>80</v>
      </c>
      <c r="D1710">
        <v>78.225624084000003</v>
      </c>
      <c r="E1710">
        <v>50</v>
      </c>
      <c r="F1710">
        <v>49.878746032999999</v>
      </c>
      <c r="G1710">
        <v>1345.4895019999999</v>
      </c>
      <c r="H1710">
        <v>1341.2368164</v>
      </c>
      <c r="I1710">
        <v>1322.8360596</v>
      </c>
      <c r="J1710">
        <v>1319.1424560999999</v>
      </c>
      <c r="K1710">
        <v>2400</v>
      </c>
      <c r="L1710">
        <v>0</v>
      </c>
      <c r="M1710">
        <v>0</v>
      </c>
      <c r="N1710">
        <v>2400</v>
      </c>
    </row>
    <row r="1711" spans="1:14" x14ac:dyDescent="0.25">
      <c r="A1711">
        <v>1097.0745669999999</v>
      </c>
      <c r="B1711" s="1">
        <f>DATE(2013,5,2) + TIME(1,47,22)</f>
        <v>41396.074560185189</v>
      </c>
      <c r="C1711">
        <v>80</v>
      </c>
      <c r="D1711">
        <v>78.386421204000001</v>
      </c>
      <c r="E1711">
        <v>50</v>
      </c>
      <c r="F1711">
        <v>49.874652863000001</v>
      </c>
      <c r="G1711">
        <v>1345.4986572</v>
      </c>
      <c r="H1711">
        <v>1341.2460937999999</v>
      </c>
      <c r="I1711">
        <v>1322.8358154</v>
      </c>
      <c r="J1711">
        <v>1319.1420897999999</v>
      </c>
      <c r="K1711">
        <v>2400</v>
      </c>
      <c r="L1711">
        <v>0</v>
      </c>
      <c r="M1711">
        <v>0</v>
      </c>
      <c r="N1711">
        <v>2400</v>
      </c>
    </row>
    <row r="1712" spans="1:14" x14ac:dyDescent="0.25">
      <c r="A1712">
        <v>1097.1269440000001</v>
      </c>
      <c r="B1712" s="1">
        <f>DATE(2013,5,2) + TIME(3,2,48)</f>
        <v>41396.126944444448</v>
      </c>
      <c r="C1712">
        <v>80</v>
      </c>
      <c r="D1712">
        <v>78.537879943999997</v>
      </c>
      <c r="E1712">
        <v>50</v>
      </c>
      <c r="F1712">
        <v>49.870441436999997</v>
      </c>
      <c r="G1712">
        <v>1345.5081786999999</v>
      </c>
      <c r="H1712">
        <v>1341.2553711</v>
      </c>
      <c r="I1712">
        <v>1322.8355713000001</v>
      </c>
      <c r="J1712">
        <v>1319.1417236</v>
      </c>
      <c r="K1712">
        <v>2400</v>
      </c>
      <c r="L1712">
        <v>0</v>
      </c>
      <c r="M1712">
        <v>0</v>
      </c>
      <c r="N1712">
        <v>2400</v>
      </c>
    </row>
    <row r="1713" spans="1:14" x14ac:dyDescent="0.25">
      <c r="A1713">
        <v>1097.1814790000001</v>
      </c>
      <c r="B1713" s="1">
        <f>DATE(2013,5,2) + TIME(4,21,19)</f>
        <v>41396.181469907409</v>
      </c>
      <c r="C1713">
        <v>80</v>
      </c>
      <c r="D1713">
        <v>78.680130004999995</v>
      </c>
      <c r="E1713">
        <v>50</v>
      </c>
      <c r="F1713">
        <v>49.866096497000001</v>
      </c>
      <c r="G1713">
        <v>1345.5178223</v>
      </c>
      <c r="H1713">
        <v>1341.2644043</v>
      </c>
      <c r="I1713">
        <v>1322.8352050999999</v>
      </c>
      <c r="J1713">
        <v>1319.1412353999999</v>
      </c>
      <c r="K1713">
        <v>2400</v>
      </c>
      <c r="L1713">
        <v>0</v>
      </c>
      <c r="M1713">
        <v>0</v>
      </c>
      <c r="N1713">
        <v>2400</v>
      </c>
    </row>
    <row r="1714" spans="1:14" x14ac:dyDescent="0.25">
      <c r="A1714">
        <v>1097.2383359999999</v>
      </c>
      <c r="B1714" s="1">
        <f>DATE(2013,5,2) + TIME(5,43,12)</f>
        <v>41396.238333333335</v>
      </c>
      <c r="C1714">
        <v>80</v>
      </c>
      <c r="D1714">
        <v>78.813316345000004</v>
      </c>
      <c r="E1714">
        <v>50</v>
      </c>
      <c r="F1714">
        <v>49.861610413000001</v>
      </c>
      <c r="G1714">
        <v>1345.5275879000001</v>
      </c>
      <c r="H1714">
        <v>1341.2734375</v>
      </c>
      <c r="I1714">
        <v>1322.8349608999999</v>
      </c>
      <c r="J1714">
        <v>1319.1407471</v>
      </c>
      <c r="K1714">
        <v>2400</v>
      </c>
      <c r="L1714">
        <v>0</v>
      </c>
      <c r="M1714">
        <v>0</v>
      </c>
      <c r="N1714">
        <v>2400</v>
      </c>
    </row>
    <row r="1715" spans="1:14" x14ac:dyDescent="0.25">
      <c r="A1715">
        <v>1097.2976980000001</v>
      </c>
      <c r="B1715" s="1">
        <f>DATE(2013,5,2) + TIME(7,8,41)</f>
        <v>41396.297696759262</v>
      </c>
      <c r="C1715">
        <v>80</v>
      </c>
      <c r="D1715">
        <v>78.937591553000004</v>
      </c>
      <c r="E1715">
        <v>50</v>
      </c>
      <c r="F1715">
        <v>49.856975554999998</v>
      </c>
      <c r="G1715">
        <v>1345.5373535000001</v>
      </c>
      <c r="H1715">
        <v>1341.2823486</v>
      </c>
      <c r="I1715">
        <v>1322.8345947</v>
      </c>
      <c r="J1715">
        <v>1319.1403809000001</v>
      </c>
      <c r="K1715">
        <v>2400</v>
      </c>
      <c r="L1715">
        <v>0</v>
      </c>
      <c r="M1715">
        <v>0</v>
      </c>
      <c r="N1715">
        <v>2400</v>
      </c>
    </row>
    <row r="1716" spans="1:14" x14ac:dyDescent="0.25">
      <c r="A1716">
        <v>1097.359768</v>
      </c>
      <c r="B1716" s="1">
        <f>DATE(2013,5,2) + TIME(8,38,3)</f>
        <v>41396.359756944446</v>
      </c>
      <c r="C1716">
        <v>80</v>
      </c>
      <c r="D1716">
        <v>79.053131104000002</v>
      </c>
      <c r="E1716">
        <v>50</v>
      </c>
      <c r="F1716">
        <v>49.852176665999998</v>
      </c>
      <c r="G1716">
        <v>1345.5469971</v>
      </c>
      <c r="H1716">
        <v>1341.2908935999999</v>
      </c>
      <c r="I1716">
        <v>1322.8343506000001</v>
      </c>
      <c r="J1716">
        <v>1319.1398925999999</v>
      </c>
      <c r="K1716">
        <v>2400</v>
      </c>
      <c r="L1716">
        <v>0</v>
      </c>
      <c r="M1716">
        <v>0</v>
      </c>
      <c r="N1716">
        <v>2400</v>
      </c>
    </row>
    <row r="1717" spans="1:14" x14ac:dyDescent="0.25">
      <c r="A1717">
        <v>1097.424775</v>
      </c>
      <c r="B1717" s="1">
        <f>DATE(2013,5,2) + TIME(10,11,40)</f>
        <v>41396.424768518518</v>
      </c>
      <c r="C1717">
        <v>80</v>
      </c>
      <c r="D1717">
        <v>79.160125731999997</v>
      </c>
      <c r="E1717">
        <v>50</v>
      </c>
      <c r="F1717">
        <v>49.847202301000003</v>
      </c>
      <c r="G1717">
        <v>1345.5565185999999</v>
      </c>
      <c r="H1717">
        <v>1341.2993164</v>
      </c>
      <c r="I1717">
        <v>1322.8339844</v>
      </c>
      <c r="J1717">
        <v>1319.1394043</v>
      </c>
      <c r="K1717">
        <v>2400</v>
      </c>
      <c r="L1717">
        <v>0</v>
      </c>
      <c r="M1717">
        <v>0</v>
      </c>
      <c r="N1717">
        <v>2400</v>
      </c>
    </row>
    <row r="1718" spans="1:14" x14ac:dyDescent="0.25">
      <c r="A1718">
        <v>1097.4929749999999</v>
      </c>
      <c r="B1718" s="1">
        <f>DATE(2013,5,2) + TIME(11,49,53)</f>
        <v>41396.492974537039</v>
      </c>
      <c r="C1718">
        <v>80</v>
      </c>
      <c r="D1718">
        <v>79.258796692000004</v>
      </c>
      <c r="E1718">
        <v>50</v>
      </c>
      <c r="F1718">
        <v>49.842037200999997</v>
      </c>
      <c r="G1718">
        <v>1345.5657959</v>
      </c>
      <c r="H1718">
        <v>1341.3073730000001</v>
      </c>
      <c r="I1718">
        <v>1322.8336182</v>
      </c>
      <c r="J1718">
        <v>1319.1387939000001</v>
      </c>
      <c r="K1718">
        <v>2400</v>
      </c>
      <c r="L1718">
        <v>0</v>
      </c>
      <c r="M1718">
        <v>0</v>
      </c>
      <c r="N1718">
        <v>2400</v>
      </c>
    </row>
    <row r="1719" spans="1:14" x14ac:dyDescent="0.25">
      <c r="A1719">
        <v>1097.5646569999999</v>
      </c>
      <c r="B1719" s="1">
        <f>DATE(2013,5,2) + TIME(13,33,6)</f>
        <v>41396.564652777779</v>
      </c>
      <c r="C1719">
        <v>80</v>
      </c>
      <c r="D1719">
        <v>79.349365234000004</v>
      </c>
      <c r="E1719">
        <v>50</v>
      </c>
      <c r="F1719">
        <v>49.836662292</v>
      </c>
      <c r="G1719">
        <v>1345.5748291</v>
      </c>
      <c r="H1719">
        <v>1341.3150635</v>
      </c>
      <c r="I1719">
        <v>1322.8332519999999</v>
      </c>
      <c r="J1719">
        <v>1319.1383057</v>
      </c>
      <c r="K1719">
        <v>2400</v>
      </c>
      <c r="L1719">
        <v>0</v>
      </c>
      <c r="M1719">
        <v>0</v>
      </c>
      <c r="N1719">
        <v>2400</v>
      </c>
    </row>
    <row r="1720" spans="1:14" x14ac:dyDescent="0.25">
      <c r="A1720">
        <v>1097.6401579999999</v>
      </c>
      <c r="B1720" s="1">
        <f>DATE(2013,5,2) + TIME(15,21,49)</f>
        <v>41396.640150462961</v>
      </c>
      <c r="C1720">
        <v>80</v>
      </c>
      <c r="D1720">
        <v>79.432098389000004</v>
      </c>
      <c r="E1720">
        <v>50</v>
      </c>
      <c r="F1720">
        <v>49.831062316999997</v>
      </c>
      <c r="G1720">
        <v>1345.5834961</v>
      </c>
      <c r="H1720">
        <v>1341.3223877</v>
      </c>
      <c r="I1720">
        <v>1322.8328856999999</v>
      </c>
      <c r="J1720">
        <v>1319.1376952999999</v>
      </c>
      <c r="K1720">
        <v>2400</v>
      </c>
      <c r="L1720">
        <v>0</v>
      </c>
      <c r="M1720">
        <v>0</v>
      </c>
      <c r="N1720">
        <v>2400</v>
      </c>
    </row>
    <row r="1721" spans="1:14" x14ac:dyDescent="0.25">
      <c r="A1721">
        <v>1097.7198969999999</v>
      </c>
      <c r="B1721" s="1">
        <f>DATE(2013,5,2) + TIME(17,16,39)</f>
        <v>41396.719895833332</v>
      </c>
      <c r="C1721">
        <v>80</v>
      </c>
      <c r="D1721">
        <v>79.507293700999995</v>
      </c>
      <c r="E1721">
        <v>50</v>
      </c>
      <c r="F1721">
        <v>49.825210571</v>
      </c>
      <c r="G1721">
        <v>1345.5915527</v>
      </c>
      <c r="H1721">
        <v>1341.3292236</v>
      </c>
      <c r="I1721">
        <v>1322.8325195</v>
      </c>
      <c r="J1721">
        <v>1319.137207</v>
      </c>
      <c r="K1721">
        <v>2400</v>
      </c>
      <c r="L1721">
        <v>0</v>
      </c>
      <c r="M1721">
        <v>0</v>
      </c>
      <c r="N1721">
        <v>2400</v>
      </c>
    </row>
    <row r="1722" spans="1:14" x14ac:dyDescent="0.25">
      <c r="A1722">
        <v>1097.8042620000001</v>
      </c>
      <c r="B1722" s="1">
        <f>DATE(2013,5,2) + TIME(19,18,8)</f>
        <v>41396.804259259261</v>
      </c>
      <c r="C1722">
        <v>80</v>
      </c>
      <c r="D1722">
        <v>79.575202942000004</v>
      </c>
      <c r="E1722">
        <v>50</v>
      </c>
      <c r="F1722">
        <v>49.819084167</v>
      </c>
      <c r="G1722">
        <v>1345.5992432</v>
      </c>
      <c r="H1722">
        <v>1341.3356934000001</v>
      </c>
      <c r="I1722">
        <v>1322.8320312000001</v>
      </c>
      <c r="J1722">
        <v>1319.1365966999999</v>
      </c>
      <c r="K1722">
        <v>2400</v>
      </c>
      <c r="L1722">
        <v>0</v>
      </c>
      <c r="M1722">
        <v>0</v>
      </c>
      <c r="N1722">
        <v>2400</v>
      </c>
    </row>
    <row r="1723" spans="1:14" x14ac:dyDescent="0.25">
      <c r="A1723">
        <v>1097.8937550000001</v>
      </c>
      <c r="B1723" s="1">
        <f>DATE(2013,5,2) + TIME(21,27,0)</f>
        <v>41396.893750000003</v>
      </c>
      <c r="C1723">
        <v>80</v>
      </c>
      <c r="D1723">
        <v>79.636123656999999</v>
      </c>
      <c r="E1723">
        <v>50</v>
      </c>
      <c r="F1723">
        <v>49.812660217000001</v>
      </c>
      <c r="G1723">
        <v>1345.6062012</v>
      </c>
      <c r="H1723">
        <v>1341.3415527</v>
      </c>
      <c r="I1723">
        <v>1322.8316649999999</v>
      </c>
      <c r="J1723">
        <v>1319.1358643000001</v>
      </c>
      <c r="K1723">
        <v>2400</v>
      </c>
      <c r="L1723">
        <v>0</v>
      </c>
      <c r="M1723">
        <v>0</v>
      </c>
      <c r="N1723">
        <v>2400</v>
      </c>
    </row>
    <row r="1724" spans="1:14" x14ac:dyDescent="0.25">
      <c r="A1724">
        <v>1097.9879040000001</v>
      </c>
      <c r="B1724" s="1">
        <f>DATE(2013,5,2) + TIME(23,42,34)</f>
        <v>41396.987893518519</v>
      </c>
      <c r="C1724">
        <v>80</v>
      </c>
      <c r="D1724">
        <v>79.689895629999995</v>
      </c>
      <c r="E1724">
        <v>50</v>
      </c>
      <c r="F1724">
        <v>49.805965424</v>
      </c>
      <c r="G1724">
        <v>1345.6126709</v>
      </c>
      <c r="H1724">
        <v>1341.3469238</v>
      </c>
      <c r="I1724">
        <v>1322.8311768000001</v>
      </c>
      <c r="J1724">
        <v>1319.1352539</v>
      </c>
      <c r="K1724">
        <v>2400</v>
      </c>
      <c r="L1724">
        <v>0</v>
      </c>
      <c r="M1724">
        <v>0</v>
      </c>
      <c r="N1724">
        <v>2400</v>
      </c>
    </row>
    <row r="1725" spans="1:14" x14ac:dyDescent="0.25">
      <c r="A1725">
        <v>1098.082602</v>
      </c>
      <c r="B1725" s="1">
        <f>DATE(2013,5,3) + TIME(1,58,56)</f>
        <v>41397.082592592589</v>
      </c>
      <c r="C1725">
        <v>80</v>
      </c>
      <c r="D1725">
        <v>79.735221863000007</v>
      </c>
      <c r="E1725">
        <v>50</v>
      </c>
      <c r="F1725">
        <v>49.799270630000002</v>
      </c>
      <c r="G1725">
        <v>1345.6190185999999</v>
      </c>
      <c r="H1725">
        <v>1341.3521728999999</v>
      </c>
      <c r="I1725">
        <v>1322.8306885</v>
      </c>
      <c r="J1725">
        <v>1319.1345214999999</v>
      </c>
      <c r="K1725">
        <v>2400</v>
      </c>
      <c r="L1725">
        <v>0</v>
      </c>
      <c r="M1725">
        <v>0</v>
      </c>
      <c r="N1725">
        <v>2400</v>
      </c>
    </row>
    <row r="1726" spans="1:14" x14ac:dyDescent="0.25">
      <c r="A1726">
        <v>1098.1782129999999</v>
      </c>
      <c r="B1726" s="1">
        <f>DATE(2013,5,3) + TIME(4,16,37)</f>
        <v>41397.178206018521</v>
      </c>
      <c r="C1726">
        <v>80</v>
      </c>
      <c r="D1726">
        <v>79.773513793999996</v>
      </c>
      <c r="E1726">
        <v>50</v>
      </c>
      <c r="F1726">
        <v>49.792549133000001</v>
      </c>
      <c r="G1726">
        <v>1345.6240233999999</v>
      </c>
      <c r="H1726">
        <v>1341.3563231999999</v>
      </c>
      <c r="I1726">
        <v>1322.8300781</v>
      </c>
      <c r="J1726">
        <v>1319.1337891000001</v>
      </c>
      <c r="K1726">
        <v>2400</v>
      </c>
      <c r="L1726">
        <v>0</v>
      </c>
      <c r="M1726">
        <v>0</v>
      </c>
      <c r="N1726">
        <v>2400</v>
      </c>
    </row>
    <row r="1727" spans="1:14" x14ac:dyDescent="0.25">
      <c r="A1727">
        <v>1098.274938</v>
      </c>
      <c r="B1727" s="1">
        <f>DATE(2013,5,3) + TIME(6,35,54)</f>
        <v>41397.274930555555</v>
      </c>
      <c r="C1727">
        <v>80</v>
      </c>
      <c r="D1727">
        <v>79.805862426999994</v>
      </c>
      <c r="E1727">
        <v>50</v>
      </c>
      <c r="F1727">
        <v>49.785789489999999</v>
      </c>
      <c r="G1727">
        <v>1345.6279297000001</v>
      </c>
      <c r="H1727">
        <v>1341.3597411999999</v>
      </c>
      <c r="I1727">
        <v>1322.8295897999999</v>
      </c>
      <c r="J1727">
        <v>1319.1330565999999</v>
      </c>
      <c r="K1727">
        <v>2400</v>
      </c>
      <c r="L1727">
        <v>0</v>
      </c>
      <c r="M1727">
        <v>0</v>
      </c>
      <c r="N1727">
        <v>2400</v>
      </c>
    </row>
    <row r="1728" spans="1:14" x14ac:dyDescent="0.25">
      <c r="A1728">
        <v>1098.3729840000001</v>
      </c>
      <c r="B1728" s="1">
        <f>DATE(2013,5,3) + TIME(8,57,5)</f>
        <v>41397.372974537036</v>
      </c>
      <c r="C1728">
        <v>80</v>
      </c>
      <c r="D1728">
        <v>79.833190918</v>
      </c>
      <c r="E1728">
        <v>50</v>
      </c>
      <c r="F1728">
        <v>49.778972625999998</v>
      </c>
      <c r="G1728">
        <v>1345.6308594</v>
      </c>
      <c r="H1728">
        <v>1341.3624268000001</v>
      </c>
      <c r="I1728">
        <v>1322.8291016000001</v>
      </c>
      <c r="J1728">
        <v>1319.1323242000001</v>
      </c>
      <c r="K1728">
        <v>2400</v>
      </c>
      <c r="L1728">
        <v>0</v>
      </c>
      <c r="M1728">
        <v>0</v>
      </c>
      <c r="N1728">
        <v>2400</v>
      </c>
    </row>
    <row r="1729" spans="1:14" x14ac:dyDescent="0.25">
      <c r="A1729">
        <v>1098.4725960000001</v>
      </c>
      <c r="B1729" s="1">
        <f>DATE(2013,5,3) + TIME(11,20,32)</f>
        <v>41397.472592592596</v>
      </c>
      <c r="C1729">
        <v>80</v>
      </c>
      <c r="D1729">
        <v>79.856254578000005</v>
      </c>
      <c r="E1729">
        <v>50</v>
      </c>
      <c r="F1729">
        <v>49.772090912000003</v>
      </c>
      <c r="G1729">
        <v>1345.6326904</v>
      </c>
      <c r="H1729">
        <v>1341.3643798999999</v>
      </c>
      <c r="I1729">
        <v>1322.8286132999999</v>
      </c>
      <c r="J1729">
        <v>1319.1315918</v>
      </c>
      <c r="K1729">
        <v>2400</v>
      </c>
      <c r="L1729">
        <v>0</v>
      </c>
      <c r="M1729">
        <v>0</v>
      </c>
      <c r="N1729">
        <v>2400</v>
      </c>
    </row>
    <row r="1730" spans="1:14" x14ac:dyDescent="0.25">
      <c r="A1730">
        <v>1098.5740229999999</v>
      </c>
      <c r="B1730" s="1">
        <f>DATE(2013,5,3) + TIME(13,46,35)</f>
        <v>41397.574016203704</v>
      </c>
      <c r="C1730">
        <v>80</v>
      </c>
      <c r="D1730">
        <v>79.875724792</v>
      </c>
      <c r="E1730">
        <v>50</v>
      </c>
      <c r="F1730">
        <v>49.765125275000003</v>
      </c>
      <c r="G1730">
        <v>1345.6336670000001</v>
      </c>
      <c r="H1730">
        <v>1341.3656006000001</v>
      </c>
      <c r="I1730">
        <v>1322.8280029</v>
      </c>
      <c r="J1730">
        <v>1319.1308594</v>
      </c>
      <c r="K1730">
        <v>2400</v>
      </c>
      <c r="L1730">
        <v>0</v>
      </c>
      <c r="M1730">
        <v>0</v>
      </c>
      <c r="N1730">
        <v>2400</v>
      </c>
    </row>
    <row r="1731" spans="1:14" x14ac:dyDescent="0.25">
      <c r="A1731">
        <v>1098.6774869999999</v>
      </c>
      <c r="B1731" s="1">
        <f>DATE(2013,5,3) + TIME(16,15,34)</f>
        <v>41397.677476851852</v>
      </c>
      <c r="C1731">
        <v>80</v>
      </c>
      <c r="D1731">
        <v>79.892120360999996</v>
      </c>
      <c r="E1731">
        <v>50</v>
      </c>
      <c r="F1731">
        <v>49.758064269999998</v>
      </c>
      <c r="G1731">
        <v>1345.6336670000001</v>
      </c>
      <c r="H1731">
        <v>1341.3663329999999</v>
      </c>
      <c r="I1731">
        <v>1322.8275146000001</v>
      </c>
      <c r="J1731">
        <v>1319.1301269999999</v>
      </c>
      <c r="K1731">
        <v>2400</v>
      </c>
      <c r="L1731">
        <v>0</v>
      </c>
      <c r="M1731">
        <v>0</v>
      </c>
      <c r="N1731">
        <v>2400</v>
      </c>
    </row>
    <row r="1732" spans="1:14" x14ac:dyDescent="0.25">
      <c r="A1732">
        <v>1098.78324</v>
      </c>
      <c r="B1732" s="1">
        <f>DATE(2013,5,3) + TIME(18,47,51)</f>
        <v>41397.783229166664</v>
      </c>
      <c r="C1732">
        <v>80</v>
      </c>
      <c r="D1732">
        <v>79.905921935999999</v>
      </c>
      <c r="E1732">
        <v>50</v>
      </c>
      <c r="F1732">
        <v>49.750888824</v>
      </c>
      <c r="G1732">
        <v>1345.6329346</v>
      </c>
      <c r="H1732">
        <v>1341.3664550999999</v>
      </c>
      <c r="I1732">
        <v>1322.8269043</v>
      </c>
      <c r="J1732">
        <v>1319.1293945</v>
      </c>
      <c r="K1732">
        <v>2400</v>
      </c>
      <c r="L1732">
        <v>0</v>
      </c>
      <c r="M1732">
        <v>0</v>
      </c>
      <c r="N1732">
        <v>2400</v>
      </c>
    </row>
    <row r="1733" spans="1:14" x14ac:dyDescent="0.25">
      <c r="A1733">
        <v>1098.8915509999999</v>
      </c>
      <c r="B1733" s="1">
        <f>DATE(2013,5,3) + TIME(21,23,49)</f>
        <v>41397.891539351855</v>
      </c>
      <c r="C1733">
        <v>80</v>
      </c>
      <c r="D1733">
        <v>79.917503357000001</v>
      </c>
      <c r="E1733">
        <v>50</v>
      </c>
      <c r="F1733">
        <v>49.743587494000003</v>
      </c>
      <c r="G1733">
        <v>1345.6313477000001</v>
      </c>
      <c r="H1733">
        <v>1341.3660889</v>
      </c>
      <c r="I1733">
        <v>1322.8262939000001</v>
      </c>
      <c r="J1733">
        <v>1319.1286620999999</v>
      </c>
      <c r="K1733">
        <v>2400</v>
      </c>
      <c r="L1733">
        <v>0</v>
      </c>
      <c r="M1733">
        <v>0</v>
      </c>
      <c r="N1733">
        <v>2400</v>
      </c>
    </row>
    <row r="1734" spans="1:14" x14ac:dyDescent="0.25">
      <c r="A1734">
        <v>1099.0027130000001</v>
      </c>
      <c r="B1734" s="1">
        <f>DATE(2013,5,4) + TIME(0,3,54)</f>
        <v>41398.002708333333</v>
      </c>
      <c r="C1734">
        <v>80</v>
      </c>
      <c r="D1734">
        <v>79.927207946999999</v>
      </c>
      <c r="E1734">
        <v>50</v>
      </c>
      <c r="F1734">
        <v>49.736141205000003</v>
      </c>
      <c r="G1734">
        <v>1345.6290283000001</v>
      </c>
      <c r="H1734">
        <v>1341.3651123</v>
      </c>
      <c r="I1734">
        <v>1322.8256836</v>
      </c>
      <c r="J1734">
        <v>1319.1278076000001</v>
      </c>
      <c r="K1734">
        <v>2400</v>
      </c>
      <c r="L1734">
        <v>0</v>
      </c>
      <c r="M1734">
        <v>0</v>
      </c>
      <c r="N1734">
        <v>2400</v>
      </c>
    </row>
    <row r="1735" spans="1:14" x14ac:dyDescent="0.25">
      <c r="A1735">
        <v>1099.116383</v>
      </c>
      <c r="B1735" s="1">
        <f>DATE(2013,5,4) + TIME(2,47,35)</f>
        <v>41398.116377314815</v>
      </c>
      <c r="C1735">
        <v>80</v>
      </c>
      <c r="D1735">
        <v>79.935287475999999</v>
      </c>
      <c r="E1735">
        <v>50</v>
      </c>
      <c r="F1735">
        <v>49.728569030999999</v>
      </c>
      <c r="G1735">
        <v>1345.6260986</v>
      </c>
      <c r="H1735">
        <v>1341.3637695</v>
      </c>
      <c r="I1735">
        <v>1322.8250731999999</v>
      </c>
      <c r="J1735">
        <v>1319.1270752</v>
      </c>
      <c r="K1735">
        <v>2400</v>
      </c>
      <c r="L1735">
        <v>0</v>
      </c>
      <c r="M1735">
        <v>0</v>
      </c>
      <c r="N1735">
        <v>2400</v>
      </c>
    </row>
    <row r="1736" spans="1:14" x14ac:dyDescent="0.25">
      <c r="A1736">
        <v>1099.231994</v>
      </c>
      <c r="B1736" s="1">
        <f>DATE(2013,5,4) + TIME(5,34,4)</f>
        <v>41398.231990740744</v>
      </c>
      <c r="C1736">
        <v>80</v>
      </c>
      <c r="D1736">
        <v>79.941947936999995</v>
      </c>
      <c r="E1736">
        <v>50</v>
      </c>
      <c r="F1736">
        <v>49.720905303999999</v>
      </c>
      <c r="G1736">
        <v>1345.6224365</v>
      </c>
      <c r="H1736">
        <v>1341.3620605000001</v>
      </c>
      <c r="I1736">
        <v>1322.8244629000001</v>
      </c>
      <c r="J1736">
        <v>1319.1262207</v>
      </c>
      <c r="K1736">
        <v>2400</v>
      </c>
      <c r="L1736">
        <v>0</v>
      </c>
      <c r="M1736">
        <v>0</v>
      </c>
      <c r="N1736">
        <v>2400</v>
      </c>
    </row>
    <row r="1737" spans="1:14" x14ac:dyDescent="0.25">
      <c r="A1737">
        <v>1099.349776</v>
      </c>
      <c r="B1737" s="1">
        <f>DATE(2013,5,4) + TIME(8,23,40)</f>
        <v>41398.349768518521</v>
      </c>
      <c r="C1737">
        <v>80</v>
      </c>
      <c r="D1737">
        <v>79.947441100999995</v>
      </c>
      <c r="E1737">
        <v>50</v>
      </c>
      <c r="F1737">
        <v>49.713138579999999</v>
      </c>
      <c r="G1737">
        <v>1345.6181641000001</v>
      </c>
      <c r="H1737">
        <v>1341.3598632999999</v>
      </c>
      <c r="I1737">
        <v>1322.8238524999999</v>
      </c>
      <c r="J1737">
        <v>1319.1253661999999</v>
      </c>
      <c r="K1737">
        <v>2400</v>
      </c>
      <c r="L1737">
        <v>0</v>
      </c>
      <c r="M1737">
        <v>0</v>
      </c>
      <c r="N1737">
        <v>2400</v>
      </c>
    </row>
    <row r="1738" spans="1:14" x14ac:dyDescent="0.25">
      <c r="A1738">
        <v>1099.469975</v>
      </c>
      <c r="B1738" s="1">
        <f>DATE(2013,5,4) + TIME(11,16,45)</f>
        <v>41398.469965277778</v>
      </c>
      <c r="C1738">
        <v>80</v>
      </c>
      <c r="D1738">
        <v>79.951957703000005</v>
      </c>
      <c r="E1738">
        <v>50</v>
      </c>
      <c r="F1738">
        <v>49.705257416000002</v>
      </c>
      <c r="G1738">
        <v>1345.6132812000001</v>
      </c>
      <c r="H1738">
        <v>1341.3572998</v>
      </c>
      <c r="I1738">
        <v>1322.8232422000001</v>
      </c>
      <c r="J1738">
        <v>1319.1245117000001</v>
      </c>
      <c r="K1738">
        <v>2400</v>
      </c>
      <c r="L1738">
        <v>0</v>
      </c>
      <c r="M1738">
        <v>0</v>
      </c>
      <c r="N1738">
        <v>2400</v>
      </c>
    </row>
    <row r="1739" spans="1:14" x14ac:dyDescent="0.25">
      <c r="A1739">
        <v>1099.592815</v>
      </c>
      <c r="B1739" s="1">
        <f>DATE(2013,5,4) + TIME(14,13,39)</f>
        <v>41398.592812499999</v>
      </c>
      <c r="C1739">
        <v>80</v>
      </c>
      <c r="D1739">
        <v>79.955673218000001</v>
      </c>
      <c r="E1739">
        <v>50</v>
      </c>
      <c r="F1739">
        <v>49.697242737000003</v>
      </c>
      <c r="G1739">
        <v>1345.6079102000001</v>
      </c>
      <c r="H1739">
        <v>1341.3544922000001</v>
      </c>
      <c r="I1739">
        <v>1322.8225098</v>
      </c>
      <c r="J1739">
        <v>1319.1236572</v>
      </c>
      <c r="K1739">
        <v>2400</v>
      </c>
      <c r="L1739">
        <v>0</v>
      </c>
      <c r="M1739">
        <v>0</v>
      </c>
      <c r="N1739">
        <v>2400</v>
      </c>
    </row>
    <row r="1740" spans="1:14" x14ac:dyDescent="0.25">
      <c r="A1740">
        <v>1099.718525</v>
      </c>
      <c r="B1740" s="1">
        <f>DATE(2013,5,4) + TIME(17,14,40)</f>
        <v>41398.718518518515</v>
      </c>
      <c r="C1740">
        <v>80</v>
      </c>
      <c r="D1740">
        <v>79.958724975999999</v>
      </c>
      <c r="E1740">
        <v>50</v>
      </c>
      <c r="F1740">
        <v>49.689086914000001</v>
      </c>
      <c r="G1740">
        <v>1345.6019286999999</v>
      </c>
      <c r="H1740">
        <v>1341.3513184000001</v>
      </c>
      <c r="I1740">
        <v>1322.8218993999999</v>
      </c>
      <c r="J1740">
        <v>1319.1228027</v>
      </c>
      <c r="K1740">
        <v>2400</v>
      </c>
      <c r="L1740">
        <v>0</v>
      </c>
      <c r="M1740">
        <v>0</v>
      </c>
      <c r="N1740">
        <v>2400</v>
      </c>
    </row>
    <row r="1741" spans="1:14" x14ac:dyDescent="0.25">
      <c r="A1741">
        <v>1099.8473770000001</v>
      </c>
      <c r="B1741" s="1">
        <f>DATE(2013,5,4) + TIME(20,20,13)</f>
        <v>41398.847372685188</v>
      </c>
      <c r="C1741">
        <v>80</v>
      </c>
      <c r="D1741">
        <v>79.961219787999994</v>
      </c>
      <c r="E1741">
        <v>50</v>
      </c>
      <c r="F1741">
        <v>49.680770873999997</v>
      </c>
      <c r="G1741">
        <v>1345.5955810999999</v>
      </c>
      <c r="H1741">
        <v>1341.3477783000001</v>
      </c>
      <c r="I1741">
        <v>1322.8211670000001</v>
      </c>
      <c r="J1741">
        <v>1319.1218262</v>
      </c>
      <c r="K1741">
        <v>2400</v>
      </c>
      <c r="L1741">
        <v>0</v>
      </c>
      <c r="M1741">
        <v>0</v>
      </c>
      <c r="N1741">
        <v>2400</v>
      </c>
    </row>
    <row r="1742" spans="1:14" x14ac:dyDescent="0.25">
      <c r="A1742">
        <v>1099.979703</v>
      </c>
      <c r="B1742" s="1">
        <f>DATE(2013,5,4) + TIME(23,30,46)</f>
        <v>41398.979699074072</v>
      </c>
      <c r="C1742">
        <v>80</v>
      </c>
      <c r="D1742">
        <v>79.963256835999999</v>
      </c>
      <c r="E1742">
        <v>50</v>
      </c>
      <c r="F1742">
        <v>49.672283172999997</v>
      </c>
      <c r="G1742">
        <v>1345.5886230000001</v>
      </c>
      <c r="H1742">
        <v>1341.3439940999999</v>
      </c>
      <c r="I1742">
        <v>1322.8204346</v>
      </c>
      <c r="J1742">
        <v>1319.1209716999999</v>
      </c>
      <c r="K1742">
        <v>2400</v>
      </c>
      <c r="L1742">
        <v>0</v>
      </c>
      <c r="M1742">
        <v>0</v>
      </c>
      <c r="N1742">
        <v>2400</v>
      </c>
    </row>
    <row r="1743" spans="1:14" x14ac:dyDescent="0.25">
      <c r="A1743">
        <v>1100.1159090000001</v>
      </c>
      <c r="B1743" s="1">
        <f>DATE(2013,5,5) + TIME(2,46,54)</f>
        <v>41399.115902777776</v>
      </c>
      <c r="C1743">
        <v>80</v>
      </c>
      <c r="D1743">
        <v>79.964920043999996</v>
      </c>
      <c r="E1743">
        <v>50</v>
      </c>
      <c r="F1743">
        <v>49.663597107000001</v>
      </c>
      <c r="G1743">
        <v>1345.5812988</v>
      </c>
      <c r="H1743">
        <v>1341.3399658000001</v>
      </c>
      <c r="I1743">
        <v>1322.8197021000001</v>
      </c>
      <c r="J1743">
        <v>1319.1199951000001</v>
      </c>
      <c r="K1743">
        <v>2400</v>
      </c>
      <c r="L1743">
        <v>0</v>
      </c>
      <c r="M1743">
        <v>0</v>
      </c>
      <c r="N1743">
        <v>2400</v>
      </c>
    </row>
    <row r="1744" spans="1:14" x14ac:dyDescent="0.25">
      <c r="A1744">
        <v>1100.2563740000001</v>
      </c>
      <c r="B1744" s="1">
        <f>DATE(2013,5,5) + TIME(6,9,10)</f>
        <v>41399.256365740737</v>
      </c>
      <c r="C1744">
        <v>80</v>
      </c>
      <c r="D1744">
        <v>79.966270446999999</v>
      </c>
      <c r="E1744">
        <v>50</v>
      </c>
      <c r="F1744">
        <v>49.654693604000002</v>
      </c>
      <c r="G1744">
        <v>1345.5734863</v>
      </c>
      <c r="H1744">
        <v>1341.3355713000001</v>
      </c>
      <c r="I1744">
        <v>1322.8189697</v>
      </c>
      <c r="J1744">
        <v>1319.1190185999999</v>
      </c>
      <c r="K1744">
        <v>2400</v>
      </c>
      <c r="L1744">
        <v>0</v>
      </c>
      <c r="M1744">
        <v>0</v>
      </c>
      <c r="N1744">
        <v>2400</v>
      </c>
    </row>
    <row r="1745" spans="1:14" x14ac:dyDescent="0.25">
      <c r="A1745">
        <v>1100.401525</v>
      </c>
      <c r="B1745" s="1">
        <f>DATE(2013,5,5) + TIME(9,38,11)</f>
        <v>41399.401516203703</v>
      </c>
      <c r="C1745">
        <v>80</v>
      </c>
      <c r="D1745">
        <v>79.967369079999997</v>
      </c>
      <c r="E1745">
        <v>50</v>
      </c>
      <c r="F1745">
        <v>49.645553589000002</v>
      </c>
      <c r="G1745">
        <v>1345.5651855000001</v>
      </c>
      <c r="H1745">
        <v>1341.3309326000001</v>
      </c>
      <c r="I1745">
        <v>1322.8182373</v>
      </c>
      <c r="J1745">
        <v>1319.1180420000001</v>
      </c>
      <c r="K1745">
        <v>2400</v>
      </c>
      <c r="L1745">
        <v>0</v>
      </c>
      <c r="M1745">
        <v>0</v>
      </c>
      <c r="N1745">
        <v>2400</v>
      </c>
    </row>
    <row r="1746" spans="1:14" x14ac:dyDescent="0.25">
      <c r="A1746">
        <v>1100.551837</v>
      </c>
      <c r="B1746" s="1">
        <f>DATE(2013,5,5) + TIME(13,14,38)</f>
        <v>41399.551828703705</v>
      </c>
      <c r="C1746">
        <v>80</v>
      </c>
      <c r="D1746">
        <v>79.968254088999998</v>
      </c>
      <c r="E1746">
        <v>50</v>
      </c>
      <c r="F1746">
        <v>49.636146545000003</v>
      </c>
      <c r="G1746">
        <v>1345.5563964999999</v>
      </c>
      <c r="H1746">
        <v>1341.3261719</v>
      </c>
      <c r="I1746">
        <v>1322.8173827999999</v>
      </c>
      <c r="J1746">
        <v>1319.1169434000001</v>
      </c>
      <c r="K1746">
        <v>2400</v>
      </c>
      <c r="L1746">
        <v>0</v>
      </c>
      <c r="M1746">
        <v>0</v>
      </c>
      <c r="N1746">
        <v>2400</v>
      </c>
    </row>
    <row r="1747" spans="1:14" x14ac:dyDescent="0.25">
      <c r="A1747">
        <v>1100.7078489999999</v>
      </c>
      <c r="B1747" s="1">
        <f>DATE(2013,5,5) + TIME(16,59,18)</f>
        <v>41399.70784722222</v>
      </c>
      <c r="C1747">
        <v>80</v>
      </c>
      <c r="D1747">
        <v>79.968971252000003</v>
      </c>
      <c r="E1747">
        <v>50</v>
      </c>
      <c r="F1747">
        <v>49.626449585000003</v>
      </c>
      <c r="G1747">
        <v>1345.5472411999999</v>
      </c>
      <c r="H1747">
        <v>1341.3210449000001</v>
      </c>
      <c r="I1747">
        <v>1322.8165283000001</v>
      </c>
      <c r="J1747">
        <v>1319.1158447</v>
      </c>
      <c r="K1747">
        <v>2400</v>
      </c>
      <c r="L1747">
        <v>0</v>
      </c>
      <c r="M1747">
        <v>0</v>
      </c>
      <c r="N1747">
        <v>2400</v>
      </c>
    </row>
    <row r="1748" spans="1:14" x14ac:dyDescent="0.25">
      <c r="A1748">
        <v>1100.8684840000001</v>
      </c>
      <c r="B1748" s="1">
        <f>DATE(2013,5,5) + TIME(20,50,37)</f>
        <v>41399.868483796294</v>
      </c>
      <c r="C1748">
        <v>80</v>
      </c>
      <c r="D1748">
        <v>79.969535828000005</v>
      </c>
      <c r="E1748">
        <v>50</v>
      </c>
      <c r="F1748">
        <v>49.616516113000003</v>
      </c>
      <c r="G1748">
        <v>1345.5375977000001</v>
      </c>
      <c r="H1748">
        <v>1341.3156738</v>
      </c>
      <c r="I1748">
        <v>1322.8156738</v>
      </c>
      <c r="J1748">
        <v>1319.1147461</v>
      </c>
      <c r="K1748">
        <v>2400</v>
      </c>
      <c r="L1748">
        <v>0</v>
      </c>
      <c r="M1748">
        <v>0</v>
      </c>
      <c r="N1748">
        <v>2400</v>
      </c>
    </row>
    <row r="1749" spans="1:14" x14ac:dyDescent="0.25">
      <c r="A1749">
        <v>1101.0332370000001</v>
      </c>
      <c r="B1749" s="1">
        <f>DATE(2013,5,6) + TIME(0,47,51)</f>
        <v>41400.033229166664</v>
      </c>
      <c r="C1749">
        <v>80</v>
      </c>
      <c r="D1749">
        <v>79.969993591000005</v>
      </c>
      <c r="E1749">
        <v>50</v>
      </c>
      <c r="F1749">
        <v>49.606376648000001</v>
      </c>
      <c r="G1749">
        <v>1345.5277100000001</v>
      </c>
      <c r="H1749">
        <v>1341.3100586</v>
      </c>
      <c r="I1749">
        <v>1322.8146973</v>
      </c>
      <c r="J1749">
        <v>1319.1135254000001</v>
      </c>
      <c r="K1749">
        <v>2400</v>
      </c>
      <c r="L1749">
        <v>0</v>
      </c>
      <c r="M1749">
        <v>0</v>
      </c>
      <c r="N1749">
        <v>2400</v>
      </c>
    </row>
    <row r="1750" spans="1:14" x14ac:dyDescent="0.25">
      <c r="A1750">
        <v>1101.2024819999999</v>
      </c>
      <c r="B1750" s="1">
        <f>DATE(2013,5,6) + TIME(4,51,34)</f>
        <v>41400.202476851853</v>
      </c>
      <c r="C1750">
        <v>80</v>
      </c>
      <c r="D1750">
        <v>79.970344542999996</v>
      </c>
      <c r="E1750">
        <v>50</v>
      </c>
      <c r="F1750">
        <v>49.596012115000001</v>
      </c>
      <c r="G1750">
        <v>1345.5173339999999</v>
      </c>
      <c r="H1750">
        <v>1341.3043213000001</v>
      </c>
      <c r="I1750">
        <v>1322.8138428</v>
      </c>
      <c r="J1750">
        <v>1319.1123047000001</v>
      </c>
      <c r="K1750">
        <v>2400</v>
      </c>
      <c r="L1750">
        <v>0</v>
      </c>
      <c r="M1750">
        <v>0</v>
      </c>
      <c r="N1750">
        <v>2400</v>
      </c>
    </row>
    <row r="1751" spans="1:14" x14ac:dyDescent="0.25">
      <c r="A1751">
        <v>1101.376595</v>
      </c>
      <c r="B1751" s="1">
        <f>DATE(2013,5,6) + TIME(9,2,17)</f>
        <v>41400.376585648148</v>
      </c>
      <c r="C1751">
        <v>80</v>
      </c>
      <c r="D1751">
        <v>79.970626831000004</v>
      </c>
      <c r="E1751">
        <v>50</v>
      </c>
      <c r="F1751">
        <v>49.585407257</v>
      </c>
      <c r="G1751">
        <v>1345.5068358999999</v>
      </c>
      <c r="H1751">
        <v>1341.2984618999999</v>
      </c>
      <c r="I1751">
        <v>1322.8128661999999</v>
      </c>
      <c r="J1751">
        <v>1319.1110839999999</v>
      </c>
      <c r="K1751">
        <v>2400</v>
      </c>
      <c r="L1751">
        <v>0</v>
      </c>
      <c r="M1751">
        <v>0</v>
      </c>
      <c r="N1751">
        <v>2400</v>
      </c>
    </row>
    <row r="1752" spans="1:14" x14ac:dyDescent="0.25">
      <c r="A1752">
        <v>1101.555989</v>
      </c>
      <c r="B1752" s="1">
        <f>DATE(2013,5,6) + TIME(13,20,37)</f>
        <v>41400.555983796294</v>
      </c>
      <c r="C1752">
        <v>80</v>
      </c>
      <c r="D1752">
        <v>79.970848083000007</v>
      </c>
      <c r="E1752">
        <v>50</v>
      </c>
      <c r="F1752">
        <v>49.57453537</v>
      </c>
      <c r="G1752">
        <v>1345.4959716999999</v>
      </c>
      <c r="H1752">
        <v>1341.2924805</v>
      </c>
      <c r="I1752">
        <v>1322.8117675999999</v>
      </c>
      <c r="J1752">
        <v>1319.1098632999999</v>
      </c>
      <c r="K1752">
        <v>2400</v>
      </c>
      <c r="L1752">
        <v>0</v>
      </c>
      <c r="M1752">
        <v>0</v>
      </c>
      <c r="N1752">
        <v>2400</v>
      </c>
    </row>
    <row r="1753" spans="1:14" x14ac:dyDescent="0.25">
      <c r="A1753">
        <v>1101.741338</v>
      </c>
      <c r="B1753" s="1">
        <f>DATE(2013,5,6) + TIME(17,47,31)</f>
        <v>41400.741331018522</v>
      </c>
      <c r="C1753">
        <v>80</v>
      </c>
      <c r="D1753">
        <v>79.971023560000006</v>
      </c>
      <c r="E1753">
        <v>50</v>
      </c>
      <c r="F1753">
        <v>49.563373566000003</v>
      </c>
      <c r="G1753">
        <v>1345.4847411999999</v>
      </c>
      <c r="H1753">
        <v>1341.2862548999999</v>
      </c>
      <c r="I1753">
        <v>1322.8107910000001</v>
      </c>
      <c r="J1753">
        <v>1319.1085204999999</v>
      </c>
      <c r="K1753">
        <v>2400</v>
      </c>
      <c r="L1753">
        <v>0</v>
      </c>
      <c r="M1753">
        <v>0</v>
      </c>
      <c r="N1753">
        <v>2400</v>
      </c>
    </row>
    <row r="1754" spans="1:14" x14ac:dyDescent="0.25">
      <c r="A1754">
        <v>1101.9332489999999</v>
      </c>
      <c r="B1754" s="1">
        <f>DATE(2013,5,6) + TIME(22,23,52)</f>
        <v>41400.933240740742</v>
      </c>
      <c r="C1754">
        <v>80</v>
      </c>
      <c r="D1754">
        <v>79.971160889000004</v>
      </c>
      <c r="E1754">
        <v>50</v>
      </c>
      <c r="F1754">
        <v>49.551887512</v>
      </c>
      <c r="G1754">
        <v>1345.4732666</v>
      </c>
      <c r="H1754">
        <v>1341.2800293</v>
      </c>
      <c r="I1754">
        <v>1322.8096923999999</v>
      </c>
      <c r="J1754">
        <v>1319.1071777</v>
      </c>
      <c r="K1754">
        <v>2400</v>
      </c>
      <c r="L1754">
        <v>0</v>
      </c>
      <c r="M1754">
        <v>0</v>
      </c>
      <c r="N1754">
        <v>2400</v>
      </c>
    </row>
    <row r="1755" spans="1:14" x14ac:dyDescent="0.25">
      <c r="A1755">
        <v>1102.130306</v>
      </c>
      <c r="B1755" s="1">
        <f>DATE(2013,5,7) + TIME(3,7,38)</f>
        <v>41401.130300925928</v>
      </c>
      <c r="C1755">
        <v>80</v>
      </c>
      <c r="D1755">
        <v>79.971260071000003</v>
      </c>
      <c r="E1755">
        <v>50</v>
      </c>
      <c r="F1755">
        <v>49.540149689000003</v>
      </c>
      <c r="G1755">
        <v>1345.4615478999999</v>
      </c>
      <c r="H1755">
        <v>1341.2734375</v>
      </c>
      <c r="I1755">
        <v>1322.8085937999999</v>
      </c>
      <c r="J1755">
        <v>1319.1057129000001</v>
      </c>
      <c r="K1755">
        <v>2400</v>
      </c>
      <c r="L1755">
        <v>0</v>
      </c>
      <c r="M1755">
        <v>0</v>
      </c>
      <c r="N1755">
        <v>2400</v>
      </c>
    </row>
    <row r="1756" spans="1:14" x14ac:dyDescent="0.25">
      <c r="A1756">
        <v>1102.3307179999999</v>
      </c>
      <c r="B1756" s="1">
        <f>DATE(2013,5,7) + TIME(7,56,13)</f>
        <v>41401.330706018518</v>
      </c>
      <c r="C1756">
        <v>80</v>
      </c>
      <c r="D1756">
        <v>79.971343993999994</v>
      </c>
      <c r="E1756">
        <v>50</v>
      </c>
      <c r="F1756">
        <v>49.528247833000002</v>
      </c>
      <c r="G1756">
        <v>1345.4494629000001</v>
      </c>
      <c r="H1756">
        <v>1341.2668457</v>
      </c>
      <c r="I1756">
        <v>1322.8074951000001</v>
      </c>
      <c r="J1756">
        <v>1319.1042480000001</v>
      </c>
      <c r="K1756">
        <v>2400</v>
      </c>
      <c r="L1756">
        <v>0</v>
      </c>
      <c r="M1756">
        <v>0</v>
      </c>
      <c r="N1756">
        <v>2400</v>
      </c>
    </row>
    <row r="1757" spans="1:14" x14ac:dyDescent="0.25">
      <c r="A1757">
        <v>1102.5350860000001</v>
      </c>
      <c r="B1757" s="1">
        <f>DATE(2013,5,7) + TIME(12,50,31)</f>
        <v>41401.535081018519</v>
      </c>
      <c r="C1757">
        <v>80</v>
      </c>
      <c r="D1757">
        <v>79.971397400000001</v>
      </c>
      <c r="E1757">
        <v>50</v>
      </c>
      <c r="F1757">
        <v>49.516155243</v>
      </c>
      <c r="G1757">
        <v>1345.4375</v>
      </c>
      <c r="H1757">
        <v>1341.2602539</v>
      </c>
      <c r="I1757">
        <v>1322.8062743999999</v>
      </c>
      <c r="J1757">
        <v>1319.1027832</v>
      </c>
      <c r="K1757">
        <v>2400</v>
      </c>
      <c r="L1757">
        <v>0</v>
      </c>
      <c r="M1757">
        <v>0</v>
      </c>
      <c r="N1757">
        <v>2400</v>
      </c>
    </row>
    <row r="1758" spans="1:14" x14ac:dyDescent="0.25">
      <c r="A1758">
        <v>1102.744023</v>
      </c>
      <c r="B1758" s="1">
        <f>DATE(2013,5,7) + TIME(17,51,23)</f>
        <v>41401.744016203702</v>
      </c>
      <c r="C1758">
        <v>80</v>
      </c>
      <c r="D1758">
        <v>79.971435546999999</v>
      </c>
      <c r="E1758">
        <v>50</v>
      </c>
      <c r="F1758">
        <v>49.503852844000001</v>
      </c>
      <c r="G1758">
        <v>1345.425293</v>
      </c>
      <c r="H1758">
        <v>1341.2536620999999</v>
      </c>
      <c r="I1758">
        <v>1322.8050536999999</v>
      </c>
      <c r="J1758">
        <v>1319.1013184000001</v>
      </c>
      <c r="K1758">
        <v>2400</v>
      </c>
      <c r="L1758">
        <v>0</v>
      </c>
      <c r="M1758">
        <v>0</v>
      </c>
      <c r="N1758">
        <v>2400</v>
      </c>
    </row>
    <row r="1759" spans="1:14" x14ac:dyDescent="0.25">
      <c r="A1759">
        <v>1102.9562289999999</v>
      </c>
      <c r="B1759" s="1">
        <f>DATE(2013,5,7) + TIME(22,56,58)</f>
        <v>41401.956226851849</v>
      </c>
      <c r="C1759">
        <v>80</v>
      </c>
      <c r="D1759">
        <v>79.971466063999998</v>
      </c>
      <c r="E1759">
        <v>50</v>
      </c>
      <c r="F1759">
        <v>49.491397857999999</v>
      </c>
      <c r="G1759">
        <v>1345.4129639</v>
      </c>
      <c r="H1759">
        <v>1341.2469481999999</v>
      </c>
      <c r="I1759">
        <v>1322.8038329999999</v>
      </c>
      <c r="J1759">
        <v>1319.0997314000001</v>
      </c>
      <c r="K1759">
        <v>2400</v>
      </c>
      <c r="L1759">
        <v>0</v>
      </c>
      <c r="M1759">
        <v>0</v>
      </c>
      <c r="N1759">
        <v>2400</v>
      </c>
    </row>
    <row r="1760" spans="1:14" x14ac:dyDescent="0.25">
      <c r="A1760">
        <v>1103.169965</v>
      </c>
      <c r="B1760" s="1">
        <f>DATE(2013,5,8) + TIME(4,4,44)</f>
        <v>41402.169953703706</v>
      </c>
      <c r="C1760">
        <v>80</v>
      </c>
      <c r="D1760">
        <v>79.971481323000006</v>
      </c>
      <c r="E1760">
        <v>50</v>
      </c>
      <c r="F1760">
        <v>49.478881835999999</v>
      </c>
      <c r="G1760">
        <v>1345.4007568</v>
      </c>
      <c r="H1760">
        <v>1341.2402344</v>
      </c>
      <c r="I1760">
        <v>1322.8026123</v>
      </c>
      <c r="J1760">
        <v>1319.0981445</v>
      </c>
      <c r="K1760">
        <v>2400</v>
      </c>
      <c r="L1760">
        <v>0</v>
      </c>
      <c r="M1760">
        <v>0</v>
      </c>
      <c r="N1760">
        <v>2400</v>
      </c>
    </row>
    <row r="1761" spans="1:14" x14ac:dyDescent="0.25">
      <c r="A1761">
        <v>1103.3856679999999</v>
      </c>
      <c r="B1761" s="1">
        <f>DATE(2013,5,8) + TIME(9,15,21)</f>
        <v>41402.385659722226</v>
      </c>
      <c r="C1761">
        <v>80</v>
      </c>
      <c r="D1761">
        <v>79.971488953000005</v>
      </c>
      <c r="E1761">
        <v>50</v>
      </c>
      <c r="F1761">
        <v>49.466289519999997</v>
      </c>
      <c r="G1761">
        <v>1345.3885498</v>
      </c>
      <c r="H1761">
        <v>1341.2336425999999</v>
      </c>
      <c r="I1761">
        <v>1322.8013916</v>
      </c>
      <c r="J1761">
        <v>1319.0965576000001</v>
      </c>
      <c r="K1761">
        <v>2400</v>
      </c>
      <c r="L1761">
        <v>0</v>
      </c>
      <c r="M1761">
        <v>0</v>
      </c>
      <c r="N1761">
        <v>2400</v>
      </c>
    </row>
    <row r="1762" spans="1:14" x14ac:dyDescent="0.25">
      <c r="A1762">
        <v>1103.6037670000001</v>
      </c>
      <c r="B1762" s="1">
        <f>DATE(2013,5,8) + TIME(14,29,25)</f>
        <v>41402.603761574072</v>
      </c>
      <c r="C1762">
        <v>80</v>
      </c>
      <c r="D1762">
        <v>79.971488953000005</v>
      </c>
      <c r="E1762">
        <v>50</v>
      </c>
      <c r="F1762">
        <v>49.453605652</v>
      </c>
      <c r="G1762">
        <v>1345.3763428</v>
      </c>
      <c r="H1762">
        <v>1341.2270507999999</v>
      </c>
      <c r="I1762">
        <v>1322.8000488</v>
      </c>
      <c r="J1762">
        <v>1319.0949707</v>
      </c>
      <c r="K1762">
        <v>2400</v>
      </c>
      <c r="L1762">
        <v>0</v>
      </c>
      <c r="M1762">
        <v>0</v>
      </c>
      <c r="N1762">
        <v>2400</v>
      </c>
    </row>
    <row r="1763" spans="1:14" x14ac:dyDescent="0.25">
      <c r="A1763">
        <v>1103.8247839999999</v>
      </c>
      <c r="B1763" s="1">
        <f>DATE(2013,5,8) + TIME(19,47,41)</f>
        <v>41402.824780092589</v>
      </c>
      <c r="C1763">
        <v>80</v>
      </c>
      <c r="D1763">
        <v>79.971481323000006</v>
      </c>
      <c r="E1763">
        <v>50</v>
      </c>
      <c r="F1763">
        <v>49.440807343000003</v>
      </c>
      <c r="G1763">
        <v>1345.3642577999999</v>
      </c>
      <c r="H1763">
        <v>1341.2205810999999</v>
      </c>
      <c r="I1763">
        <v>1322.7988281</v>
      </c>
      <c r="J1763">
        <v>1319.0932617000001</v>
      </c>
      <c r="K1763">
        <v>2400</v>
      </c>
      <c r="L1763">
        <v>0</v>
      </c>
      <c r="M1763">
        <v>0</v>
      </c>
      <c r="N1763">
        <v>2400</v>
      </c>
    </row>
    <row r="1764" spans="1:14" x14ac:dyDescent="0.25">
      <c r="A1764">
        <v>1104.0491010000001</v>
      </c>
      <c r="B1764" s="1">
        <f>DATE(2013,5,9) + TIME(1,10,42)</f>
        <v>41403.049097222225</v>
      </c>
      <c r="C1764">
        <v>80</v>
      </c>
      <c r="D1764">
        <v>79.971473693999997</v>
      </c>
      <c r="E1764">
        <v>50</v>
      </c>
      <c r="F1764">
        <v>49.427886962999999</v>
      </c>
      <c r="G1764">
        <v>1345.3521728999999</v>
      </c>
      <c r="H1764">
        <v>1341.2141113</v>
      </c>
      <c r="I1764">
        <v>1322.7974853999999</v>
      </c>
      <c r="J1764">
        <v>1319.0915527</v>
      </c>
      <c r="K1764">
        <v>2400</v>
      </c>
      <c r="L1764">
        <v>0</v>
      </c>
      <c r="M1764">
        <v>0</v>
      </c>
      <c r="N1764">
        <v>2400</v>
      </c>
    </row>
    <row r="1765" spans="1:14" x14ac:dyDescent="0.25">
      <c r="A1765">
        <v>1104.277178</v>
      </c>
      <c r="B1765" s="1">
        <f>DATE(2013,5,9) + TIME(6,39,8)</f>
        <v>41403.277175925927</v>
      </c>
      <c r="C1765">
        <v>80</v>
      </c>
      <c r="D1765">
        <v>79.971458435000002</v>
      </c>
      <c r="E1765">
        <v>50</v>
      </c>
      <c r="F1765">
        <v>49.414817810000002</v>
      </c>
      <c r="G1765">
        <v>1345.3402100000001</v>
      </c>
      <c r="H1765">
        <v>1341.2076416</v>
      </c>
      <c r="I1765">
        <v>1322.7961425999999</v>
      </c>
      <c r="J1765">
        <v>1319.0898437999999</v>
      </c>
      <c r="K1765">
        <v>2400</v>
      </c>
      <c r="L1765">
        <v>0</v>
      </c>
      <c r="M1765">
        <v>0</v>
      </c>
      <c r="N1765">
        <v>2400</v>
      </c>
    </row>
    <row r="1766" spans="1:14" x14ac:dyDescent="0.25">
      <c r="A1766">
        <v>1104.5098109999999</v>
      </c>
      <c r="B1766" s="1">
        <f>DATE(2013,5,9) + TIME(12,14,7)</f>
        <v>41403.50980324074</v>
      </c>
      <c r="C1766">
        <v>80</v>
      </c>
      <c r="D1766">
        <v>79.971443175999994</v>
      </c>
      <c r="E1766">
        <v>50</v>
      </c>
      <c r="F1766">
        <v>49.401565552000001</v>
      </c>
      <c r="G1766">
        <v>1345.328125</v>
      </c>
      <c r="H1766">
        <v>1341.2012939000001</v>
      </c>
      <c r="I1766">
        <v>1322.7946777</v>
      </c>
      <c r="J1766">
        <v>1319.0881348</v>
      </c>
      <c r="K1766">
        <v>2400</v>
      </c>
      <c r="L1766">
        <v>0</v>
      </c>
      <c r="M1766">
        <v>0</v>
      </c>
      <c r="N1766">
        <v>2400</v>
      </c>
    </row>
    <row r="1767" spans="1:14" x14ac:dyDescent="0.25">
      <c r="A1767">
        <v>1104.7477100000001</v>
      </c>
      <c r="B1767" s="1">
        <f>DATE(2013,5,9) + TIME(17,56,42)</f>
        <v>41403.747708333336</v>
      </c>
      <c r="C1767">
        <v>80</v>
      </c>
      <c r="D1767">
        <v>79.971420288000004</v>
      </c>
      <c r="E1767">
        <v>50</v>
      </c>
      <c r="F1767">
        <v>49.388099670000003</v>
      </c>
      <c r="G1767">
        <v>1345.3160399999999</v>
      </c>
      <c r="H1767">
        <v>1341.1948242000001</v>
      </c>
      <c r="I1767">
        <v>1322.7933350000001</v>
      </c>
      <c r="J1767">
        <v>1319.0863036999999</v>
      </c>
      <c r="K1767">
        <v>2400</v>
      </c>
      <c r="L1767">
        <v>0</v>
      </c>
      <c r="M1767">
        <v>0</v>
      </c>
      <c r="N1767">
        <v>2400</v>
      </c>
    </row>
    <row r="1768" spans="1:14" x14ac:dyDescent="0.25">
      <c r="A1768">
        <v>1104.9915149999999</v>
      </c>
      <c r="B1768" s="1">
        <f>DATE(2013,5,9) + TIME(23,47,46)</f>
        <v>41403.99150462963</v>
      </c>
      <c r="C1768">
        <v>80</v>
      </c>
      <c r="D1768">
        <v>79.971397400000001</v>
      </c>
      <c r="E1768">
        <v>50</v>
      </c>
      <c r="F1768">
        <v>49.374393462999997</v>
      </c>
      <c r="G1768">
        <v>1345.3039550999999</v>
      </c>
      <c r="H1768">
        <v>1341.1883545000001</v>
      </c>
      <c r="I1768">
        <v>1322.7918701000001</v>
      </c>
      <c r="J1768">
        <v>1319.0844727000001</v>
      </c>
      <c r="K1768">
        <v>2400</v>
      </c>
      <c r="L1768">
        <v>0</v>
      </c>
      <c r="M1768">
        <v>0</v>
      </c>
      <c r="N1768">
        <v>2400</v>
      </c>
    </row>
    <row r="1769" spans="1:14" x14ac:dyDescent="0.25">
      <c r="A1769">
        <v>1105.2419319999999</v>
      </c>
      <c r="B1769" s="1">
        <f>DATE(2013,5,10) + TIME(5,48,22)</f>
        <v>41404.2419212963</v>
      </c>
      <c r="C1769">
        <v>80</v>
      </c>
      <c r="D1769">
        <v>79.971374511999997</v>
      </c>
      <c r="E1769">
        <v>50</v>
      </c>
      <c r="F1769">
        <v>49.360412598000003</v>
      </c>
      <c r="G1769">
        <v>1345.291626</v>
      </c>
      <c r="H1769">
        <v>1341.1818848</v>
      </c>
      <c r="I1769">
        <v>1322.7904053</v>
      </c>
      <c r="J1769">
        <v>1319.0826416</v>
      </c>
      <c r="K1769">
        <v>2400</v>
      </c>
      <c r="L1769">
        <v>0</v>
      </c>
      <c r="M1769">
        <v>0</v>
      </c>
      <c r="N1769">
        <v>2400</v>
      </c>
    </row>
    <row r="1770" spans="1:14" x14ac:dyDescent="0.25">
      <c r="A1770">
        <v>1105.49974</v>
      </c>
      <c r="B1770" s="1">
        <f>DATE(2013,5,10) + TIME(11,59,37)</f>
        <v>41404.4997337963</v>
      </c>
      <c r="C1770">
        <v>80</v>
      </c>
      <c r="D1770">
        <v>79.971343993999994</v>
      </c>
      <c r="E1770">
        <v>50</v>
      </c>
      <c r="F1770">
        <v>49.346118926999999</v>
      </c>
      <c r="G1770">
        <v>1345.2792969</v>
      </c>
      <c r="H1770">
        <v>1341.1754149999999</v>
      </c>
      <c r="I1770">
        <v>1322.7888184000001</v>
      </c>
      <c r="J1770">
        <v>1319.0806885</v>
      </c>
      <c r="K1770">
        <v>2400</v>
      </c>
      <c r="L1770">
        <v>0</v>
      </c>
      <c r="M1770">
        <v>0</v>
      </c>
      <c r="N1770">
        <v>2400</v>
      </c>
    </row>
    <row r="1771" spans="1:14" x14ac:dyDescent="0.25">
      <c r="A1771">
        <v>1105.7635499999999</v>
      </c>
      <c r="B1771" s="1">
        <f>DATE(2013,5,10) + TIME(18,19,30)</f>
        <v>41404.763541666667</v>
      </c>
      <c r="C1771">
        <v>80</v>
      </c>
      <c r="D1771">
        <v>79.971321106000005</v>
      </c>
      <c r="E1771">
        <v>50</v>
      </c>
      <c r="F1771">
        <v>49.331573486000003</v>
      </c>
      <c r="G1771">
        <v>1345.2668457</v>
      </c>
      <c r="H1771">
        <v>1341.1688231999999</v>
      </c>
      <c r="I1771">
        <v>1322.7872314000001</v>
      </c>
      <c r="J1771">
        <v>1319.0786132999999</v>
      </c>
      <c r="K1771">
        <v>2400</v>
      </c>
      <c r="L1771">
        <v>0</v>
      </c>
      <c r="M1771">
        <v>0</v>
      </c>
      <c r="N1771">
        <v>2400</v>
      </c>
    </row>
    <row r="1772" spans="1:14" x14ac:dyDescent="0.25">
      <c r="A1772">
        <v>1106.031835</v>
      </c>
      <c r="B1772" s="1">
        <f>DATE(2013,5,11) + TIME(0,45,50)</f>
        <v>41405.031828703701</v>
      </c>
      <c r="C1772">
        <v>80</v>
      </c>
      <c r="D1772">
        <v>79.971290588000002</v>
      </c>
      <c r="E1772">
        <v>50</v>
      </c>
      <c r="F1772">
        <v>49.316837311</v>
      </c>
      <c r="G1772">
        <v>1345.2542725000001</v>
      </c>
      <c r="H1772">
        <v>1341.1622314000001</v>
      </c>
      <c r="I1772">
        <v>1322.7856445</v>
      </c>
      <c r="J1772">
        <v>1319.0765381000001</v>
      </c>
      <c r="K1772">
        <v>2400</v>
      </c>
      <c r="L1772">
        <v>0</v>
      </c>
      <c r="M1772">
        <v>0</v>
      </c>
      <c r="N1772">
        <v>2400</v>
      </c>
    </row>
    <row r="1773" spans="1:14" x14ac:dyDescent="0.25">
      <c r="A1773">
        <v>1106.3046810000001</v>
      </c>
      <c r="B1773" s="1">
        <f>DATE(2013,5,11) + TIME(7,18,44)</f>
        <v>41405.304675925923</v>
      </c>
      <c r="C1773">
        <v>80</v>
      </c>
      <c r="D1773">
        <v>79.971252441000004</v>
      </c>
      <c r="E1773">
        <v>50</v>
      </c>
      <c r="F1773">
        <v>49.301918030000003</v>
      </c>
      <c r="G1773">
        <v>1345.2416992000001</v>
      </c>
      <c r="H1773">
        <v>1341.1556396000001</v>
      </c>
      <c r="I1773">
        <v>1322.7839355000001</v>
      </c>
      <c r="J1773">
        <v>1319.0744629000001</v>
      </c>
      <c r="K1773">
        <v>2400</v>
      </c>
      <c r="L1773">
        <v>0</v>
      </c>
      <c r="M1773">
        <v>0</v>
      </c>
      <c r="N1773">
        <v>2400</v>
      </c>
    </row>
    <row r="1774" spans="1:14" x14ac:dyDescent="0.25">
      <c r="A1774">
        <v>1106.5814869999999</v>
      </c>
      <c r="B1774" s="1">
        <f>DATE(2013,5,11) + TIME(13,57,20)</f>
        <v>41405.58148148148</v>
      </c>
      <c r="C1774">
        <v>80</v>
      </c>
      <c r="D1774">
        <v>79.971221924000005</v>
      </c>
      <c r="E1774">
        <v>50</v>
      </c>
      <c r="F1774">
        <v>49.286846161</v>
      </c>
      <c r="G1774">
        <v>1345.2292480000001</v>
      </c>
      <c r="H1774">
        <v>1341.1491699000001</v>
      </c>
      <c r="I1774">
        <v>1322.7822266000001</v>
      </c>
      <c r="J1774">
        <v>1319.0722656</v>
      </c>
      <c r="K1774">
        <v>2400</v>
      </c>
      <c r="L1774">
        <v>0</v>
      </c>
      <c r="M1774">
        <v>0</v>
      </c>
      <c r="N1774">
        <v>2400</v>
      </c>
    </row>
    <row r="1775" spans="1:14" x14ac:dyDescent="0.25">
      <c r="A1775">
        <v>1106.8628200000001</v>
      </c>
      <c r="B1775" s="1">
        <f>DATE(2013,5,11) + TIME(20,42,27)</f>
        <v>41405.862812500003</v>
      </c>
      <c r="C1775">
        <v>80</v>
      </c>
      <c r="D1775">
        <v>79.971191406000003</v>
      </c>
      <c r="E1775">
        <v>50</v>
      </c>
      <c r="F1775">
        <v>49.271595001000001</v>
      </c>
      <c r="G1775">
        <v>1345.2167969</v>
      </c>
      <c r="H1775">
        <v>1341.1427002</v>
      </c>
      <c r="I1775">
        <v>1322.7805175999999</v>
      </c>
      <c r="J1775">
        <v>1319.0700684000001</v>
      </c>
      <c r="K1775">
        <v>2400</v>
      </c>
      <c r="L1775">
        <v>0</v>
      </c>
      <c r="M1775">
        <v>0</v>
      </c>
      <c r="N1775">
        <v>2400</v>
      </c>
    </row>
    <row r="1776" spans="1:14" x14ac:dyDescent="0.25">
      <c r="A1776">
        <v>1107.1491309999999</v>
      </c>
      <c r="B1776" s="1">
        <f>DATE(2013,5,12) + TIME(3,34,44)</f>
        <v>41406.14912037037</v>
      </c>
      <c r="C1776">
        <v>80</v>
      </c>
      <c r="D1776">
        <v>79.971153259000005</v>
      </c>
      <c r="E1776">
        <v>50</v>
      </c>
      <c r="F1776">
        <v>49.256160735999998</v>
      </c>
      <c r="G1776">
        <v>1345.2043457</v>
      </c>
      <c r="H1776">
        <v>1341.1362305</v>
      </c>
      <c r="I1776">
        <v>1322.7786865</v>
      </c>
      <c r="J1776">
        <v>1319.067749</v>
      </c>
      <c r="K1776">
        <v>2400</v>
      </c>
      <c r="L1776">
        <v>0</v>
      </c>
      <c r="M1776">
        <v>0</v>
      </c>
      <c r="N1776">
        <v>2400</v>
      </c>
    </row>
    <row r="1777" spans="1:14" x14ac:dyDescent="0.25">
      <c r="A1777">
        <v>1107.4410009999999</v>
      </c>
      <c r="B1777" s="1">
        <f>DATE(2013,5,12) + TIME(10,35,2)</f>
        <v>41406.440995370373</v>
      </c>
      <c r="C1777">
        <v>80</v>
      </c>
      <c r="D1777">
        <v>79.971122742000006</v>
      </c>
      <c r="E1777">
        <v>50</v>
      </c>
      <c r="F1777">
        <v>49.240516663000001</v>
      </c>
      <c r="G1777">
        <v>1345.1920166</v>
      </c>
      <c r="H1777">
        <v>1341.1298827999999</v>
      </c>
      <c r="I1777">
        <v>1322.7769774999999</v>
      </c>
      <c r="J1777">
        <v>1319.0654297000001</v>
      </c>
      <c r="K1777">
        <v>2400</v>
      </c>
      <c r="L1777">
        <v>0</v>
      </c>
      <c r="M1777">
        <v>0</v>
      </c>
      <c r="N1777">
        <v>2400</v>
      </c>
    </row>
    <row r="1778" spans="1:14" x14ac:dyDescent="0.25">
      <c r="A1778">
        <v>1107.739274</v>
      </c>
      <c r="B1778" s="1">
        <f>DATE(2013,5,12) + TIME(17,44,33)</f>
        <v>41406.739270833335</v>
      </c>
      <c r="C1778">
        <v>80</v>
      </c>
      <c r="D1778">
        <v>79.971084594999994</v>
      </c>
      <c r="E1778">
        <v>50</v>
      </c>
      <c r="F1778">
        <v>49.224628447999997</v>
      </c>
      <c r="G1778">
        <v>1345.1795654</v>
      </c>
      <c r="H1778">
        <v>1341.1234131000001</v>
      </c>
      <c r="I1778">
        <v>1322.7750243999999</v>
      </c>
      <c r="J1778">
        <v>1319.0631103999999</v>
      </c>
      <c r="K1778">
        <v>2400</v>
      </c>
      <c r="L1778">
        <v>0</v>
      </c>
      <c r="M1778">
        <v>0</v>
      </c>
      <c r="N1778">
        <v>2400</v>
      </c>
    </row>
    <row r="1779" spans="1:14" x14ac:dyDescent="0.25">
      <c r="A1779">
        <v>1108.045267</v>
      </c>
      <c r="B1779" s="1">
        <f>DATE(2013,5,13) + TIME(1,5,11)</f>
        <v>41407.045266203706</v>
      </c>
      <c r="C1779">
        <v>80</v>
      </c>
      <c r="D1779">
        <v>79.971046447999996</v>
      </c>
      <c r="E1779">
        <v>50</v>
      </c>
      <c r="F1779">
        <v>49.208450317</v>
      </c>
      <c r="G1779">
        <v>1345.1671143000001</v>
      </c>
      <c r="H1779">
        <v>1341.1170654</v>
      </c>
      <c r="I1779">
        <v>1322.7731934000001</v>
      </c>
      <c r="J1779">
        <v>1319.0605469</v>
      </c>
      <c r="K1779">
        <v>2400</v>
      </c>
      <c r="L1779">
        <v>0</v>
      </c>
      <c r="M1779">
        <v>0</v>
      </c>
      <c r="N1779">
        <v>2400</v>
      </c>
    </row>
    <row r="1780" spans="1:14" x14ac:dyDescent="0.25">
      <c r="A1780">
        <v>1108.3598569999999</v>
      </c>
      <c r="B1780" s="1">
        <f>DATE(2013,5,13) + TIME(8,38,11)</f>
        <v>41407.359849537039</v>
      </c>
      <c r="C1780">
        <v>80</v>
      </c>
      <c r="D1780">
        <v>79.971008300999998</v>
      </c>
      <c r="E1780">
        <v>50</v>
      </c>
      <c r="F1780">
        <v>49.191940308</v>
      </c>
      <c r="G1780">
        <v>1345.1545410000001</v>
      </c>
      <c r="H1780">
        <v>1341.1105957</v>
      </c>
      <c r="I1780">
        <v>1322.7711182</v>
      </c>
      <c r="J1780">
        <v>1319.0581055</v>
      </c>
      <c r="K1780">
        <v>2400</v>
      </c>
      <c r="L1780">
        <v>0</v>
      </c>
      <c r="M1780">
        <v>0</v>
      </c>
      <c r="N1780">
        <v>2400</v>
      </c>
    </row>
    <row r="1781" spans="1:14" x14ac:dyDescent="0.25">
      <c r="A1781">
        <v>1108.6840420000001</v>
      </c>
      <c r="B1781" s="1">
        <f>DATE(2013,5,13) + TIME(16,25,1)</f>
        <v>41407.684039351851</v>
      </c>
      <c r="C1781">
        <v>80</v>
      </c>
      <c r="D1781">
        <v>79.970970154</v>
      </c>
      <c r="E1781">
        <v>50</v>
      </c>
      <c r="F1781">
        <v>49.175056458</v>
      </c>
      <c r="G1781">
        <v>1345.1419678</v>
      </c>
      <c r="H1781">
        <v>1341.1042480000001</v>
      </c>
      <c r="I1781">
        <v>1322.7691649999999</v>
      </c>
      <c r="J1781">
        <v>1319.0554199000001</v>
      </c>
      <c r="K1781">
        <v>2400</v>
      </c>
      <c r="L1781">
        <v>0</v>
      </c>
      <c r="M1781">
        <v>0</v>
      </c>
      <c r="N1781">
        <v>2400</v>
      </c>
    </row>
    <row r="1782" spans="1:14" x14ac:dyDescent="0.25">
      <c r="A1782">
        <v>1109.0160699999999</v>
      </c>
      <c r="B1782" s="1">
        <f>DATE(2013,5,14) + TIME(0,23,8)</f>
        <v>41408.016064814816</v>
      </c>
      <c r="C1782">
        <v>80</v>
      </c>
      <c r="D1782">
        <v>79.970932007000002</v>
      </c>
      <c r="E1782">
        <v>50</v>
      </c>
      <c r="F1782">
        <v>49.157863616999997</v>
      </c>
      <c r="G1782">
        <v>1345.1291504000001</v>
      </c>
      <c r="H1782">
        <v>1341.0976562000001</v>
      </c>
      <c r="I1782">
        <v>1322.7669678</v>
      </c>
      <c r="J1782">
        <v>1319.0527344</v>
      </c>
      <c r="K1782">
        <v>2400</v>
      </c>
      <c r="L1782">
        <v>0</v>
      </c>
      <c r="M1782">
        <v>0</v>
      </c>
      <c r="N1782">
        <v>2400</v>
      </c>
    </row>
    <row r="1783" spans="1:14" x14ac:dyDescent="0.25">
      <c r="A1783">
        <v>1109.3506809999999</v>
      </c>
      <c r="B1783" s="1">
        <f>DATE(2013,5,14) + TIME(8,24,58)</f>
        <v>41408.350671296299</v>
      </c>
      <c r="C1783">
        <v>80</v>
      </c>
      <c r="D1783">
        <v>79.970893860000004</v>
      </c>
      <c r="E1783">
        <v>50</v>
      </c>
      <c r="F1783">
        <v>49.140560149999999</v>
      </c>
      <c r="G1783">
        <v>1345.1163329999999</v>
      </c>
      <c r="H1783">
        <v>1341.0911865</v>
      </c>
      <c r="I1783">
        <v>1322.7647704999999</v>
      </c>
      <c r="J1783">
        <v>1319.0499268000001</v>
      </c>
      <c r="K1783">
        <v>2400</v>
      </c>
      <c r="L1783">
        <v>0</v>
      </c>
      <c r="M1783">
        <v>0</v>
      </c>
      <c r="N1783">
        <v>2400</v>
      </c>
    </row>
    <row r="1784" spans="1:14" x14ac:dyDescent="0.25">
      <c r="A1784">
        <v>1109.689423</v>
      </c>
      <c r="B1784" s="1">
        <f>DATE(2013,5,14) + TIME(16,32,46)</f>
        <v>41408.689421296294</v>
      </c>
      <c r="C1784">
        <v>80</v>
      </c>
      <c r="D1784">
        <v>79.970855713000006</v>
      </c>
      <c r="E1784">
        <v>50</v>
      </c>
      <c r="F1784">
        <v>49.123107910000002</v>
      </c>
      <c r="G1784">
        <v>1345.1036377</v>
      </c>
      <c r="H1784">
        <v>1341.0847168</v>
      </c>
      <c r="I1784">
        <v>1322.7625731999999</v>
      </c>
      <c r="J1784">
        <v>1319.0471190999999</v>
      </c>
      <c r="K1784">
        <v>2400</v>
      </c>
      <c r="L1784">
        <v>0</v>
      </c>
      <c r="M1784">
        <v>0</v>
      </c>
      <c r="N1784">
        <v>2400</v>
      </c>
    </row>
    <row r="1785" spans="1:14" x14ac:dyDescent="0.25">
      <c r="A1785">
        <v>1110.033238</v>
      </c>
      <c r="B1785" s="1">
        <f>DATE(2013,5,15) + TIME(0,47,51)</f>
        <v>41409.033229166664</v>
      </c>
      <c r="C1785">
        <v>80</v>
      </c>
      <c r="D1785">
        <v>79.970817565999994</v>
      </c>
      <c r="E1785">
        <v>50</v>
      </c>
      <c r="F1785">
        <v>49.105484009000001</v>
      </c>
      <c r="G1785">
        <v>1345.0910644999999</v>
      </c>
      <c r="H1785">
        <v>1341.0783690999999</v>
      </c>
      <c r="I1785">
        <v>1322.760376</v>
      </c>
      <c r="J1785">
        <v>1319.0441894999999</v>
      </c>
      <c r="K1785">
        <v>2400</v>
      </c>
      <c r="L1785">
        <v>0</v>
      </c>
      <c r="M1785">
        <v>0</v>
      </c>
      <c r="N1785">
        <v>2400</v>
      </c>
    </row>
    <row r="1786" spans="1:14" x14ac:dyDescent="0.25">
      <c r="A1786">
        <v>1110.3819510000001</v>
      </c>
      <c r="B1786" s="1">
        <f>DATE(2013,5,15) + TIME(9,10,0)</f>
        <v>41409.381944444445</v>
      </c>
      <c r="C1786">
        <v>80</v>
      </c>
      <c r="D1786">
        <v>79.970779418999996</v>
      </c>
      <c r="E1786">
        <v>50</v>
      </c>
      <c r="F1786">
        <v>49.087703705000003</v>
      </c>
      <c r="G1786">
        <v>1345.0784911999999</v>
      </c>
      <c r="H1786">
        <v>1341.0720214999999</v>
      </c>
      <c r="I1786">
        <v>1322.7580565999999</v>
      </c>
      <c r="J1786">
        <v>1319.0411377</v>
      </c>
      <c r="K1786">
        <v>2400</v>
      </c>
      <c r="L1786">
        <v>0</v>
      </c>
      <c r="M1786">
        <v>0</v>
      </c>
      <c r="N1786">
        <v>2400</v>
      </c>
    </row>
    <row r="1787" spans="1:14" x14ac:dyDescent="0.25">
      <c r="A1787">
        <v>1110.736349</v>
      </c>
      <c r="B1787" s="1">
        <f>DATE(2013,5,15) + TIME(17,40,20)</f>
        <v>41409.736342592594</v>
      </c>
      <c r="C1787">
        <v>80</v>
      </c>
      <c r="D1787">
        <v>79.970733643000003</v>
      </c>
      <c r="E1787">
        <v>50</v>
      </c>
      <c r="F1787">
        <v>49.069740295000003</v>
      </c>
      <c r="G1787">
        <v>1345.065918</v>
      </c>
      <c r="H1787">
        <v>1341.0656738</v>
      </c>
      <c r="I1787">
        <v>1322.7556152</v>
      </c>
      <c r="J1787">
        <v>1319.0380858999999</v>
      </c>
      <c r="K1787">
        <v>2400</v>
      </c>
      <c r="L1787">
        <v>0</v>
      </c>
      <c r="M1787">
        <v>0</v>
      </c>
      <c r="N1787">
        <v>2400</v>
      </c>
    </row>
    <row r="1788" spans="1:14" x14ac:dyDescent="0.25">
      <c r="A1788">
        <v>1111.0972260000001</v>
      </c>
      <c r="B1788" s="1">
        <f>DATE(2013,5,16) + TIME(2,20,0)</f>
        <v>41410.097222222219</v>
      </c>
      <c r="C1788">
        <v>80</v>
      </c>
      <c r="D1788">
        <v>79.970695496000005</v>
      </c>
      <c r="E1788">
        <v>50</v>
      </c>
      <c r="F1788">
        <v>49.051567077999998</v>
      </c>
      <c r="G1788">
        <v>1345.0534668</v>
      </c>
      <c r="H1788">
        <v>1341.0594481999999</v>
      </c>
      <c r="I1788">
        <v>1322.7531738</v>
      </c>
      <c r="J1788">
        <v>1319.0349120999999</v>
      </c>
      <c r="K1788">
        <v>2400</v>
      </c>
      <c r="L1788">
        <v>0</v>
      </c>
      <c r="M1788">
        <v>0</v>
      </c>
      <c r="N1788">
        <v>2400</v>
      </c>
    </row>
    <row r="1789" spans="1:14" x14ac:dyDescent="0.25">
      <c r="A1789">
        <v>1111.465539</v>
      </c>
      <c r="B1789" s="1">
        <f>DATE(2013,5,16) + TIME(11,10,22)</f>
        <v>41410.465532407405</v>
      </c>
      <c r="C1789">
        <v>80</v>
      </c>
      <c r="D1789">
        <v>79.970657349000007</v>
      </c>
      <c r="E1789">
        <v>50</v>
      </c>
      <c r="F1789">
        <v>49.033153534</v>
      </c>
      <c r="G1789">
        <v>1345.0410156</v>
      </c>
      <c r="H1789">
        <v>1341.0531006000001</v>
      </c>
      <c r="I1789">
        <v>1322.7507324000001</v>
      </c>
      <c r="J1789">
        <v>1319.0317382999999</v>
      </c>
      <c r="K1789">
        <v>2400</v>
      </c>
      <c r="L1789">
        <v>0</v>
      </c>
      <c r="M1789">
        <v>0</v>
      </c>
      <c r="N1789">
        <v>2400</v>
      </c>
    </row>
    <row r="1790" spans="1:14" x14ac:dyDescent="0.25">
      <c r="A1790">
        <v>1111.842304</v>
      </c>
      <c r="B1790" s="1">
        <f>DATE(2013,5,16) + TIME(20,12,55)</f>
        <v>41410.842303240737</v>
      </c>
      <c r="C1790">
        <v>80</v>
      </c>
      <c r="D1790">
        <v>79.970619201999995</v>
      </c>
      <c r="E1790">
        <v>50</v>
      </c>
      <c r="F1790">
        <v>49.014457702999998</v>
      </c>
      <c r="G1790">
        <v>1345.0284423999999</v>
      </c>
      <c r="H1790">
        <v>1341.046875</v>
      </c>
      <c r="I1790">
        <v>1322.7481689000001</v>
      </c>
      <c r="J1790">
        <v>1319.0284423999999</v>
      </c>
      <c r="K1790">
        <v>2400</v>
      </c>
      <c r="L1790">
        <v>0</v>
      </c>
      <c r="M1790">
        <v>0</v>
      </c>
      <c r="N1790">
        <v>2400</v>
      </c>
    </row>
    <row r="1791" spans="1:14" x14ac:dyDescent="0.25">
      <c r="A1791">
        <v>1112.2286529999999</v>
      </c>
      <c r="B1791" s="1">
        <f>DATE(2013,5,17) + TIME(5,29,15)</f>
        <v>41411.228645833333</v>
      </c>
      <c r="C1791">
        <v>80</v>
      </c>
      <c r="D1791">
        <v>79.970581054999997</v>
      </c>
      <c r="E1791">
        <v>50</v>
      </c>
      <c r="F1791">
        <v>48.995441436999997</v>
      </c>
      <c r="G1791">
        <v>1345.0158690999999</v>
      </c>
      <c r="H1791">
        <v>1341.0406493999999</v>
      </c>
      <c r="I1791">
        <v>1322.7454834</v>
      </c>
      <c r="J1791">
        <v>1319.0250243999999</v>
      </c>
      <c r="K1791">
        <v>2400</v>
      </c>
      <c r="L1791">
        <v>0</v>
      </c>
      <c r="M1791">
        <v>0</v>
      </c>
      <c r="N1791">
        <v>2400</v>
      </c>
    </row>
    <row r="1792" spans="1:14" x14ac:dyDescent="0.25">
      <c r="A1792">
        <v>1112.62583</v>
      </c>
      <c r="B1792" s="1">
        <f>DATE(2013,5,17) + TIME(15,1,11)</f>
        <v>41411.625821759262</v>
      </c>
      <c r="C1792">
        <v>80</v>
      </c>
      <c r="D1792">
        <v>79.970535278</v>
      </c>
      <c r="E1792">
        <v>50</v>
      </c>
      <c r="F1792">
        <v>48.976055144999997</v>
      </c>
      <c r="G1792">
        <v>1345.0032959</v>
      </c>
      <c r="H1792">
        <v>1341.0343018000001</v>
      </c>
      <c r="I1792">
        <v>1322.7427978999999</v>
      </c>
      <c r="J1792">
        <v>1319.0214844</v>
      </c>
      <c r="K1792">
        <v>2400</v>
      </c>
      <c r="L1792">
        <v>0</v>
      </c>
      <c r="M1792">
        <v>0</v>
      </c>
      <c r="N1792">
        <v>2400</v>
      </c>
    </row>
    <row r="1793" spans="1:14" x14ac:dyDescent="0.25">
      <c r="A1793">
        <v>1113.027194</v>
      </c>
      <c r="B1793" s="1">
        <f>DATE(2013,5,18) + TIME(0,39,9)</f>
        <v>41412.027187500003</v>
      </c>
      <c r="C1793">
        <v>80</v>
      </c>
      <c r="D1793">
        <v>79.970497131000002</v>
      </c>
      <c r="E1793">
        <v>50</v>
      </c>
      <c r="F1793">
        <v>48.956512451000002</v>
      </c>
      <c r="G1793">
        <v>1344.9904785000001</v>
      </c>
      <c r="H1793">
        <v>1341.0279541</v>
      </c>
      <c r="I1793">
        <v>1322.7399902</v>
      </c>
      <c r="J1793">
        <v>1319.0177002</v>
      </c>
      <c r="K1793">
        <v>2400</v>
      </c>
      <c r="L1793">
        <v>0</v>
      </c>
      <c r="M1793">
        <v>0</v>
      </c>
      <c r="N1793">
        <v>2400</v>
      </c>
    </row>
    <row r="1794" spans="1:14" x14ac:dyDescent="0.25">
      <c r="A1794">
        <v>1113.431595</v>
      </c>
      <c r="B1794" s="1">
        <f>DATE(2013,5,18) + TIME(10,21,29)</f>
        <v>41412.431585648148</v>
      </c>
      <c r="C1794">
        <v>80</v>
      </c>
      <c r="D1794">
        <v>79.970458984000004</v>
      </c>
      <c r="E1794">
        <v>50</v>
      </c>
      <c r="F1794">
        <v>48.93687439</v>
      </c>
      <c r="G1794">
        <v>1344.9779053</v>
      </c>
      <c r="H1794">
        <v>1341.0217285000001</v>
      </c>
      <c r="I1794">
        <v>1322.7370605000001</v>
      </c>
      <c r="J1794">
        <v>1319.0140381000001</v>
      </c>
      <c r="K1794">
        <v>2400</v>
      </c>
      <c r="L1794">
        <v>0</v>
      </c>
      <c r="M1794">
        <v>0</v>
      </c>
      <c r="N1794">
        <v>2400</v>
      </c>
    </row>
    <row r="1795" spans="1:14" x14ac:dyDescent="0.25">
      <c r="A1795">
        <v>1113.839835</v>
      </c>
      <c r="B1795" s="1">
        <f>DATE(2013,5,18) + TIME(20,9,21)</f>
        <v>41412.839826388888</v>
      </c>
      <c r="C1795">
        <v>80</v>
      </c>
      <c r="D1795">
        <v>79.970420837000006</v>
      </c>
      <c r="E1795">
        <v>50</v>
      </c>
      <c r="F1795">
        <v>48.917140961000001</v>
      </c>
      <c r="G1795">
        <v>1344.965332</v>
      </c>
      <c r="H1795">
        <v>1341.0155029</v>
      </c>
      <c r="I1795">
        <v>1322.7341309000001</v>
      </c>
      <c r="J1795">
        <v>1319.0101318</v>
      </c>
      <c r="K1795">
        <v>2400</v>
      </c>
      <c r="L1795">
        <v>0</v>
      </c>
      <c r="M1795">
        <v>0</v>
      </c>
      <c r="N1795">
        <v>2400</v>
      </c>
    </row>
    <row r="1796" spans="1:14" x14ac:dyDescent="0.25">
      <c r="A1796">
        <v>1114.252729</v>
      </c>
      <c r="B1796" s="1">
        <f>DATE(2013,5,19) + TIME(6,3,55)</f>
        <v>41413.25271990741</v>
      </c>
      <c r="C1796">
        <v>80</v>
      </c>
      <c r="D1796">
        <v>79.970375060999999</v>
      </c>
      <c r="E1796">
        <v>50</v>
      </c>
      <c r="F1796">
        <v>48.897293091000002</v>
      </c>
      <c r="G1796">
        <v>1344.9530029</v>
      </c>
      <c r="H1796">
        <v>1341.0093993999999</v>
      </c>
      <c r="I1796">
        <v>1322.7312012</v>
      </c>
      <c r="J1796">
        <v>1319.0062256000001</v>
      </c>
      <c r="K1796">
        <v>2400</v>
      </c>
      <c r="L1796">
        <v>0</v>
      </c>
      <c r="M1796">
        <v>0</v>
      </c>
      <c r="N1796">
        <v>2400</v>
      </c>
    </row>
    <row r="1797" spans="1:14" x14ac:dyDescent="0.25">
      <c r="A1797">
        <v>1114.671646</v>
      </c>
      <c r="B1797" s="1">
        <f>DATE(2013,5,19) + TIME(16,7,10)</f>
        <v>41413.671643518515</v>
      </c>
      <c r="C1797">
        <v>80</v>
      </c>
      <c r="D1797">
        <v>79.970336914000001</v>
      </c>
      <c r="E1797">
        <v>50</v>
      </c>
      <c r="F1797">
        <v>48.877300261999999</v>
      </c>
      <c r="G1797">
        <v>1344.9405518000001</v>
      </c>
      <c r="H1797">
        <v>1341.0032959</v>
      </c>
      <c r="I1797">
        <v>1322.7281493999999</v>
      </c>
      <c r="J1797">
        <v>1319.0021973</v>
      </c>
      <c r="K1797">
        <v>2400</v>
      </c>
      <c r="L1797">
        <v>0</v>
      </c>
      <c r="M1797">
        <v>0</v>
      </c>
      <c r="N1797">
        <v>2400</v>
      </c>
    </row>
    <row r="1798" spans="1:14" x14ac:dyDescent="0.25">
      <c r="A1798">
        <v>1115.098485</v>
      </c>
      <c r="B1798" s="1">
        <f>DATE(2013,5,20) + TIME(2,21,49)</f>
        <v>41414.098483796297</v>
      </c>
      <c r="C1798">
        <v>80</v>
      </c>
      <c r="D1798">
        <v>79.970298767000003</v>
      </c>
      <c r="E1798">
        <v>50</v>
      </c>
      <c r="F1798">
        <v>48.857093810999999</v>
      </c>
      <c r="G1798">
        <v>1344.9283447</v>
      </c>
      <c r="H1798">
        <v>1340.9971923999999</v>
      </c>
      <c r="I1798">
        <v>1322.7249756000001</v>
      </c>
      <c r="J1798">
        <v>1318.9981689000001</v>
      </c>
      <c r="K1798">
        <v>2400</v>
      </c>
      <c r="L1798">
        <v>0</v>
      </c>
      <c r="M1798">
        <v>0</v>
      </c>
      <c r="N1798">
        <v>2400</v>
      </c>
    </row>
    <row r="1799" spans="1:14" x14ac:dyDescent="0.25">
      <c r="A1799">
        <v>1115.53432</v>
      </c>
      <c r="B1799" s="1">
        <f>DATE(2013,5,20) + TIME(12,49,25)</f>
        <v>41414.534317129626</v>
      </c>
      <c r="C1799">
        <v>80</v>
      </c>
      <c r="D1799">
        <v>79.970260620000005</v>
      </c>
      <c r="E1799">
        <v>50</v>
      </c>
      <c r="F1799">
        <v>48.83663559</v>
      </c>
      <c r="G1799">
        <v>1344.9160156</v>
      </c>
      <c r="H1799">
        <v>1340.9910889</v>
      </c>
      <c r="I1799">
        <v>1322.7218018000001</v>
      </c>
      <c r="J1799">
        <v>1318.9938964999999</v>
      </c>
      <c r="K1799">
        <v>2400</v>
      </c>
      <c r="L1799">
        <v>0</v>
      </c>
      <c r="M1799">
        <v>0</v>
      </c>
      <c r="N1799">
        <v>2400</v>
      </c>
    </row>
    <row r="1800" spans="1:14" x14ac:dyDescent="0.25">
      <c r="A1800">
        <v>1115.9803959999999</v>
      </c>
      <c r="B1800" s="1">
        <f>DATE(2013,5,20) + TIME(23,31,46)</f>
        <v>41414.980393518519</v>
      </c>
      <c r="C1800">
        <v>80</v>
      </c>
      <c r="D1800">
        <v>79.970214843999997</v>
      </c>
      <c r="E1800">
        <v>50</v>
      </c>
      <c r="F1800">
        <v>48.815876007</v>
      </c>
      <c r="G1800">
        <v>1344.9036865</v>
      </c>
      <c r="H1800">
        <v>1340.9849853999999</v>
      </c>
      <c r="I1800">
        <v>1322.7183838000001</v>
      </c>
      <c r="J1800">
        <v>1318.9895019999999</v>
      </c>
      <c r="K1800">
        <v>2400</v>
      </c>
      <c r="L1800">
        <v>0</v>
      </c>
      <c r="M1800">
        <v>0</v>
      </c>
      <c r="N1800">
        <v>2400</v>
      </c>
    </row>
    <row r="1801" spans="1:14" x14ac:dyDescent="0.25">
      <c r="A1801">
        <v>1116.4362229999999</v>
      </c>
      <c r="B1801" s="1">
        <f>DATE(2013,5,21) + TIME(10,28,9)</f>
        <v>41415.436215277776</v>
      </c>
      <c r="C1801">
        <v>80</v>
      </c>
      <c r="D1801">
        <v>79.970176696999999</v>
      </c>
      <c r="E1801">
        <v>50</v>
      </c>
      <c r="F1801">
        <v>48.794826508</v>
      </c>
      <c r="G1801">
        <v>1344.8912353999999</v>
      </c>
      <c r="H1801">
        <v>1340.9788818</v>
      </c>
      <c r="I1801">
        <v>1322.7149658000001</v>
      </c>
      <c r="J1801">
        <v>1318.9849853999999</v>
      </c>
      <c r="K1801">
        <v>2400</v>
      </c>
      <c r="L1801">
        <v>0</v>
      </c>
      <c r="M1801">
        <v>0</v>
      </c>
      <c r="N1801">
        <v>2400</v>
      </c>
    </row>
    <row r="1802" spans="1:14" x14ac:dyDescent="0.25">
      <c r="A1802">
        <v>1116.897733</v>
      </c>
      <c r="B1802" s="1">
        <f>DATE(2013,5,21) + TIME(21,32,44)</f>
        <v>41415.897731481484</v>
      </c>
      <c r="C1802">
        <v>80</v>
      </c>
      <c r="D1802">
        <v>79.970138550000001</v>
      </c>
      <c r="E1802">
        <v>50</v>
      </c>
      <c r="F1802">
        <v>48.773601532000001</v>
      </c>
      <c r="G1802">
        <v>1344.8787841999999</v>
      </c>
      <c r="H1802">
        <v>1340.9727783000001</v>
      </c>
      <c r="I1802">
        <v>1322.7114257999999</v>
      </c>
      <c r="J1802">
        <v>1318.9802245999999</v>
      </c>
      <c r="K1802">
        <v>2400</v>
      </c>
      <c r="L1802">
        <v>0</v>
      </c>
      <c r="M1802">
        <v>0</v>
      </c>
      <c r="N1802">
        <v>2400</v>
      </c>
    </row>
    <row r="1803" spans="1:14" x14ac:dyDescent="0.25">
      <c r="A1803">
        <v>1117.364597</v>
      </c>
      <c r="B1803" s="1">
        <f>DATE(2013,5,22) + TIME(8,45,1)</f>
        <v>41416.364594907405</v>
      </c>
      <c r="C1803">
        <v>80</v>
      </c>
      <c r="D1803">
        <v>79.970100403000004</v>
      </c>
      <c r="E1803">
        <v>50</v>
      </c>
      <c r="F1803">
        <v>48.752235413000001</v>
      </c>
      <c r="G1803">
        <v>1344.8664550999999</v>
      </c>
      <c r="H1803">
        <v>1340.9666748</v>
      </c>
      <c r="I1803">
        <v>1322.7078856999999</v>
      </c>
      <c r="J1803">
        <v>1318.9754639</v>
      </c>
      <c r="K1803">
        <v>2400</v>
      </c>
      <c r="L1803">
        <v>0</v>
      </c>
      <c r="M1803">
        <v>0</v>
      </c>
      <c r="N1803">
        <v>2400</v>
      </c>
    </row>
    <row r="1804" spans="1:14" x14ac:dyDescent="0.25">
      <c r="A1804">
        <v>1117.838227</v>
      </c>
      <c r="B1804" s="1">
        <f>DATE(2013,5,22) + TIME(20,7,2)</f>
        <v>41416.838217592594</v>
      </c>
      <c r="C1804">
        <v>80</v>
      </c>
      <c r="D1804">
        <v>79.970062256000006</v>
      </c>
      <c r="E1804">
        <v>50</v>
      </c>
      <c r="F1804">
        <v>48.730701447000001</v>
      </c>
      <c r="G1804">
        <v>1344.854126</v>
      </c>
      <c r="H1804">
        <v>1340.9606934000001</v>
      </c>
      <c r="I1804">
        <v>1322.7041016000001</v>
      </c>
      <c r="J1804">
        <v>1318.9705810999999</v>
      </c>
      <c r="K1804">
        <v>2400</v>
      </c>
      <c r="L1804">
        <v>0</v>
      </c>
      <c r="M1804">
        <v>0</v>
      </c>
      <c r="N1804">
        <v>2400</v>
      </c>
    </row>
    <row r="1805" spans="1:14" x14ac:dyDescent="0.25">
      <c r="A1805">
        <v>1118.319749</v>
      </c>
      <c r="B1805" s="1">
        <f>DATE(2013,5,23) + TIME(7,40,26)</f>
        <v>41417.319745370369</v>
      </c>
      <c r="C1805">
        <v>80</v>
      </c>
      <c r="D1805">
        <v>79.970016478999995</v>
      </c>
      <c r="E1805">
        <v>50</v>
      </c>
      <c r="F1805">
        <v>48.708969115999999</v>
      </c>
      <c r="G1805">
        <v>1344.8417969</v>
      </c>
      <c r="H1805">
        <v>1340.9547118999999</v>
      </c>
      <c r="I1805">
        <v>1322.7003173999999</v>
      </c>
      <c r="J1805">
        <v>1318.9654541</v>
      </c>
      <c r="K1805">
        <v>2400</v>
      </c>
      <c r="L1805">
        <v>0</v>
      </c>
      <c r="M1805">
        <v>0</v>
      </c>
      <c r="N1805">
        <v>2400</v>
      </c>
    </row>
    <row r="1806" spans="1:14" x14ac:dyDescent="0.25">
      <c r="A1806">
        <v>1118.810594</v>
      </c>
      <c r="B1806" s="1">
        <f>DATE(2013,5,23) + TIME(19,27,15)</f>
        <v>41417.810590277775</v>
      </c>
      <c r="C1806">
        <v>80</v>
      </c>
      <c r="D1806">
        <v>79.969978333</v>
      </c>
      <c r="E1806">
        <v>50</v>
      </c>
      <c r="F1806">
        <v>48.686996460000003</v>
      </c>
      <c r="G1806">
        <v>1344.8294678</v>
      </c>
      <c r="H1806">
        <v>1340.9486084</v>
      </c>
      <c r="I1806">
        <v>1322.6964111</v>
      </c>
      <c r="J1806">
        <v>1318.9602050999999</v>
      </c>
      <c r="K1806">
        <v>2400</v>
      </c>
      <c r="L1806">
        <v>0</v>
      </c>
      <c r="M1806">
        <v>0</v>
      </c>
      <c r="N1806">
        <v>2400</v>
      </c>
    </row>
    <row r="1807" spans="1:14" x14ac:dyDescent="0.25">
      <c r="A1807">
        <v>1119.3122519999999</v>
      </c>
      <c r="B1807" s="1">
        <f>DATE(2013,5,24) + TIME(7,29,38)</f>
        <v>41418.312245370369</v>
      </c>
      <c r="C1807">
        <v>80</v>
      </c>
      <c r="D1807">
        <v>79.969940186000002</v>
      </c>
      <c r="E1807">
        <v>50</v>
      </c>
      <c r="F1807">
        <v>48.664741515999999</v>
      </c>
      <c r="G1807">
        <v>1344.8172606999999</v>
      </c>
      <c r="H1807">
        <v>1340.9426269999999</v>
      </c>
      <c r="I1807">
        <v>1322.6923827999999</v>
      </c>
      <c r="J1807">
        <v>1318.9548339999999</v>
      </c>
      <c r="K1807">
        <v>2400</v>
      </c>
      <c r="L1807">
        <v>0</v>
      </c>
      <c r="M1807">
        <v>0</v>
      </c>
      <c r="N1807">
        <v>2400</v>
      </c>
    </row>
    <row r="1808" spans="1:14" x14ac:dyDescent="0.25">
      <c r="A1808">
        <v>1119.8263320000001</v>
      </c>
      <c r="B1808" s="1">
        <f>DATE(2013,5,24) + TIME(19,49,55)</f>
        <v>41418.826331018521</v>
      </c>
      <c r="C1808">
        <v>80</v>
      </c>
      <c r="D1808">
        <v>79.969902039000004</v>
      </c>
      <c r="E1808">
        <v>50</v>
      </c>
      <c r="F1808">
        <v>48.642143249999997</v>
      </c>
      <c r="G1808">
        <v>1344.8048096</v>
      </c>
      <c r="H1808">
        <v>1340.9365233999999</v>
      </c>
      <c r="I1808">
        <v>1322.6882324000001</v>
      </c>
      <c r="J1808">
        <v>1318.9492187999999</v>
      </c>
      <c r="K1808">
        <v>2400</v>
      </c>
      <c r="L1808">
        <v>0</v>
      </c>
      <c r="M1808">
        <v>0</v>
      </c>
      <c r="N1808">
        <v>2400</v>
      </c>
    </row>
    <row r="1809" spans="1:14" x14ac:dyDescent="0.25">
      <c r="A1809">
        <v>1120.354603</v>
      </c>
      <c r="B1809" s="1">
        <f>DATE(2013,5,25) + TIME(8,30,37)</f>
        <v>41419.354594907411</v>
      </c>
      <c r="C1809">
        <v>80</v>
      </c>
      <c r="D1809">
        <v>79.969863892000006</v>
      </c>
      <c r="E1809">
        <v>50</v>
      </c>
      <c r="F1809">
        <v>48.619148254000002</v>
      </c>
      <c r="G1809">
        <v>1344.7923584</v>
      </c>
      <c r="H1809">
        <v>1340.9304199000001</v>
      </c>
      <c r="I1809">
        <v>1322.6839600000001</v>
      </c>
      <c r="J1809">
        <v>1318.9434814000001</v>
      </c>
      <c r="K1809">
        <v>2400</v>
      </c>
      <c r="L1809">
        <v>0</v>
      </c>
      <c r="M1809">
        <v>0</v>
      </c>
      <c r="N1809">
        <v>2400</v>
      </c>
    </row>
    <row r="1810" spans="1:14" x14ac:dyDescent="0.25">
      <c r="A1810">
        <v>1120.899038</v>
      </c>
      <c r="B1810" s="1">
        <f>DATE(2013,5,25) + TIME(21,34,36)</f>
        <v>41419.899027777778</v>
      </c>
      <c r="C1810">
        <v>80</v>
      </c>
      <c r="D1810">
        <v>79.969818114999995</v>
      </c>
      <c r="E1810">
        <v>50</v>
      </c>
      <c r="F1810">
        <v>48.595684052000003</v>
      </c>
      <c r="G1810">
        <v>1344.7797852000001</v>
      </c>
      <c r="H1810">
        <v>1340.9243164</v>
      </c>
      <c r="I1810">
        <v>1322.6794434000001</v>
      </c>
      <c r="J1810">
        <v>1318.9373779</v>
      </c>
      <c r="K1810">
        <v>2400</v>
      </c>
      <c r="L1810">
        <v>0</v>
      </c>
      <c r="M1810">
        <v>0</v>
      </c>
      <c r="N1810">
        <v>2400</v>
      </c>
    </row>
    <row r="1811" spans="1:14" x14ac:dyDescent="0.25">
      <c r="A1811">
        <v>1121.1801359999999</v>
      </c>
      <c r="B1811" s="1">
        <f>DATE(2013,5,26) + TIME(4,19,23)</f>
        <v>41420.180127314816</v>
      </c>
      <c r="C1811">
        <v>80</v>
      </c>
      <c r="D1811">
        <v>79.969787597999996</v>
      </c>
      <c r="E1811">
        <v>50</v>
      </c>
      <c r="F1811">
        <v>48.580776215</v>
      </c>
      <c r="G1811">
        <v>1344.7669678</v>
      </c>
      <c r="H1811">
        <v>1340.9179687999999</v>
      </c>
      <c r="I1811">
        <v>1322.6748047000001</v>
      </c>
      <c r="J1811">
        <v>1318.9315185999999</v>
      </c>
      <c r="K1811">
        <v>2400</v>
      </c>
      <c r="L1811">
        <v>0</v>
      </c>
      <c r="M1811">
        <v>0</v>
      </c>
      <c r="N1811">
        <v>2400</v>
      </c>
    </row>
    <row r="1812" spans="1:14" x14ac:dyDescent="0.25">
      <c r="A1812">
        <v>1121.742334</v>
      </c>
      <c r="B1812" s="1">
        <f>DATE(2013,5,26) + TIME(17,48,57)</f>
        <v>41420.742326388892</v>
      </c>
      <c r="C1812">
        <v>80</v>
      </c>
      <c r="D1812">
        <v>79.969757079999994</v>
      </c>
      <c r="E1812">
        <v>50</v>
      </c>
      <c r="F1812">
        <v>48.557880402000002</v>
      </c>
      <c r="G1812">
        <v>1344.7604980000001</v>
      </c>
      <c r="H1812">
        <v>1340.9147949000001</v>
      </c>
      <c r="I1812">
        <v>1322.6722411999999</v>
      </c>
      <c r="J1812">
        <v>1318.9276123</v>
      </c>
      <c r="K1812">
        <v>2400</v>
      </c>
      <c r="L1812">
        <v>0</v>
      </c>
      <c r="M1812">
        <v>0</v>
      </c>
      <c r="N1812">
        <v>2400</v>
      </c>
    </row>
    <row r="1813" spans="1:14" x14ac:dyDescent="0.25">
      <c r="A1813">
        <v>1122.30456</v>
      </c>
      <c r="B1813" s="1">
        <f>DATE(2013,5,27) + TIME(7,18,33)</f>
        <v>41421.304548611108</v>
      </c>
      <c r="C1813">
        <v>80</v>
      </c>
      <c r="D1813">
        <v>79.969718932999996</v>
      </c>
      <c r="E1813">
        <v>50</v>
      </c>
      <c r="F1813">
        <v>48.534507751</v>
      </c>
      <c r="G1813">
        <v>1344.7476807</v>
      </c>
      <c r="H1813">
        <v>1340.9085693</v>
      </c>
      <c r="I1813">
        <v>1322.6673584</v>
      </c>
      <c r="J1813">
        <v>1318.9210204999999</v>
      </c>
      <c r="K1813">
        <v>2400</v>
      </c>
      <c r="L1813">
        <v>0</v>
      </c>
      <c r="M1813">
        <v>0</v>
      </c>
      <c r="N1813">
        <v>2400</v>
      </c>
    </row>
    <row r="1814" spans="1:14" x14ac:dyDescent="0.25">
      <c r="A1814">
        <v>1122.8684499999999</v>
      </c>
      <c r="B1814" s="1">
        <f>DATE(2013,5,27) + TIME(20,50,34)</f>
        <v>41421.868449074071</v>
      </c>
      <c r="C1814">
        <v>80</v>
      </c>
      <c r="D1814">
        <v>79.969673157000003</v>
      </c>
      <c r="E1814">
        <v>50</v>
      </c>
      <c r="F1814">
        <v>48.510875702</v>
      </c>
      <c r="G1814">
        <v>1344.7351074000001</v>
      </c>
      <c r="H1814">
        <v>1340.9024658000001</v>
      </c>
      <c r="I1814">
        <v>1322.6623535000001</v>
      </c>
      <c r="J1814">
        <v>1318.9143065999999</v>
      </c>
      <c r="K1814">
        <v>2400</v>
      </c>
      <c r="L1814">
        <v>0</v>
      </c>
      <c r="M1814">
        <v>0</v>
      </c>
      <c r="N1814">
        <v>2400</v>
      </c>
    </row>
    <row r="1815" spans="1:14" x14ac:dyDescent="0.25">
      <c r="A1815">
        <v>1123.4352349999999</v>
      </c>
      <c r="B1815" s="1">
        <f>DATE(2013,5,28) + TIME(10,26,44)</f>
        <v>41422.435231481482</v>
      </c>
      <c r="C1815">
        <v>80</v>
      </c>
      <c r="D1815">
        <v>79.969635010000005</v>
      </c>
      <c r="E1815">
        <v>50</v>
      </c>
      <c r="F1815">
        <v>48.487094878999997</v>
      </c>
      <c r="G1815">
        <v>1344.7226562000001</v>
      </c>
      <c r="H1815">
        <v>1340.8963623</v>
      </c>
      <c r="I1815">
        <v>1322.6573486</v>
      </c>
      <c r="J1815">
        <v>1318.9073486</v>
      </c>
      <c r="K1815">
        <v>2400</v>
      </c>
      <c r="L1815">
        <v>0</v>
      </c>
      <c r="M1815">
        <v>0</v>
      </c>
      <c r="N1815">
        <v>2400</v>
      </c>
    </row>
    <row r="1816" spans="1:14" x14ac:dyDescent="0.25">
      <c r="A1816">
        <v>1124.006142</v>
      </c>
      <c r="B1816" s="1">
        <f>DATE(2013,5,29) + TIME(0,8,50)</f>
        <v>41423.00613425926</v>
      </c>
      <c r="C1816">
        <v>80</v>
      </c>
      <c r="D1816">
        <v>79.969596863000007</v>
      </c>
      <c r="E1816">
        <v>50</v>
      </c>
      <c r="F1816">
        <v>48.463222504000001</v>
      </c>
      <c r="G1816">
        <v>1344.7103271000001</v>
      </c>
      <c r="H1816">
        <v>1340.8902588000001</v>
      </c>
      <c r="I1816">
        <v>1322.6520995999999</v>
      </c>
      <c r="J1816">
        <v>1318.9003906</v>
      </c>
      <c r="K1816">
        <v>2400</v>
      </c>
      <c r="L1816">
        <v>0</v>
      </c>
      <c r="M1816">
        <v>0</v>
      </c>
      <c r="N1816">
        <v>2400</v>
      </c>
    </row>
    <row r="1817" spans="1:14" x14ac:dyDescent="0.25">
      <c r="A1817">
        <v>1124.5823800000001</v>
      </c>
      <c r="B1817" s="1">
        <f>DATE(2013,5,29) + TIME(13,58,37)</f>
        <v>41423.582372685189</v>
      </c>
      <c r="C1817">
        <v>80</v>
      </c>
      <c r="D1817">
        <v>79.969558715999995</v>
      </c>
      <c r="E1817">
        <v>50</v>
      </c>
      <c r="F1817">
        <v>48.439258574999997</v>
      </c>
      <c r="G1817">
        <v>1344.6981201000001</v>
      </c>
      <c r="H1817">
        <v>1340.8843993999999</v>
      </c>
      <c r="I1817">
        <v>1322.6468506000001</v>
      </c>
      <c r="J1817">
        <v>1318.8931885</v>
      </c>
      <c r="K1817">
        <v>2400</v>
      </c>
      <c r="L1817">
        <v>0</v>
      </c>
      <c r="M1817">
        <v>0</v>
      </c>
      <c r="N1817">
        <v>2400</v>
      </c>
    </row>
    <row r="1818" spans="1:14" x14ac:dyDescent="0.25">
      <c r="A1818">
        <v>1125.1668569999999</v>
      </c>
      <c r="B1818" s="1">
        <f>DATE(2013,5,30) + TIME(4,0,16)</f>
        <v>41424.166851851849</v>
      </c>
      <c r="C1818">
        <v>80</v>
      </c>
      <c r="D1818">
        <v>79.969520568999997</v>
      </c>
      <c r="E1818">
        <v>50</v>
      </c>
      <c r="F1818">
        <v>48.415161132999998</v>
      </c>
      <c r="G1818">
        <v>1344.6860352000001</v>
      </c>
      <c r="H1818">
        <v>1340.878418</v>
      </c>
      <c r="I1818">
        <v>1322.6414795000001</v>
      </c>
      <c r="J1818">
        <v>1318.8857422000001</v>
      </c>
      <c r="K1818">
        <v>2400</v>
      </c>
      <c r="L1818">
        <v>0</v>
      </c>
      <c r="M1818">
        <v>0</v>
      </c>
      <c r="N1818">
        <v>2400</v>
      </c>
    </row>
    <row r="1819" spans="1:14" x14ac:dyDescent="0.25">
      <c r="A1819">
        <v>1125.762305</v>
      </c>
      <c r="B1819" s="1">
        <f>DATE(2013,5,30) + TIME(18,17,43)</f>
        <v>41424.762303240743</v>
      </c>
      <c r="C1819">
        <v>80</v>
      </c>
      <c r="D1819">
        <v>79.969482421999999</v>
      </c>
      <c r="E1819">
        <v>50</v>
      </c>
      <c r="F1819">
        <v>48.390850067000002</v>
      </c>
      <c r="G1819">
        <v>1344.6739502</v>
      </c>
      <c r="H1819">
        <v>1340.8725586</v>
      </c>
      <c r="I1819">
        <v>1322.6359863</v>
      </c>
      <c r="J1819">
        <v>1318.8781738</v>
      </c>
      <c r="K1819">
        <v>2400</v>
      </c>
      <c r="L1819">
        <v>0</v>
      </c>
      <c r="M1819">
        <v>0</v>
      </c>
      <c r="N1819">
        <v>2400</v>
      </c>
    </row>
    <row r="1820" spans="1:14" x14ac:dyDescent="0.25">
      <c r="A1820">
        <v>1126.3703800000001</v>
      </c>
      <c r="B1820" s="1">
        <f>DATE(2013,5,31) + TIME(8,53,20)</f>
        <v>41425.370370370372</v>
      </c>
      <c r="C1820">
        <v>80</v>
      </c>
      <c r="D1820">
        <v>79.969444275000001</v>
      </c>
      <c r="E1820">
        <v>50</v>
      </c>
      <c r="F1820">
        <v>48.366275786999999</v>
      </c>
      <c r="G1820">
        <v>1344.6618652</v>
      </c>
      <c r="H1820">
        <v>1340.8665771000001</v>
      </c>
      <c r="I1820">
        <v>1322.630249</v>
      </c>
      <c r="J1820">
        <v>1318.8703613</v>
      </c>
      <c r="K1820">
        <v>2400</v>
      </c>
      <c r="L1820">
        <v>0</v>
      </c>
      <c r="M1820">
        <v>0</v>
      </c>
      <c r="N1820">
        <v>2400</v>
      </c>
    </row>
    <row r="1821" spans="1:14" x14ac:dyDescent="0.25">
      <c r="A1821">
        <v>1127</v>
      </c>
      <c r="B1821" s="1">
        <f>DATE(2013,6,1) + TIME(0,0,0)</f>
        <v>41426</v>
      </c>
      <c r="C1821">
        <v>80</v>
      </c>
      <c r="D1821">
        <v>79.969406128000003</v>
      </c>
      <c r="E1821">
        <v>50</v>
      </c>
      <c r="F1821">
        <v>48.341205596999998</v>
      </c>
      <c r="G1821">
        <v>1344.6496582</v>
      </c>
      <c r="H1821">
        <v>1340.8605957</v>
      </c>
      <c r="I1821">
        <v>1322.6243896000001</v>
      </c>
      <c r="J1821">
        <v>1318.8621826000001</v>
      </c>
      <c r="K1821">
        <v>2400</v>
      </c>
      <c r="L1821">
        <v>0</v>
      </c>
      <c r="M1821">
        <v>0</v>
      </c>
      <c r="N1821">
        <v>2400</v>
      </c>
    </row>
    <row r="1822" spans="1:14" x14ac:dyDescent="0.25">
      <c r="A1822">
        <v>1127.6224999999999</v>
      </c>
      <c r="B1822" s="1">
        <f>DATE(2013,6,1) + TIME(14,56,24)</f>
        <v>41426.622499999998</v>
      </c>
      <c r="C1822">
        <v>80</v>
      </c>
      <c r="D1822">
        <v>79.969367981000005</v>
      </c>
      <c r="E1822">
        <v>50</v>
      </c>
      <c r="F1822">
        <v>48.316242217999999</v>
      </c>
      <c r="G1822">
        <v>1344.6373291</v>
      </c>
      <c r="H1822">
        <v>1340.8544922000001</v>
      </c>
      <c r="I1822">
        <v>1322.6181641000001</v>
      </c>
      <c r="J1822">
        <v>1318.8537598</v>
      </c>
      <c r="K1822">
        <v>2400</v>
      </c>
      <c r="L1822">
        <v>0</v>
      </c>
      <c r="M1822">
        <v>0</v>
      </c>
      <c r="N1822">
        <v>2400</v>
      </c>
    </row>
    <row r="1823" spans="1:14" x14ac:dyDescent="0.25">
      <c r="A1823">
        <v>1128.277212</v>
      </c>
      <c r="B1823" s="1">
        <f>DATE(2013,6,2) + TIME(6,39,11)</f>
        <v>41427.27721064815</v>
      </c>
      <c r="C1823">
        <v>80</v>
      </c>
      <c r="D1823">
        <v>79.969329834000007</v>
      </c>
      <c r="E1823">
        <v>50</v>
      </c>
      <c r="F1823">
        <v>48.290637969999999</v>
      </c>
      <c r="G1823">
        <v>1344.6252440999999</v>
      </c>
      <c r="H1823">
        <v>1340.8485106999999</v>
      </c>
      <c r="I1823">
        <v>1322.6119385</v>
      </c>
      <c r="J1823">
        <v>1318.8450928</v>
      </c>
      <c r="K1823">
        <v>2400</v>
      </c>
      <c r="L1823">
        <v>0</v>
      </c>
      <c r="M1823">
        <v>0</v>
      </c>
      <c r="N1823">
        <v>2400</v>
      </c>
    </row>
    <row r="1824" spans="1:14" x14ac:dyDescent="0.25">
      <c r="A1824">
        <v>1128.9453080000001</v>
      </c>
      <c r="B1824" s="1">
        <f>DATE(2013,6,2) + TIME(22,41,14)</f>
        <v>41427.945300925923</v>
      </c>
      <c r="C1824">
        <v>80</v>
      </c>
      <c r="D1824">
        <v>79.969291686999995</v>
      </c>
      <c r="E1824">
        <v>50</v>
      </c>
      <c r="F1824">
        <v>48.264652251999998</v>
      </c>
      <c r="G1824">
        <v>1344.612793</v>
      </c>
      <c r="H1824">
        <v>1340.8424072</v>
      </c>
      <c r="I1824">
        <v>1322.6053466999999</v>
      </c>
      <c r="J1824">
        <v>1318.8359375</v>
      </c>
      <c r="K1824">
        <v>2400</v>
      </c>
      <c r="L1824">
        <v>0</v>
      </c>
      <c r="M1824">
        <v>0</v>
      </c>
      <c r="N1824">
        <v>2400</v>
      </c>
    </row>
    <row r="1825" spans="1:14" x14ac:dyDescent="0.25">
      <c r="A1825">
        <v>1129.6264349999999</v>
      </c>
      <c r="B1825" s="1">
        <f>DATE(2013,6,3) + TIME(15,2,3)</f>
        <v>41428.626423611109</v>
      </c>
      <c r="C1825">
        <v>80</v>
      </c>
      <c r="D1825">
        <v>79.969253539999997</v>
      </c>
      <c r="E1825">
        <v>50</v>
      </c>
      <c r="F1825">
        <v>48.238319396999998</v>
      </c>
      <c r="G1825">
        <v>1344.6002197</v>
      </c>
      <c r="H1825">
        <v>1340.8363036999999</v>
      </c>
      <c r="I1825">
        <v>1322.5985106999999</v>
      </c>
      <c r="J1825">
        <v>1318.8264160000001</v>
      </c>
      <c r="K1825">
        <v>2400</v>
      </c>
      <c r="L1825">
        <v>0</v>
      </c>
      <c r="M1825">
        <v>0</v>
      </c>
      <c r="N1825">
        <v>2400</v>
      </c>
    </row>
    <row r="1826" spans="1:14" x14ac:dyDescent="0.25">
      <c r="A1826">
        <v>1130.322784</v>
      </c>
      <c r="B1826" s="1">
        <f>DATE(2013,6,4) + TIME(7,44,48)</f>
        <v>41429.322777777779</v>
      </c>
      <c r="C1826">
        <v>80</v>
      </c>
      <c r="D1826">
        <v>79.969215392999999</v>
      </c>
      <c r="E1826">
        <v>50</v>
      </c>
      <c r="F1826">
        <v>48.211627960000001</v>
      </c>
      <c r="G1826">
        <v>1344.5876464999999</v>
      </c>
      <c r="H1826">
        <v>1340.8300781</v>
      </c>
      <c r="I1826">
        <v>1322.5915527</v>
      </c>
      <c r="J1826">
        <v>1318.8166504000001</v>
      </c>
      <c r="K1826">
        <v>2400</v>
      </c>
      <c r="L1826">
        <v>0</v>
      </c>
      <c r="M1826">
        <v>0</v>
      </c>
      <c r="N1826">
        <v>2400</v>
      </c>
    </row>
    <row r="1827" spans="1:14" x14ac:dyDescent="0.25">
      <c r="A1827">
        <v>1131.036775</v>
      </c>
      <c r="B1827" s="1">
        <f>DATE(2013,6,5) + TIME(0,52,57)</f>
        <v>41430.036770833336</v>
      </c>
      <c r="C1827">
        <v>80</v>
      </c>
      <c r="D1827">
        <v>79.969177246000001</v>
      </c>
      <c r="E1827">
        <v>50</v>
      </c>
      <c r="F1827">
        <v>48.184528350999997</v>
      </c>
      <c r="G1827">
        <v>1344.5749512</v>
      </c>
      <c r="H1827">
        <v>1340.8238524999999</v>
      </c>
      <c r="I1827">
        <v>1322.5842285000001</v>
      </c>
      <c r="J1827">
        <v>1318.8063964999999</v>
      </c>
      <c r="K1827">
        <v>2400</v>
      </c>
      <c r="L1827">
        <v>0</v>
      </c>
      <c r="M1827">
        <v>0</v>
      </c>
      <c r="N1827">
        <v>2400</v>
      </c>
    </row>
    <row r="1828" spans="1:14" x14ac:dyDescent="0.25">
      <c r="A1828">
        <v>1131.7710939999999</v>
      </c>
      <c r="B1828" s="1">
        <f>DATE(2013,6,5) + TIME(18,30,22)</f>
        <v>41430.771087962959</v>
      </c>
      <c r="C1828">
        <v>80</v>
      </c>
      <c r="D1828">
        <v>79.969139099000003</v>
      </c>
      <c r="E1828">
        <v>50</v>
      </c>
      <c r="F1828">
        <v>48.156955719000003</v>
      </c>
      <c r="G1828">
        <v>1344.5622559000001</v>
      </c>
      <c r="H1828">
        <v>1340.8175048999999</v>
      </c>
      <c r="I1828">
        <v>1322.5766602000001</v>
      </c>
      <c r="J1828">
        <v>1318.7957764</v>
      </c>
      <c r="K1828">
        <v>2400</v>
      </c>
      <c r="L1828">
        <v>0</v>
      </c>
      <c r="M1828">
        <v>0</v>
      </c>
      <c r="N1828">
        <v>2400</v>
      </c>
    </row>
    <row r="1829" spans="1:14" x14ac:dyDescent="0.25">
      <c r="A1829">
        <v>1132.143564</v>
      </c>
      <c r="B1829" s="1">
        <f>DATE(2013,6,6) + TIME(3,26,43)</f>
        <v>41431.143553240741</v>
      </c>
      <c r="C1829">
        <v>80</v>
      </c>
      <c r="D1829">
        <v>79.969108582000004</v>
      </c>
      <c r="E1829">
        <v>50</v>
      </c>
      <c r="F1829">
        <v>48.138858794999997</v>
      </c>
      <c r="G1829">
        <v>1344.5491943</v>
      </c>
      <c r="H1829">
        <v>1340.8110352000001</v>
      </c>
      <c r="I1829">
        <v>1322.5689697</v>
      </c>
      <c r="J1829">
        <v>1318.7856445</v>
      </c>
      <c r="K1829">
        <v>2400</v>
      </c>
      <c r="L1829">
        <v>0</v>
      </c>
      <c r="M1829">
        <v>0</v>
      </c>
      <c r="N1829">
        <v>2400</v>
      </c>
    </row>
    <row r="1830" spans="1:14" x14ac:dyDescent="0.25">
      <c r="A1830">
        <v>1132.516034</v>
      </c>
      <c r="B1830" s="1">
        <f>DATE(2013,6,6) + TIME(12,23,5)</f>
        <v>41431.516030092593</v>
      </c>
      <c r="C1830">
        <v>80</v>
      </c>
      <c r="D1830">
        <v>79.969078064000001</v>
      </c>
      <c r="E1830">
        <v>50</v>
      </c>
      <c r="F1830">
        <v>48.121997833000002</v>
      </c>
      <c r="G1830">
        <v>1344.5427245999999</v>
      </c>
      <c r="H1830">
        <v>1340.8078613</v>
      </c>
      <c r="I1830">
        <v>1322.5646973</v>
      </c>
      <c r="J1830">
        <v>1318.7794189000001</v>
      </c>
      <c r="K1830">
        <v>2400</v>
      </c>
      <c r="L1830">
        <v>0</v>
      </c>
      <c r="M1830">
        <v>0</v>
      </c>
      <c r="N1830">
        <v>2400</v>
      </c>
    </row>
    <row r="1831" spans="1:14" x14ac:dyDescent="0.25">
      <c r="A1831">
        <v>1132.888504</v>
      </c>
      <c r="B1831" s="1">
        <f>DATE(2013,6,6) + TIME(21,19,26)</f>
        <v>41431.888495370367</v>
      </c>
      <c r="C1831">
        <v>80</v>
      </c>
      <c r="D1831">
        <v>79.969055175999998</v>
      </c>
      <c r="E1831">
        <v>50</v>
      </c>
      <c r="F1831">
        <v>48.106021880999997</v>
      </c>
      <c r="G1831">
        <v>1344.5363769999999</v>
      </c>
      <c r="H1831">
        <v>1340.8046875</v>
      </c>
      <c r="I1831">
        <v>1322.5604248</v>
      </c>
      <c r="J1831">
        <v>1318.7733154</v>
      </c>
      <c r="K1831">
        <v>2400</v>
      </c>
      <c r="L1831">
        <v>0</v>
      </c>
      <c r="M1831">
        <v>0</v>
      </c>
      <c r="N1831">
        <v>2400</v>
      </c>
    </row>
    <row r="1832" spans="1:14" x14ac:dyDescent="0.25">
      <c r="A1832">
        <v>1133.6334440000001</v>
      </c>
      <c r="B1832" s="1">
        <f>DATE(2013,6,7) + TIME(15,12,9)</f>
        <v>41432.633437500001</v>
      </c>
      <c r="C1832">
        <v>80</v>
      </c>
      <c r="D1832">
        <v>79.969032287999994</v>
      </c>
      <c r="E1832">
        <v>50</v>
      </c>
      <c r="F1832">
        <v>48.082389831999997</v>
      </c>
      <c r="G1832">
        <v>1344.5301514</v>
      </c>
      <c r="H1832">
        <v>1340.8015137</v>
      </c>
      <c r="I1832">
        <v>1322.5560303</v>
      </c>
      <c r="J1832">
        <v>1318.7664795000001</v>
      </c>
      <c r="K1832">
        <v>2400</v>
      </c>
      <c r="L1832">
        <v>0</v>
      </c>
      <c r="M1832">
        <v>0</v>
      </c>
      <c r="N1832">
        <v>2400</v>
      </c>
    </row>
    <row r="1833" spans="1:14" x14ac:dyDescent="0.25">
      <c r="A1833">
        <v>1134.378502</v>
      </c>
      <c r="B1833" s="1">
        <f>DATE(2013,6,8) + TIME(9,5,2)</f>
        <v>41433.378495370373</v>
      </c>
      <c r="C1833">
        <v>80</v>
      </c>
      <c r="D1833">
        <v>79.969001770000006</v>
      </c>
      <c r="E1833">
        <v>50</v>
      </c>
      <c r="F1833">
        <v>48.05695343</v>
      </c>
      <c r="G1833">
        <v>1344.5175781</v>
      </c>
      <c r="H1833">
        <v>1340.7952881000001</v>
      </c>
      <c r="I1833">
        <v>1322.5479736</v>
      </c>
      <c r="J1833">
        <v>1318.755249</v>
      </c>
      <c r="K1833">
        <v>2400</v>
      </c>
      <c r="L1833">
        <v>0</v>
      </c>
      <c r="M1833">
        <v>0</v>
      </c>
      <c r="N1833">
        <v>2400</v>
      </c>
    </row>
    <row r="1834" spans="1:14" x14ac:dyDescent="0.25">
      <c r="A1834">
        <v>1135.127324</v>
      </c>
      <c r="B1834" s="1">
        <f>DATE(2013,6,9) + TIME(3,3,20)</f>
        <v>41434.127314814818</v>
      </c>
      <c r="C1834">
        <v>80</v>
      </c>
      <c r="D1834">
        <v>79.968963622999993</v>
      </c>
      <c r="E1834">
        <v>50</v>
      </c>
      <c r="F1834">
        <v>48.030586243000002</v>
      </c>
      <c r="G1834">
        <v>1344.5051269999999</v>
      </c>
      <c r="H1834">
        <v>1340.7890625</v>
      </c>
      <c r="I1834">
        <v>1322.5396728999999</v>
      </c>
      <c r="J1834">
        <v>1318.7435303</v>
      </c>
      <c r="K1834">
        <v>2400</v>
      </c>
      <c r="L1834">
        <v>0</v>
      </c>
      <c r="M1834">
        <v>0</v>
      </c>
      <c r="N1834">
        <v>2400</v>
      </c>
    </row>
    <row r="1835" spans="1:14" x14ac:dyDescent="0.25">
      <c r="A1835">
        <v>1135.8818920000001</v>
      </c>
      <c r="B1835" s="1">
        <f>DATE(2013,6,9) + TIME(21,9,55)</f>
        <v>41434.881886574076</v>
      </c>
      <c r="C1835">
        <v>80</v>
      </c>
      <c r="D1835">
        <v>79.968925475999995</v>
      </c>
      <c r="E1835">
        <v>50</v>
      </c>
      <c r="F1835">
        <v>48.003726958999998</v>
      </c>
      <c r="G1835">
        <v>1344.4929199000001</v>
      </c>
      <c r="H1835">
        <v>1340.7829589999999</v>
      </c>
      <c r="I1835">
        <v>1322.5311279</v>
      </c>
      <c r="J1835">
        <v>1318.7315673999999</v>
      </c>
      <c r="K1835">
        <v>2400</v>
      </c>
      <c r="L1835">
        <v>0</v>
      </c>
      <c r="M1835">
        <v>0</v>
      </c>
      <c r="N1835">
        <v>2400</v>
      </c>
    </row>
    <row r="1836" spans="1:14" x14ac:dyDescent="0.25">
      <c r="A1836">
        <v>1136.6479340000001</v>
      </c>
      <c r="B1836" s="1">
        <f>DATE(2013,6,10) + TIME(15,33,1)</f>
        <v>41435.647928240738</v>
      </c>
      <c r="C1836">
        <v>80</v>
      </c>
      <c r="D1836">
        <v>79.968894958000007</v>
      </c>
      <c r="E1836">
        <v>50</v>
      </c>
      <c r="F1836">
        <v>47.976501464999998</v>
      </c>
      <c r="G1836">
        <v>1344.4807129000001</v>
      </c>
      <c r="H1836">
        <v>1340.7768555</v>
      </c>
      <c r="I1836">
        <v>1322.5224608999999</v>
      </c>
      <c r="J1836">
        <v>1318.7191161999999</v>
      </c>
      <c r="K1836">
        <v>2400</v>
      </c>
      <c r="L1836">
        <v>0</v>
      </c>
      <c r="M1836">
        <v>0</v>
      </c>
      <c r="N1836">
        <v>2400</v>
      </c>
    </row>
    <row r="1837" spans="1:14" x14ac:dyDescent="0.25">
      <c r="A1837">
        <v>1137.4279750000001</v>
      </c>
      <c r="B1837" s="1">
        <f>DATE(2013,6,11) + TIME(10,16,17)</f>
        <v>41436.427974537037</v>
      </c>
      <c r="C1837">
        <v>80</v>
      </c>
      <c r="D1837">
        <v>79.968856811999999</v>
      </c>
      <c r="E1837">
        <v>50</v>
      </c>
      <c r="F1837">
        <v>47.948955536</v>
      </c>
      <c r="G1837">
        <v>1344.4685059000001</v>
      </c>
      <c r="H1837">
        <v>1340.7707519999999</v>
      </c>
      <c r="I1837">
        <v>1322.5134277</v>
      </c>
      <c r="J1837">
        <v>1318.7064209</v>
      </c>
      <c r="K1837">
        <v>2400</v>
      </c>
      <c r="L1837">
        <v>0</v>
      </c>
      <c r="M1837">
        <v>0</v>
      </c>
      <c r="N1837">
        <v>2400</v>
      </c>
    </row>
    <row r="1838" spans="1:14" x14ac:dyDescent="0.25">
      <c r="A1838">
        <v>1138.224901</v>
      </c>
      <c r="B1838" s="1">
        <f>DATE(2013,6,12) + TIME(5,23,51)</f>
        <v>41437.224895833337</v>
      </c>
      <c r="C1838">
        <v>80</v>
      </c>
      <c r="D1838">
        <v>79.968818665000001</v>
      </c>
      <c r="E1838">
        <v>50</v>
      </c>
      <c r="F1838">
        <v>47.921070098999998</v>
      </c>
      <c r="G1838">
        <v>1344.4562988</v>
      </c>
      <c r="H1838">
        <v>1340.7646483999999</v>
      </c>
      <c r="I1838">
        <v>1322.5041504000001</v>
      </c>
      <c r="J1838">
        <v>1318.6932373</v>
      </c>
      <c r="K1838">
        <v>2400</v>
      </c>
      <c r="L1838">
        <v>0</v>
      </c>
      <c r="M1838">
        <v>0</v>
      </c>
      <c r="N1838">
        <v>2400</v>
      </c>
    </row>
    <row r="1839" spans="1:14" x14ac:dyDescent="0.25">
      <c r="A1839">
        <v>1139.041367</v>
      </c>
      <c r="B1839" s="1">
        <f>DATE(2013,6,13) + TIME(0,59,34)</f>
        <v>41438.041365740741</v>
      </c>
      <c r="C1839">
        <v>80</v>
      </c>
      <c r="D1839">
        <v>79.968788146999998</v>
      </c>
      <c r="E1839">
        <v>50</v>
      </c>
      <c r="F1839">
        <v>47.892803192000002</v>
      </c>
      <c r="G1839">
        <v>1344.4439697</v>
      </c>
      <c r="H1839">
        <v>1340.7584228999999</v>
      </c>
      <c r="I1839">
        <v>1322.4946289</v>
      </c>
      <c r="J1839">
        <v>1318.6795654</v>
      </c>
      <c r="K1839">
        <v>2400</v>
      </c>
      <c r="L1839">
        <v>0</v>
      </c>
      <c r="M1839">
        <v>0</v>
      </c>
      <c r="N1839">
        <v>2400</v>
      </c>
    </row>
    <row r="1840" spans="1:14" x14ac:dyDescent="0.25">
      <c r="A1840">
        <v>1139.876029</v>
      </c>
      <c r="B1840" s="1">
        <f>DATE(2013,6,13) + TIME(21,1,28)</f>
        <v>41438.876018518517</v>
      </c>
      <c r="C1840">
        <v>80</v>
      </c>
      <c r="D1840">
        <v>79.96875</v>
      </c>
      <c r="E1840">
        <v>50</v>
      </c>
      <c r="F1840">
        <v>47.864162444999998</v>
      </c>
      <c r="G1840">
        <v>1344.4316406</v>
      </c>
      <c r="H1840">
        <v>1340.7521973</v>
      </c>
      <c r="I1840">
        <v>1322.4847411999999</v>
      </c>
      <c r="J1840">
        <v>1318.6654053</v>
      </c>
      <c r="K1840">
        <v>2400</v>
      </c>
      <c r="L1840">
        <v>0</v>
      </c>
      <c r="M1840">
        <v>0</v>
      </c>
      <c r="N1840">
        <v>2400</v>
      </c>
    </row>
    <row r="1841" spans="1:14" x14ac:dyDescent="0.25">
      <c r="A1841">
        <v>1140.729423</v>
      </c>
      <c r="B1841" s="1">
        <f>DATE(2013,6,14) + TIME(17,30,22)</f>
        <v>41439.729421296295</v>
      </c>
      <c r="C1841">
        <v>80</v>
      </c>
      <c r="D1841">
        <v>79.968711853000002</v>
      </c>
      <c r="E1841">
        <v>50</v>
      </c>
      <c r="F1841">
        <v>47.835147857999999</v>
      </c>
      <c r="G1841">
        <v>1344.4191894999999</v>
      </c>
      <c r="H1841">
        <v>1340.7459716999999</v>
      </c>
      <c r="I1841">
        <v>1322.4744873</v>
      </c>
      <c r="J1841">
        <v>1318.6506348</v>
      </c>
      <c r="K1841">
        <v>2400</v>
      </c>
      <c r="L1841">
        <v>0</v>
      </c>
      <c r="M1841">
        <v>0</v>
      </c>
      <c r="N1841">
        <v>2400</v>
      </c>
    </row>
    <row r="1842" spans="1:14" x14ac:dyDescent="0.25">
      <c r="A1842">
        <v>1141.604863</v>
      </c>
      <c r="B1842" s="1">
        <f>DATE(2013,6,15) + TIME(14,31,0)</f>
        <v>41440.604861111111</v>
      </c>
      <c r="C1842">
        <v>80</v>
      </c>
      <c r="D1842">
        <v>79.968681334999999</v>
      </c>
      <c r="E1842">
        <v>50</v>
      </c>
      <c r="F1842">
        <v>47.805713654000002</v>
      </c>
      <c r="G1842">
        <v>1344.4066161999999</v>
      </c>
      <c r="H1842">
        <v>1340.7395019999999</v>
      </c>
      <c r="I1842">
        <v>1322.4638672000001</v>
      </c>
      <c r="J1842">
        <v>1318.635376</v>
      </c>
      <c r="K1842">
        <v>2400</v>
      </c>
      <c r="L1842">
        <v>0</v>
      </c>
      <c r="M1842">
        <v>0</v>
      </c>
      <c r="N1842">
        <v>2400</v>
      </c>
    </row>
    <row r="1843" spans="1:14" x14ac:dyDescent="0.25">
      <c r="A1843">
        <v>1142.504048</v>
      </c>
      <c r="B1843" s="1">
        <f>DATE(2013,6,16) + TIME(12,5,49)</f>
        <v>41441.50403935185</v>
      </c>
      <c r="C1843">
        <v>80</v>
      </c>
      <c r="D1843">
        <v>79.968643188000001</v>
      </c>
      <c r="E1843">
        <v>50</v>
      </c>
      <c r="F1843">
        <v>47.775817871000001</v>
      </c>
      <c r="G1843">
        <v>1344.3939209</v>
      </c>
      <c r="H1843">
        <v>1340.7331543</v>
      </c>
      <c r="I1843">
        <v>1322.4528809000001</v>
      </c>
      <c r="J1843">
        <v>1318.6195068</v>
      </c>
      <c r="K1843">
        <v>2400</v>
      </c>
      <c r="L1843">
        <v>0</v>
      </c>
      <c r="M1843">
        <v>0</v>
      </c>
      <c r="N1843">
        <v>2400</v>
      </c>
    </row>
    <row r="1844" spans="1:14" x14ac:dyDescent="0.25">
      <c r="A1844">
        <v>1143.4248660000001</v>
      </c>
      <c r="B1844" s="1">
        <f>DATE(2013,6,17) + TIME(10,11,48)</f>
        <v>41442.424861111111</v>
      </c>
      <c r="C1844">
        <v>80</v>
      </c>
      <c r="D1844">
        <v>79.968605041999993</v>
      </c>
      <c r="E1844">
        <v>50</v>
      </c>
      <c r="F1844">
        <v>47.745479584000002</v>
      </c>
      <c r="G1844">
        <v>1344.3811035000001</v>
      </c>
      <c r="H1844">
        <v>1340.7265625</v>
      </c>
      <c r="I1844">
        <v>1322.4414062000001</v>
      </c>
      <c r="J1844">
        <v>1318.6030272999999</v>
      </c>
      <c r="K1844">
        <v>2400</v>
      </c>
      <c r="L1844">
        <v>0</v>
      </c>
      <c r="M1844">
        <v>0</v>
      </c>
      <c r="N1844">
        <v>2400</v>
      </c>
    </row>
    <row r="1845" spans="1:14" x14ac:dyDescent="0.25">
      <c r="A1845">
        <v>1144.3707489999999</v>
      </c>
      <c r="B1845" s="1">
        <f>DATE(2013,6,18) + TIME(8,53,52)</f>
        <v>41443.370740740742</v>
      </c>
      <c r="C1845">
        <v>80</v>
      </c>
      <c r="D1845">
        <v>79.968574524000005</v>
      </c>
      <c r="E1845">
        <v>50</v>
      </c>
      <c r="F1845">
        <v>47.714672088999997</v>
      </c>
      <c r="G1845">
        <v>1344.3681641000001</v>
      </c>
      <c r="H1845">
        <v>1340.7199707</v>
      </c>
      <c r="I1845">
        <v>1322.4295654</v>
      </c>
      <c r="J1845">
        <v>1318.5858154</v>
      </c>
      <c r="K1845">
        <v>2400</v>
      </c>
      <c r="L1845">
        <v>0</v>
      </c>
      <c r="M1845">
        <v>0</v>
      </c>
      <c r="N1845">
        <v>2400</v>
      </c>
    </row>
    <row r="1846" spans="1:14" x14ac:dyDescent="0.25">
      <c r="A1846">
        <v>1145.345548</v>
      </c>
      <c r="B1846" s="1">
        <f>DATE(2013,6,19) + TIME(8,17,35)</f>
        <v>41444.345543981479</v>
      </c>
      <c r="C1846">
        <v>80</v>
      </c>
      <c r="D1846">
        <v>79.968536377000007</v>
      </c>
      <c r="E1846">
        <v>50</v>
      </c>
      <c r="F1846">
        <v>47.683319091999998</v>
      </c>
      <c r="G1846">
        <v>1344.3551024999999</v>
      </c>
      <c r="H1846">
        <v>1340.7132568</v>
      </c>
      <c r="I1846">
        <v>1322.4172363</v>
      </c>
      <c r="J1846">
        <v>1318.5679932</v>
      </c>
      <c r="K1846">
        <v>2400</v>
      </c>
      <c r="L1846">
        <v>0</v>
      </c>
      <c r="M1846">
        <v>0</v>
      </c>
      <c r="N1846">
        <v>2400</v>
      </c>
    </row>
    <row r="1847" spans="1:14" x14ac:dyDescent="0.25">
      <c r="A1847">
        <v>1145.834282</v>
      </c>
      <c r="B1847" s="1">
        <f>DATE(2013,6,19) + TIME(20,1,21)</f>
        <v>41444.834270833337</v>
      </c>
      <c r="C1847">
        <v>80</v>
      </c>
      <c r="D1847">
        <v>79.968505859000004</v>
      </c>
      <c r="E1847">
        <v>50</v>
      </c>
      <c r="F1847">
        <v>47.661876677999999</v>
      </c>
      <c r="G1847">
        <v>1344.3416748</v>
      </c>
      <c r="H1847">
        <v>1340.7064209</v>
      </c>
      <c r="I1847">
        <v>1322.4050293</v>
      </c>
      <c r="J1847">
        <v>1318.5509033000001</v>
      </c>
      <c r="K1847">
        <v>2400</v>
      </c>
      <c r="L1847">
        <v>0</v>
      </c>
      <c r="M1847">
        <v>0</v>
      </c>
      <c r="N1847">
        <v>2400</v>
      </c>
    </row>
    <row r="1848" spans="1:14" x14ac:dyDescent="0.25">
      <c r="A1848">
        <v>1146.3220209999999</v>
      </c>
      <c r="B1848" s="1">
        <f>DATE(2013,6,20) + TIME(7,43,42)</f>
        <v>41445.322013888886</v>
      </c>
      <c r="C1848">
        <v>80</v>
      </c>
      <c r="D1848">
        <v>79.968482971</v>
      </c>
      <c r="E1848">
        <v>50</v>
      </c>
      <c r="F1848">
        <v>47.642536163000003</v>
      </c>
      <c r="G1848">
        <v>1344.3352050999999</v>
      </c>
      <c r="H1848">
        <v>1340.7030029</v>
      </c>
      <c r="I1848">
        <v>1322.3979492000001</v>
      </c>
      <c r="J1848">
        <v>1318.5402832</v>
      </c>
      <c r="K1848">
        <v>2400</v>
      </c>
      <c r="L1848">
        <v>0</v>
      </c>
      <c r="M1848">
        <v>0</v>
      </c>
      <c r="N1848">
        <v>2400</v>
      </c>
    </row>
    <row r="1849" spans="1:14" x14ac:dyDescent="0.25">
      <c r="A1849">
        <v>1146.8097600000001</v>
      </c>
      <c r="B1849" s="1">
        <f>DATE(2013,6,20) + TIME(19,26,3)</f>
        <v>41445.809756944444</v>
      </c>
      <c r="C1849">
        <v>80</v>
      </c>
      <c r="D1849">
        <v>79.968460082999997</v>
      </c>
      <c r="E1849">
        <v>50</v>
      </c>
      <c r="F1849">
        <v>47.624549866000002</v>
      </c>
      <c r="G1849">
        <v>1344.3287353999999</v>
      </c>
      <c r="H1849">
        <v>1340.6995850000001</v>
      </c>
      <c r="I1849">
        <v>1322.3911132999999</v>
      </c>
      <c r="J1849">
        <v>1318.5300293</v>
      </c>
      <c r="K1849">
        <v>2400</v>
      </c>
      <c r="L1849">
        <v>0</v>
      </c>
      <c r="M1849">
        <v>0</v>
      </c>
      <c r="N1849">
        <v>2400</v>
      </c>
    </row>
    <row r="1850" spans="1:14" x14ac:dyDescent="0.25">
      <c r="A1850">
        <v>1147.297499</v>
      </c>
      <c r="B1850" s="1">
        <f>DATE(2013,6,21) + TIME(7,8,23)</f>
        <v>41446.297488425924</v>
      </c>
      <c r="C1850">
        <v>80</v>
      </c>
      <c r="D1850">
        <v>79.968437195000007</v>
      </c>
      <c r="E1850">
        <v>50</v>
      </c>
      <c r="F1850">
        <v>47.607460021999998</v>
      </c>
      <c r="G1850">
        <v>1344.3222656</v>
      </c>
      <c r="H1850">
        <v>1340.6962891000001</v>
      </c>
      <c r="I1850">
        <v>1322.3842772999999</v>
      </c>
      <c r="J1850">
        <v>1318.5198975000001</v>
      </c>
      <c r="K1850">
        <v>2400</v>
      </c>
      <c r="L1850">
        <v>0</v>
      </c>
      <c r="M1850">
        <v>0</v>
      </c>
      <c r="N1850">
        <v>2400</v>
      </c>
    </row>
    <row r="1851" spans="1:14" x14ac:dyDescent="0.25">
      <c r="A1851">
        <v>1148.2729770000001</v>
      </c>
      <c r="B1851" s="1">
        <f>DATE(2013,6,22) + TIME(6,33,5)</f>
        <v>41447.272974537038</v>
      </c>
      <c r="C1851">
        <v>80</v>
      </c>
      <c r="D1851">
        <v>79.968421935999999</v>
      </c>
      <c r="E1851">
        <v>50</v>
      </c>
      <c r="F1851">
        <v>47.583221436000002</v>
      </c>
      <c r="G1851">
        <v>1344.315918</v>
      </c>
      <c r="H1851">
        <v>1340.6929932</v>
      </c>
      <c r="I1851">
        <v>1322.3769531</v>
      </c>
      <c r="J1851">
        <v>1318.5086670000001</v>
      </c>
      <c r="K1851">
        <v>2400</v>
      </c>
      <c r="L1851">
        <v>0</v>
      </c>
      <c r="M1851">
        <v>0</v>
      </c>
      <c r="N1851">
        <v>2400</v>
      </c>
    </row>
    <row r="1852" spans="1:14" x14ac:dyDescent="0.25">
      <c r="A1852">
        <v>1149.249188</v>
      </c>
      <c r="B1852" s="1">
        <f>DATE(2013,6,23) + TIME(5,58,49)</f>
        <v>41448.249178240738</v>
      </c>
      <c r="C1852">
        <v>80</v>
      </c>
      <c r="D1852">
        <v>79.968391417999996</v>
      </c>
      <c r="E1852">
        <v>50</v>
      </c>
      <c r="F1852">
        <v>47.555599213000001</v>
      </c>
      <c r="G1852">
        <v>1344.3033447</v>
      </c>
      <c r="H1852">
        <v>1340.6865233999999</v>
      </c>
      <c r="I1852">
        <v>1322.3642577999999</v>
      </c>
      <c r="J1852">
        <v>1318.4904785000001</v>
      </c>
      <c r="K1852">
        <v>2400</v>
      </c>
      <c r="L1852">
        <v>0</v>
      </c>
      <c r="M1852">
        <v>0</v>
      </c>
      <c r="N1852">
        <v>2400</v>
      </c>
    </row>
    <row r="1853" spans="1:14" x14ac:dyDescent="0.25">
      <c r="A1853">
        <v>1150.2378180000001</v>
      </c>
      <c r="B1853" s="1">
        <f>DATE(2013,6,24) + TIME(5,42,27)</f>
        <v>41449.237812500003</v>
      </c>
      <c r="C1853">
        <v>80</v>
      </c>
      <c r="D1853">
        <v>79.968360900999997</v>
      </c>
      <c r="E1853">
        <v>50</v>
      </c>
      <c r="F1853">
        <v>47.526397705000001</v>
      </c>
      <c r="G1853">
        <v>1344.2907714999999</v>
      </c>
      <c r="H1853">
        <v>1340.6799315999999</v>
      </c>
      <c r="I1853">
        <v>1322.3511963000001</v>
      </c>
      <c r="J1853">
        <v>1318.4713135</v>
      </c>
      <c r="K1853">
        <v>2400</v>
      </c>
      <c r="L1853">
        <v>0</v>
      </c>
      <c r="M1853">
        <v>0</v>
      </c>
      <c r="N1853">
        <v>2400</v>
      </c>
    </row>
    <row r="1854" spans="1:14" x14ac:dyDescent="0.25">
      <c r="A1854">
        <v>1151.2437620000001</v>
      </c>
      <c r="B1854" s="1">
        <f>DATE(2013,6,25) + TIME(5,51,1)</f>
        <v>41450.243761574071</v>
      </c>
      <c r="C1854">
        <v>80</v>
      </c>
      <c r="D1854">
        <v>79.968330382999994</v>
      </c>
      <c r="E1854">
        <v>50</v>
      </c>
      <c r="F1854">
        <v>47.496360779</v>
      </c>
      <c r="G1854">
        <v>1344.2783202999999</v>
      </c>
      <c r="H1854">
        <v>1340.6734618999999</v>
      </c>
      <c r="I1854">
        <v>1322.3375243999999</v>
      </c>
      <c r="J1854">
        <v>1318.4514160000001</v>
      </c>
      <c r="K1854">
        <v>2400</v>
      </c>
      <c r="L1854">
        <v>0</v>
      </c>
      <c r="M1854">
        <v>0</v>
      </c>
      <c r="N1854">
        <v>2400</v>
      </c>
    </row>
    <row r="1855" spans="1:14" x14ac:dyDescent="0.25">
      <c r="A1855">
        <v>1152.271203</v>
      </c>
      <c r="B1855" s="1">
        <f>DATE(2013,6,26) + TIME(6,30,31)</f>
        <v>41451.271192129629</v>
      </c>
      <c r="C1855">
        <v>80</v>
      </c>
      <c r="D1855">
        <v>79.968299865999995</v>
      </c>
      <c r="E1855">
        <v>50</v>
      </c>
      <c r="F1855">
        <v>47.46578598</v>
      </c>
      <c r="G1855">
        <v>1344.2658690999999</v>
      </c>
      <c r="H1855">
        <v>1340.6669922000001</v>
      </c>
      <c r="I1855">
        <v>1322.3234863</v>
      </c>
      <c r="J1855">
        <v>1318.4306641000001</v>
      </c>
      <c r="K1855">
        <v>2400</v>
      </c>
      <c r="L1855">
        <v>0</v>
      </c>
      <c r="M1855">
        <v>0</v>
      </c>
      <c r="N1855">
        <v>2400</v>
      </c>
    </row>
    <row r="1856" spans="1:14" x14ac:dyDescent="0.25">
      <c r="A1856">
        <v>1153.3122209999999</v>
      </c>
      <c r="B1856" s="1">
        <f>DATE(2013,6,27) + TIME(7,29,35)</f>
        <v>41452.312210648146</v>
      </c>
      <c r="C1856">
        <v>80</v>
      </c>
      <c r="D1856">
        <v>79.968269348000007</v>
      </c>
      <c r="E1856">
        <v>50</v>
      </c>
      <c r="F1856">
        <v>47.434925079000003</v>
      </c>
      <c r="G1856">
        <v>1344.2532959</v>
      </c>
      <c r="H1856">
        <v>1340.6604004000001</v>
      </c>
      <c r="I1856">
        <v>1322.3089600000001</v>
      </c>
      <c r="J1856">
        <v>1318.4093018000001</v>
      </c>
      <c r="K1856">
        <v>2400</v>
      </c>
      <c r="L1856">
        <v>0</v>
      </c>
      <c r="M1856">
        <v>0</v>
      </c>
      <c r="N1856">
        <v>2400</v>
      </c>
    </row>
    <row r="1857" spans="1:14" x14ac:dyDescent="0.25">
      <c r="A1857">
        <v>1154.3677970000001</v>
      </c>
      <c r="B1857" s="1">
        <f>DATE(2013,6,28) + TIME(8,49,37)</f>
        <v>41453.367789351854</v>
      </c>
      <c r="C1857">
        <v>80</v>
      </c>
      <c r="D1857">
        <v>79.968238830999994</v>
      </c>
      <c r="E1857">
        <v>50</v>
      </c>
      <c r="F1857">
        <v>47.403915404999999</v>
      </c>
      <c r="G1857">
        <v>1344.2408447</v>
      </c>
      <c r="H1857">
        <v>1340.6536865</v>
      </c>
      <c r="I1857">
        <v>1322.2941894999999</v>
      </c>
      <c r="J1857">
        <v>1318.3873291</v>
      </c>
      <c r="K1857">
        <v>2400</v>
      </c>
      <c r="L1857">
        <v>0</v>
      </c>
      <c r="M1857">
        <v>0</v>
      </c>
      <c r="N1857">
        <v>2400</v>
      </c>
    </row>
    <row r="1858" spans="1:14" x14ac:dyDescent="0.25">
      <c r="A1858">
        <v>1155.4459549999999</v>
      </c>
      <c r="B1858" s="1">
        <f>DATE(2013,6,29) + TIME(10,42,10)</f>
        <v>41454.445949074077</v>
      </c>
      <c r="C1858">
        <v>80</v>
      </c>
      <c r="D1858">
        <v>79.968208313000005</v>
      </c>
      <c r="E1858">
        <v>50</v>
      </c>
      <c r="F1858">
        <v>47.372722625999998</v>
      </c>
      <c r="G1858">
        <v>1344.2282714999999</v>
      </c>
      <c r="H1858">
        <v>1340.6470947</v>
      </c>
      <c r="I1858">
        <v>1322.2789307</v>
      </c>
      <c r="J1858">
        <v>1318.3648682</v>
      </c>
      <c r="K1858">
        <v>2400</v>
      </c>
      <c r="L1858">
        <v>0</v>
      </c>
      <c r="M1858">
        <v>0</v>
      </c>
      <c r="N1858">
        <v>2400</v>
      </c>
    </row>
    <row r="1859" spans="1:14" x14ac:dyDescent="0.25">
      <c r="A1859">
        <v>1156.550749</v>
      </c>
      <c r="B1859" s="1">
        <f>DATE(2013,6,30) + TIME(13,13,4)</f>
        <v>41455.550740740742</v>
      </c>
      <c r="C1859">
        <v>80</v>
      </c>
      <c r="D1859">
        <v>79.968177795000003</v>
      </c>
      <c r="E1859">
        <v>50</v>
      </c>
      <c r="F1859">
        <v>47.341274261000002</v>
      </c>
      <c r="G1859">
        <v>1344.2156981999999</v>
      </c>
      <c r="H1859">
        <v>1340.6403809000001</v>
      </c>
      <c r="I1859">
        <v>1322.2633057</v>
      </c>
      <c r="J1859">
        <v>1318.3415527</v>
      </c>
      <c r="K1859">
        <v>2400</v>
      </c>
      <c r="L1859">
        <v>0</v>
      </c>
      <c r="M1859">
        <v>0</v>
      </c>
      <c r="N1859">
        <v>2400</v>
      </c>
    </row>
    <row r="1860" spans="1:14" x14ac:dyDescent="0.25">
      <c r="A1860">
        <v>1157</v>
      </c>
      <c r="B1860" s="1">
        <f>DATE(2013,7,1) + TIME(0,0,0)</f>
        <v>41456</v>
      </c>
      <c r="C1860">
        <v>80</v>
      </c>
      <c r="D1860">
        <v>79.968147278000004</v>
      </c>
      <c r="E1860">
        <v>50</v>
      </c>
      <c r="F1860">
        <v>47.322093963999997</v>
      </c>
      <c r="G1860">
        <v>1344.2028809000001</v>
      </c>
      <c r="H1860">
        <v>1340.6336670000001</v>
      </c>
      <c r="I1860">
        <v>1322.2484131000001</v>
      </c>
      <c r="J1860">
        <v>1318.3203125</v>
      </c>
      <c r="K1860">
        <v>2400</v>
      </c>
      <c r="L1860">
        <v>0</v>
      </c>
      <c r="M1860">
        <v>0</v>
      </c>
      <c r="N1860">
        <v>2400</v>
      </c>
    </row>
    <row r="1861" spans="1:14" x14ac:dyDescent="0.25">
      <c r="A1861">
        <v>1158.136493</v>
      </c>
      <c r="B1861" s="1">
        <f>DATE(2013,7,2) + TIME(3,16,32)</f>
        <v>41457.136481481481</v>
      </c>
      <c r="C1861">
        <v>80</v>
      </c>
      <c r="D1861">
        <v>79.96812439</v>
      </c>
      <c r="E1861">
        <v>50</v>
      </c>
      <c r="F1861">
        <v>47.294063567999999</v>
      </c>
      <c r="G1861">
        <v>1344.197876</v>
      </c>
      <c r="H1861">
        <v>1340.6308594</v>
      </c>
      <c r="I1861">
        <v>1322.2397461</v>
      </c>
      <c r="J1861">
        <v>1318.3061522999999</v>
      </c>
      <c r="K1861">
        <v>2400</v>
      </c>
      <c r="L1861">
        <v>0</v>
      </c>
      <c r="M1861">
        <v>0</v>
      </c>
      <c r="N1861">
        <v>2400</v>
      </c>
    </row>
    <row r="1862" spans="1:14" x14ac:dyDescent="0.25">
      <c r="A1862">
        <v>1159.3258089999999</v>
      </c>
      <c r="B1862" s="1">
        <f>DATE(2013,7,3) + TIME(7,49,9)</f>
        <v>41458.325798611113</v>
      </c>
      <c r="C1862">
        <v>80</v>
      </c>
      <c r="D1862">
        <v>79.968101501000007</v>
      </c>
      <c r="E1862">
        <v>50</v>
      </c>
      <c r="F1862">
        <v>47.263412475999999</v>
      </c>
      <c r="G1862">
        <v>1344.1850586</v>
      </c>
      <c r="H1862">
        <v>1340.6240233999999</v>
      </c>
      <c r="I1862">
        <v>1322.2233887</v>
      </c>
      <c r="J1862">
        <v>1318.2819824000001</v>
      </c>
      <c r="K1862">
        <v>2400</v>
      </c>
      <c r="L1862">
        <v>0</v>
      </c>
      <c r="M1862">
        <v>0</v>
      </c>
      <c r="N1862">
        <v>2400</v>
      </c>
    </row>
    <row r="1863" spans="1:14" x14ac:dyDescent="0.25">
      <c r="A1863">
        <v>1160.5318380000001</v>
      </c>
      <c r="B1863" s="1">
        <f>DATE(2013,7,4) + TIME(12,45,50)</f>
        <v>41459.531828703701</v>
      </c>
      <c r="C1863">
        <v>80</v>
      </c>
      <c r="D1863">
        <v>79.968070983999993</v>
      </c>
      <c r="E1863">
        <v>50</v>
      </c>
      <c r="F1863">
        <v>47.231483459000003</v>
      </c>
      <c r="G1863">
        <v>1344.171875</v>
      </c>
      <c r="H1863">
        <v>1340.6169434000001</v>
      </c>
      <c r="I1863">
        <v>1322.2060547000001</v>
      </c>
      <c r="J1863">
        <v>1318.2559814000001</v>
      </c>
      <c r="K1863">
        <v>2400</v>
      </c>
      <c r="L1863">
        <v>0</v>
      </c>
      <c r="M1863">
        <v>0</v>
      </c>
      <c r="N1863">
        <v>2400</v>
      </c>
    </row>
    <row r="1864" spans="1:14" x14ac:dyDescent="0.25">
      <c r="A1864">
        <v>1161.739939</v>
      </c>
      <c r="B1864" s="1">
        <f>DATE(2013,7,5) + TIME(17,45,30)</f>
        <v>41460.739930555559</v>
      </c>
      <c r="C1864">
        <v>80</v>
      </c>
      <c r="D1864">
        <v>79.968040466000005</v>
      </c>
      <c r="E1864">
        <v>50</v>
      </c>
      <c r="F1864">
        <v>47.199249268000003</v>
      </c>
      <c r="G1864">
        <v>1344.1586914</v>
      </c>
      <c r="H1864">
        <v>1340.6098632999999</v>
      </c>
      <c r="I1864">
        <v>1322.1881103999999</v>
      </c>
      <c r="J1864">
        <v>1318.229126</v>
      </c>
      <c r="K1864">
        <v>2400</v>
      </c>
      <c r="L1864">
        <v>0</v>
      </c>
      <c r="M1864">
        <v>0</v>
      </c>
      <c r="N1864">
        <v>2400</v>
      </c>
    </row>
    <row r="1865" spans="1:14" x14ac:dyDescent="0.25">
      <c r="A1865">
        <v>1162.9515730000001</v>
      </c>
      <c r="B1865" s="1">
        <f>DATE(2013,7,6) + TIME(22,50,15)</f>
        <v>41461.951562499999</v>
      </c>
      <c r="C1865">
        <v>80</v>
      </c>
      <c r="D1865">
        <v>79.968009949000006</v>
      </c>
      <c r="E1865">
        <v>50</v>
      </c>
      <c r="F1865">
        <v>47.167190552000001</v>
      </c>
      <c r="G1865">
        <v>1344.1456298999999</v>
      </c>
      <c r="H1865">
        <v>1340.6027832</v>
      </c>
      <c r="I1865">
        <v>1322.1699219</v>
      </c>
      <c r="J1865">
        <v>1318.2019043</v>
      </c>
      <c r="K1865">
        <v>2400</v>
      </c>
      <c r="L1865">
        <v>0</v>
      </c>
      <c r="M1865">
        <v>0</v>
      </c>
      <c r="N1865">
        <v>2400</v>
      </c>
    </row>
    <row r="1866" spans="1:14" x14ac:dyDescent="0.25">
      <c r="A1866">
        <v>1164.1735080000001</v>
      </c>
      <c r="B1866" s="1">
        <f>DATE(2013,7,8) + TIME(4,9,51)</f>
        <v>41463.173506944448</v>
      </c>
      <c r="C1866">
        <v>80</v>
      </c>
      <c r="D1866">
        <v>79.967987061000002</v>
      </c>
      <c r="E1866">
        <v>50</v>
      </c>
      <c r="F1866">
        <v>47.135440826</v>
      </c>
      <c r="G1866">
        <v>1344.1328125</v>
      </c>
      <c r="H1866">
        <v>1340.5958252</v>
      </c>
      <c r="I1866">
        <v>1322.1514893000001</v>
      </c>
      <c r="J1866">
        <v>1318.1740723</v>
      </c>
      <c r="K1866">
        <v>2400</v>
      </c>
      <c r="L1866">
        <v>0</v>
      </c>
      <c r="M1866">
        <v>0</v>
      </c>
      <c r="N1866">
        <v>2400</v>
      </c>
    </row>
    <row r="1867" spans="1:14" x14ac:dyDescent="0.25">
      <c r="A1867">
        <v>1165.4182760000001</v>
      </c>
      <c r="B1867" s="1">
        <f>DATE(2013,7,9) + TIME(10,2,19)</f>
        <v>41464.418275462966</v>
      </c>
      <c r="C1867">
        <v>80</v>
      </c>
      <c r="D1867">
        <v>79.967956543</v>
      </c>
      <c r="E1867">
        <v>50</v>
      </c>
      <c r="F1867">
        <v>47.103916167999998</v>
      </c>
      <c r="G1867">
        <v>1344.1201172000001</v>
      </c>
      <c r="H1867">
        <v>1340.5888672000001</v>
      </c>
      <c r="I1867">
        <v>1322.1329346</v>
      </c>
      <c r="J1867">
        <v>1318.145874</v>
      </c>
      <c r="K1867">
        <v>2400</v>
      </c>
      <c r="L1867">
        <v>0</v>
      </c>
      <c r="M1867">
        <v>0</v>
      </c>
      <c r="N1867">
        <v>2400</v>
      </c>
    </row>
    <row r="1868" spans="1:14" x14ac:dyDescent="0.25">
      <c r="A1868">
        <v>1166.683959</v>
      </c>
      <c r="B1868" s="1">
        <f>DATE(2013,7,10) + TIME(16,24,54)</f>
        <v>41465.683958333335</v>
      </c>
      <c r="C1868">
        <v>80</v>
      </c>
      <c r="D1868">
        <v>79.967926024999997</v>
      </c>
      <c r="E1868">
        <v>50</v>
      </c>
      <c r="F1868">
        <v>47.072582245</v>
      </c>
      <c r="G1868">
        <v>1344.1072998</v>
      </c>
      <c r="H1868">
        <v>1340.5817870999999</v>
      </c>
      <c r="I1868">
        <v>1322.1137695</v>
      </c>
      <c r="J1868">
        <v>1318.1169434000001</v>
      </c>
      <c r="K1868">
        <v>2400</v>
      </c>
      <c r="L1868">
        <v>0</v>
      </c>
      <c r="M1868">
        <v>0</v>
      </c>
      <c r="N1868">
        <v>2400</v>
      </c>
    </row>
    <row r="1869" spans="1:14" x14ac:dyDescent="0.25">
      <c r="A1869">
        <v>1167.958658</v>
      </c>
      <c r="B1869" s="1">
        <f>DATE(2013,7,11) + TIME(23,0,28)</f>
        <v>41466.958657407406</v>
      </c>
      <c r="C1869">
        <v>80</v>
      </c>
      <c r="D1869">
        <v>79.967903136999993</v>
      </c>
      <c r="E1869">
        <v>50</v>
      </c>
      <c r="F1869">
        <v>47.041584014999998</v>
      </c>
      <c r="G1869">
        <v>1344.0944824000001</v>
      </c>
      <c r="H1869">
        <v>1340.574707</v>
      </c>
      <c r="I1869">
        <v>1322.0943603999999</v>
      </c>
      <c r="J1869">
        <v>1318.0874022999999</v>
      </c>
      <c r="K1869">
        <v>2400</v>
      </c>
      <c r="L1869">
        <v>0</v>
      </c>
      <c r="M1869">
        <v>0</v>
      </c>
      <c r="N1869">
        <v>2400</v>
      </c>
    </row>
    <row r="1870" spans="1:14" x14ac:dyDescent="0.25">
      <c r="A1870">
        <v>1169.2504489999999</v>
      </c>
      <c r="B1870" s="1">
        <f>DATE(2013,7,13) + TIME(6,0,38)</f>
        <v>41468.250439814816</v>
      </c>
      <c r="C1870">
        <v>80</v>
      </c>
      <c r="D1870">
        <v>79.967872619999994</v>
      </c>
      <c r="E1870">
        <v>50</v>
      </c>
      <c r="F1870">
        <v>47.010990143000001</v>
      </c>
      <c r="G1870">
        <v>1344.0817870999999</v>
      </c>
      <c r="H1870">
        <v>1340.567749</v>
      </c>
      <c r="I1870">
        <v>1322.074707</v>
      </c>
      <c r="J1870">
        <v>1318.0574951000001</v>
      </c>
      <c r="K1870">
        <v>2400</v>
      </c>
      <c r="L1870">
        <v>0</v>
      </c>
      <c r="M1870">
        <v>0</v>
      </c>
      <c r="N1870">
        <v>2400</v>
      </c>
    </row>
    <row r="1871" spans="1:14" x14ac:dyDescent="0.25">
      <c r="A1871">
        <v>1170.559176</v>
      </c>
      <c r="B1871" s="1">
        <f>DATE(2013,7,14) + TIME(13,25,12)</f>
        <v>41469.559166666666</v>
      </c>
      <c r="C1871">
        <v>80</v>
      </c>
      <c r="D1871">
        <v>79.967849731000001</v>
      </c>
      <c r="E1871">
        <v>50</v>
      </c>
      <c r="F1871">
        <v>46.980834960999999</v>
      </c>
      <c r="G1871">
        <v>1344.0690918</v>
      </c>
      <c r="H1871">
        <v>1340.5606689000001</v>
      </c>
      <c r="I1871">
        <v>1322.0546875</v>
      </c>
      <c r="J1871">
        <v>1318.0268555</v>
      </c>
      <c r="K1871">
        <v>2400</v>
      </c>
      <c r="L1871">
        <v>0</v>
      </c>
      <c r="M1871">
        <v>0</v>
      </c>
      <c r="N1871">
        <v>2400</v>
      </c>
    </row>
    <row r="1872" spans="1:14" x14ac:dyDescent="0.25">
      <c r="A1872">
        <v>1171.889817</v>
      </c>
      <c r="B1872" s="1">
        <f>DATE(2013,7,15) + TIME(21,21,20)</f>
        <v>41470.889814814815</v>
      </c>
      <c r="C1872">
        <v>80</v>
      </c>
      <c r="D1872">
        <v>79.967826842999997</v>
      </c>
      <c r="E1872">
        <v>50</v>
      </c>
      <c r="F1872">
        <v>46.951133728000002</v>
      </c>
      <c r="G1872">
        <v>1344.0563964999999</v>
      </c>
      <c r="H1872">
        <v>1340.5535889</v>
      </c>
      <c r="I1872">
        <v>1322.0343018000001</v>
      </c>
      <c r="J1872">
        <v>1317.9957274999999</v>
      </c>
      <c r="K1872">
        <v>2400</v>
      </c>
      <c r="L1872">
        <v>0</v>
      </c>
      <c r="M1872">
        <v>0</v>
      </c>
      <c r="N1872">
        <v>2400</v>
      </c>
    </row>
    <row r="1873" spans="1:14" x14ac:dyDescent="0.25">
      <c r="A1873">
        <v>1173.2530340000001</v>
      </c>
      <c r="B1873" s="1">
        <f>DATE(2013,7,17) + TIME(6,4,22)</f>
        <v>41472.253032407411</v>
      </c>
      <c r="C1873">
        <v>80</v>
      </c>
      <c r="D1873">
        <v>79.967796325999998</v>
      </c>
      <c r="E1873">
        <v>50</v>
      </c>
      <c r="F1873">
        <v>46.921829224</v>
      </c>
      <c r="G1873">
        <v>1344.0437012</v>
      </c>
      <c r="H1873">
        <v>1340.5465088000001</v>
      </c>
      <c r="I1873">
        <v>1322.0135498</v>
      </c>
      <c r="J1873">
        <v>1317.9638672000001</v>
      </c>
      <c r="K1873">
        <v>2400</v>
      </c>
      <c r="L1873">
        <v>0</v>
      </c>
      <c r="M1873">
        <v>0</v>
      </c>
      <c r="N1873">
        <v>2400</v>
      </c>
    </row>
    <row r="1874" spans="1:14" x14ac:dyDescent="0.25">
      <c r="A1874">
        <v>1174.654873</v>
      </c>
      <c r="B1874" s="1">
        <f>DATE(2013,7,18) + TIME(15,43,1)</f>
        <v>41473.654872685183</v>
      </c>
      <c r="C1874">
        <v>80</v>
      </c>
      <c r="D1874">
        <v>79.967773437999995</v>
      </c>
      <c r="E1874">
        <v>50</v>
      </c>
      <c r="F1874">
        <v>46.892883300999998</v>
      </c>
      <c r="G1874">
        <v>1344.0308838000001</v>
      </c>
      <c r="H1874">
        <v>1340.5393065999999</v>
      </c>
      <c r="I1874">
        <v>1321.9923096</v>
      </c>
      <c r="J1874">
        <v>1317.9311522999999</v>
      </c>
      <c r="K1874">
        <v>2400</v>
      </c>
      <c r="L1874">
        <v>0</v>
      </c>
      <c r="M1874">
        <v>0</v>
      </c>
      <c r="N1874">
        <v>2400</v>
      </c>
    </row>
    <row r="1875" spans="1:14" x14ac:dyDescent="0.25">
      <c r="A1875">
        <v>1176.1026079999999</v>
      </c>
      <c r="B1875" s="1">
        <f>DATE(2013,7,20) + TIME(2,27,45)</f>
        <v>41475.10260416667</v>
      </c>
      <c r="C1875">
        <v>80</v>
      </c>
      <c r="D1875">
        <v>79.967750549000002</v>
      </c>
      <c r="E1875">
        <v>50</v>
      </c>
      <c r="F1875">
        <v>46.864284515000001</v>
      </c>
      <c r="G1875">
        <v>1344.0179443</v>
      </c>
      <c r="H1875">
        <v>1340.5319824000001</v>
      </c>
      <c r="I1875">
        <v>1321.9704589999999</v>
      </c>
      <c r="J1875">
        <v>1317.8974608999999</v>
      </c>
      <c r="K1875">
        <v>2400</v>
      </c>
      <c r="L1875">
        <v>0</v>
      </c>
      <c r="M1875">
        <v>0</v>
      </c>
      <c r="N1875">
        <v>2400</v>
      </c>
    </row>
    <row r="1876" spans="1:14" x14ac:dyDescent="0.25">
      <c r="A1876">
        <v>1177.5901879999999</v>
      </c>
      <c r="B1876" s="1">
        <f>DATE(2013,7,21) + TIME(14,9,52)</f>
        <v>41476.590185185189</v>
      </c>
      <c r="C1876">
        <v>80</v>
      </c>
      <c r="D1876">
        <v>79.967727660999998</v>
      </c>
      <c r="E1876">
        <v>50</v>
      </c>
      <c r="F1876">
        <v>46.836166382000002</v>
      </c>
      <c r="G1876">
        <v>1344.0046387</v>
      </c>
      <c r="H1876">
        <v>1340.5244141000001</v>
      </c>
      <c r="I1876">
        <v>1321.9479980000001</v>
      </c>
      <c r="J1876">
        <v>1317.8625488</v>
      </c>
      <c r="K1876">
        <v>2400</v>
      </c>
      <c r="L1876">
        <v>0</v>
      </c>
      <c r="M1876">
        <v>0</v>
      </c>
      <c r="N1876">
        <v>2400</v>
      </c>
    </row>
    <row r="1877" spans="1:14" x14ac:dyDescent="0.25">
      <c r="A1877">
        <v>1179.0833909999999</v>
      </c>
      <c r="B1877" s="1">
        <f>DATE(2013,7,23) + TIME(2,0,4)</f>
        <v>41478.083379629628</v>
      </c>
      <c r="C1877">
        <v>80</v>
      </c>
      <c r="D1877">
        <v>79.967704772999994</v>
      </c>
      <c r="E1877">
        <v>50</v>
      </c>
      <c r="F1877">
        <v>46.808948516999997</v>
      </c>
      <c r="G1877">
        <v>1343.9913329999999</v>
      </c>
      <c r="H1877">
        <v>1340.5168457</v>
      </c>
      <c r="I1877">
        <v>1321.9249268000001</v>
      </c>
      <c r="J1877">
        <v>1317.8266602000001</v>
      </c>
      <c r="K1877">
        <v>2400</v>
      </c>
      <c r="L1877">
        <v>0</v>
      </c>
      <c r="M1877">
        <v>0</v>
      </c>
      <c r="N1877">
        <v>2400</v>
      </c>
    </row>
    <row r="1878" spans="1:14" x14ac:dyDescent="0.25">
      <c r="A1878">
        <v>1180.588254</v>
      </c>
      <c r="B1878" s="1">
        <f>DATE(2013,7,24) + TIME(14,7,5)</f>
        <v>41479.588252314818</v>
      </c>
      <c r="C1878">
        <v>80</v>
      </c>
      <c r="D1878">
        <v>79.967681885000005</v>
      </c>
      <c r="E1878">
        <v>50</v>
      </c>
      <c r="F1878">
        <v>46.783004761000001</v>
      </c>
      <c r="G1878">
        <v>1343.9781493999999</v>
      </c>
      <c r="H1878">
        <v>1340.5092772999999</v>
      </c>
      <c r="I1878">
        <v>1321.9016113</v>
      </c>
      <c r="J1878">
        <v>1317.7904053</v>
      </c>
      <c r="K1878">
        <v>2400</v>
      </c>
      <c r="L1878">
        <v>0</v>
      </c>
      <c r="M1878">
        <v>0</v>
      </c>
      <c r="N1878">
        <v>2400</v>
      </c>
    </row>
    <row r="1879" spans="1:14" x14ac:dyDescent="0.25">
      <c r="A1879">
        <v>1182.099565</v>
      </c>
      <c r="B1879" s="1">
        <f>DATE(2013,7,26) + TIME(2,23,22)</f>
        <v>41481.099560185183</v>
      </c>
      <c r="C1879">
        <v>80</v>
      </c>
      <c r="D1879">
        <v>79.967658997000001</v>
      </c>
      <c r="E1879">
        <v>50</v>
      </c>
      <c r="F1879">
        <v>46.758563995000003</v>
      </c>
      <c r="G1879">
        <v>1343.9649658000001</v>
      </c>
      <c r="H1879">
        <v>1340.5017089999999</v>
      </c>
      <c r="I1879">
        <v>1321.8782959</v>
      </c>
      <c r="J1879">
        <v>1317.7537841999999</v>
      </c>
      <c r="K1879">
        <v>2400</v>
      </c>
      <c r="L1879">
        <v>0</v>
      </c>
      <c r="M1879">
        <v>0</v>
      </c>
      <c r="N1879">
        <v>2400</v>
      </c>
    </row>
    <row r="1880" spans="1:14" x14ac:dyDescent="0.25">
      <c r="A1880">
        <v>1183.6207569999999</v>
      </c>
      <c r="B1880" s="1">
        <f>DATE(2013,7,27) + TIME(14,53,53)</f>
        <v>41482.620752314811</v>
      </c>
      <c r="C1880">
        <v>80</v>
      </c>
      <c r="D1880">
        <v>79.967636107999994</v>
      </c>
      <c r="E1880">
        <v>50</v>
      </c>
      <c r="F1880">
        <v>46.735801696999999</v>
      </c>
      <c r="G1880">
        <v>1343.9520264</v>
      </c>
      <c r="H1880">
        <v>1340.4941406</v>
      </c>
      <c r="I1880">
        <v>1321.8548584</v>
      </c>
      <c r="J1880">
        <v>1317.7169189000001</v>
      </c>
      <c r="K1880">
        <v>2400</v>
      </c>
      <c r="L1880">
        <v>0</v>
      </c>
      <c r="M1880">
        <v>0</v>
      </c>
      <c r="N1880">
        <v>2400</v>
      </c>
    </row>
    <row r="1881" spans="1:14" x14ac:dyDescent="0.25">
      <c r="A1881">
        <v>1185.1579099999999</v>
      </c>
      <c r="B1881" s="1">
        <f>DATE(2013,7,29) + TIME(3,47,23)</f>
        <v>41484.157905092594</v>
      </c>
      <c r="C1881">
        <v>80</v>
      </c>
      <c r="D1881">
        <v>79.967620850000003</v>
      </c>
      <c r="E1881">
        <v>50</v>
      </c>
      <c r="F1881">
        <v>46.714836120999998</v>
      </c>
      <c r="G1881">
        <v>1343.9390868999999</v>
      </c>
      <c r="H1881">
        <v>1340.4866943</v>
      </c>
      <c r="I1881">
        <v>1321.8312988</v>
      </c>
      <c r="J1881">
        <v>1317.6799315999999</v>
      </c>
      <c r="K1881">
        <v>2400</v>
      </c>
      <c r="L1881">
        <v>0</v>
      </c>
      <c r="M1881">
        <v>0</v>
      </c>
      <c r="N1881">
        <v>2400</v>
      </c>
    </row>
    <row r="1882" spans="1:14" x14ac:dyDescent="0.25">
      <c r="A1882">
        <v>1186.723874</v>
      </c>
      <c r="B1882" s="1">
        <f>DATE(2013,7,30) + TIME(17,22,22)</f>
        <v>41485.723865740743</v>
      </c>
      <c r="C1882">
        <v>80</v>
      </c>
      <c r="D1882">
        <v>79.967597960999996</v>
      </c>
      <c r="E1882">
        <v>50</v>
      </c>
      <c r="F1882">
        <v>46.695781707999998</v>
      </c>
      <c r="G1882">
        <v>1343.9262695</v>
      </c>
      <c r="H1882">
        <v>1340.4792480000001</v>
      </c>
      <c r="I1882">
        <v>1321.8076172000001</v>
      </c>
      <c r="J1882">
        <v>1317.6424560999999</v>
      </c>
      <c r="K1882">
        <v>2400</v>
      </c>
      <c r="L1882">
        <v>0</v>
      </c>
      <c r="M1882">
        <v>0</v>
      </c>
      <c r="N1882">
        <v>2400</v>
      </c>
    </row>
    <row r="1883" spans="1:14" x14ac:dyDescent="0.25">
      <c r="A1883">
        <v>1188</v>
      </c>
      <c r="B1883" s="1">
        <f>DATE(2013,8,1) + TIME(0,0,0)</f>
        <v>41487</v>
      </c>
      <c r="C1883">
        <v>80</v>
      </c>
      <c r="D1883">
        <v>79.967575073000006</v>
      </c>
      <c r="E1883">
        <v>50</v>
      </c>
      <c r="F1883">
        <v>46.680130005000002</v>
      </c>
      <c r="G1883">
        <v>1343.9134521000001</v>
      </c>
      <c r="H1883">
        <v>1340.4716797000001</v>
      </c>
      <c r="I1883">
        <v>1321.7841797000001</v>
      </c>
      <c r="J1883">
        <v>1317.6053466999999</v>
      </c>
      <c r="K1883">
        <v>2400</v>
      </c>
      <c r="L1883">
        <v>0</v>
      </c>
      <c r="M1883">
        <v>0</v>
      </c>
      <c r="N1883">
        <v>2400</v>
      </c>
    </row>
    <row r="1884" spans="1:14" x14ac:dyDescent="0.25">
      <c r="A1884">
        <v>1189.612273</v>
      </c>
      <c r="B1884" s="1">
        <f>DATE(2013,8,2) + TIME(14,41,40)</f>
        <v>41488.612268518518</v>
      </c>
      <c r="C1884">
        <v>80</v>
      </c>
      <c r="D1884">
        <v>79.967559813999998</v>
      </c>
      <c r="E1884">
        <v>50</v>
      </c>
      <c r="F1884">
        <v>46.666427612</v>
      </c>
      <c r="G1884">
        <v>1343.9030762</v>
      </c>
      <c r="H1884">
        <v>1340.4655762</v>
      </c>
      <c r="I1884">
        <v>1321.7634277</v>
      </c>
      <c r="J1884">
        <v>1317.5721435999999</v>
      </c>
      <c r="K1884">
        <v>2400</v>
      </c>
      <c r="L1884">
        <v>0</v>
      </c>
      <c r="M1884">
        <v>0</v>
      </c>
      <c r="N1884">
        <v>2400</v>
      </c>
    </row>
    <row r="1885" spans="1:14" x14ac:dyDescent="0.25">
      <c r="A1885">
        <v>1191.2788310000001</v>
      </c>
      <c r="B1885" s="1">
        <f>DATE(2013,8,4) + TIME(6,41,31)</f>
        <v>41490.278831018521</v>
      </c>
      <c r="C1885">
        <v>80</v>
      </c>
      <c r="D1885">
        <v>79.967544556000007</v>
      </c>
      <c r="E1885">
        <v>50</v>
      </c>
      <c r="F1885">
        <v>46.654388427999997</v>
      </c>
      <c r="G1885">
        <v>1343.8902588000001</v>
      </c>
      <c r="H1885">
        <v>1340.4578856999999</v>
      </c>
      <c r="I1885">
        <v>1321.7397461</v>
      </c>
      <c r="J1885">
        <v>1317.5340576000001</v>
      </c>
      <c r="K1885">
        <v>2400</v>
      </c>
      <c r="L1885">
        <v>0</v>
      </c>
      <c r="M1885">
        <v>0</v>
      </c>
      <c r="N1885">
        <v>2400</v>
      </c>
    </row>
    <row r="1886" spans="1:14" x14ac:dyDescent="0.25">
      <c r="A1886">
        <v>1192.9835889999999</v>
      </c>
      <c r="B1886" s="1">
        <f>DATE(2013,8,5) + TIME(23,36,22)</f>
        <v>41491.983587962961</v>
      </c>
      <c r="C1886">
        <v>80</v>
      </c>
      <c r="D1886">
        <v>79.967529296999999</v>
      </c>
      <c r="E1886">
        <v>50</v>
      </c>
      <c r="F1886">
        <v>46.644958496000001</v>
      </c>
      <c r="G1886">
        <v>1343.8770752</v>
      </c>
      <c r="H1886">
        <v>1340.4500731999999</v>
      </c>
      <c r="I1886">
        <v>1321.7150879000001</v>
      </c>
      <c r="J1886">
        <v>1317.4945068</v>
      </c>
      <c r="K1886">
        <v>2400</v>
      </c>
      <c r="L1886">
        <v>0</v>
      </c>
      <c r="M1886">
        <v>0</v>
      </c>
      <c r="N1886">
        <v>2400</v>
      </c>
    </row>
    <row r="1887" spans="1:14" x14ac:dyDescent="0.25">
      <c r="A1887">
        <v>1194.732608</v>
      </c>
      <c r="B1887" s="1">
        <f>DATE(2013,8,7) + TIME(17,34,57)</f>
        <v>41493.732604166667</v>
      </c>
      <c r="C1887">
        <v>80</v>
      </c>
      <c r="D1887">
        <v>79.967514038000004</v>
      </c>
      <c r="E1887">
        <v>50</v>
      </c>
      <c r="F1887">
        <v>46.638889313</v>
      </c>
      <c r="G1887">
        <v>1343.8637695</v>
      </c>
      <c r="H1887">
        <v>1340.4421387</v>
      </c>
      <c r="I1887">
        <v>1321.6899414</v>
      </c>
      <c r="J1887">
        <v>1317.4541016000001</v>
      </c>
      <c r="K1887">
        <v>2400</v>
      </c>
      <c r="L1887">
        <v>0</v>
      </c>
      <c r="M1887">
        <v>0</v>
      </c>
      <c r="N1887">
        <v>2400</v>
      </c>
    </row>
    <row r="1888" spans="1:14" x14ac:dyDescent="0.25">
      <c r="A1888">
        <v>1196.5181259999999</v>
      </c>
      <c r="B1888" s="1">
        <f>DATE(2013,8,9) + TIME(12,26,6)</f>
        <v>41495.518125000002</v>
      </c>
      <c r="C1888">
        <v>80</v>
      </c>
      <c r="D1888">
        <v>79.967498778999996</v>
      </c>
      <c r="E1888">
        <v>50</v>
      </c>
      <c r="F1888">
        <v>46.636821746999999</v>
      </c>
      <c r="G1888">
        <v>1343.8504639</v>
      </c>
      <c r="H1888">
        <v>1340.434082</v>
      </c>
      <c r="I1888">
        <v>1321.6645507999999</v>
      </c>
      <c r="J1888">
        <v>1317.4127197</v>
      </c>
      <c r="K1888">
        <v>2400</v>
      </c>
      <c r="L1888">
        <v>0</v>
      </c>
      <c r="M1888">
        <v>0</v>
      </c>
      <c r="N1888">
        <v>2400</v>
      </c>
    </row>
    <row r="1889" spans="1:14" x14ac:dyDescent="0.25">
      <c r="A1889">
        <v>1198.3351210000001</v>
      </c>
      <c r="B1889" s="1">
        <f>DATE(2013,8,11) + TIME(8,2,34)</f>
        <v>41497.335115740738</v>
      </c>
      <c r="C1889">
        <v>80</v>
      </c>
      <c r="D1889">
        <v>79.967483521000005</v>
      </c>
      <c r="E1889">
        <v>50</v>
      </c>
      <c r="F1889">
        <v>46.639392852999997</v>
      </c>
      <c r="G1889">
        <v>1343.8369141000001</v>
      </c>
      <c r="H1889">
        <v>1340.4260254000001</v>
      </c>
      <c r="I1889">
        <v>1321.6387939000001</v>
      </c>
      <c r="J1889">
        <v>1317.3708495999999</v>
      </c>
      <c r="K1889">
        <v>2400</v>
      </c>
      <c r="L1889">
        <v>0</v>
      </c>
      <c r="M1889">
        <v>0</v>
      </c>
      <c r="N1889">
        <v>2400</v>
      </c>
    </row>
    <row r="1890" spans="1:14" x14ac:dyDescent="0.25">
      <c r="A1890">
        <v>1200.1556720000001</v>
      </c>
      <c r="B1890" s="1">
        <f>DATE(2013,8,13) + TIME(3,44,10)</f>
        <v>41499.155671296299</v>
      </c>
      <c r="C1890">
        <v>80</v>
      </c>
      <c r="D1890">
        <v>79.967468261999997</v>
      </c>
      <c r="E1890">
        <v>50</v>
      </c>
      <c r="F1890">
        <v>46.647277832</v>
      </c>
      <c r="G1890">
        <v>1343.8233643000001</v>
      </c>
      <c r="H1890">
        <v>1340.4177245999999</v>
      </c>
      <c r="I1890">
        <v>1321.6130370999999</v>
      </c>
      <c r="J1890">
        <v>1317.3286132999999</v>
      </c>
      <c r="K1890">
        <v>2400</v>
      </c>
      <c r="L1890">
        <v>0</v>
      </c>
      <c r="M1890">
        <v>0</v>
      </c>
      <c r="N1890">
        <v>2400</v>
      </c>
    </row>
    <row r="1891" spans="1:14" x14ac:dyDescent="0.25">
      <c r="A1891">
        <v>1201.9882970000001</v>
      </c>
      <c r="B1891" s="1">
        <f>DATE(2013,8,14) + TIME(23,43,8)</f>
        <v>41500.988287037035</v>
      </c>
      <c r="C1891">
        <v>80</v>
      </c>
      <c r="D1891">
        <v>79.967453003000003</v>
      </c>
      <c r="E1891">
        <v>50</v>
      </c>
      <c r="F1891">
        <v>46.661045074</v>
      </c>
      <c r="G1891">
        <v>1343.8100586</v>
      </c>
      <c r="H1891">
        <v>1340.409668</v>
      </c>
      <c r="I1891">
        <v>1321.5876464999999</v>
      </c>
      <c r="J1891">
        <v>1317.2867432</v>
      </c>
      <c r="K1891">
        <v>2400</v>
      </c>
      <c r="L1891">
        <v>0</v>
      </c>
      <c r="M1891">
        <v>0</v>
      </c>
      <c r="N1891">
        <v>2400</v>
      </c>
    </row>
    <row r="1892" spans="1:14" x14ac:dyDescent="0.25">
      <c r="A1892">
        <v>1203.8415649999999</v>
      </c>
      <c r="B1892" s="1">
        <f>DATE(2013,8,16) + TIME(20,11,51)</f>
        <v>41502.841562499998</v>
      </c>
      <c r="C1892">
        <v>80</v>
      </c>
      <c r="D1892">
        <v>79.967437743999994</v>
      </c>
      <c r="E1892">
        <v>50</v>
      </c>
      <c r="F1892">
        <v>46.681354523000003</v>
      </c>
      <c r="G1892">
        <v>1343.796875</v>
      </c>
      <c r="H1892">
        <v>1340.4014893000001</v>
      </c>
      <c r="I1892">
        <v>1321.5625</v>
      </c>
      <c r="J1892">
        <v>1317.2449951000001</v>
      </c>
      <c r="K1892">
        <v>2400</v>
      </c>
      <c r="L1892">
        <v>0</v>
      </c>
      <c r="M1892">
        <v>0</v>
      </c>
      <c r="N1892">
        <v>2400</v>
      </c>
    </row>
    <row r="1893" spans="1:14" x14ac:dyDescent="0.25">
      <c r="A1893">
        <v>1205.7246540000001</v>
      </c>
      <c r="B1893" s="1">
        <f>DATE(2013,8,18) + TIME(17,23,30)</f>
        <v>41504.724652777775</v>
      </c>
      <c r="C1893">
        <v>80</v>
      </c>
      <c r="D1893">
        <v>79.967422485</v>
      </c>
      <c r="E1893">
        <v>50</v>
      </c>
      <c r="F1893">
        <v>46.709026336999997</v>
      </c>
      <c r="G1893">
        <v>1343.7836914</v>
      </c>
      <c r="H1893">
        <v>1340.3934326000001</v>
      </c>
      <c r="I1893">
        <v>1321.5374756000001</v>
      </c>
      <c r="J1893">
        <v>1317.2033690999999</v>
      </c>
      <c r="K1893">
        <v>2400</v>
      </c>
      <c r="L1893">
        <v>0</v>
      </c>
      <c r="M1893">
        <v>0</v>
      </c>
      <c r="N1893">
        <v>2400</v>
      </c>
    </row>
    <row r="1894" spans="1:14" x14ac:dyDescent="0.25">
      <c r="A1894">
        <v>1207.669617</v>
      </c>
      <c r="B1894" s="1">
        <f>DATE(2013,8,20) + TIME(16,4,14)</f>
        <v>41506.669606481482</v>
      </c>
      <c r="C1894">
        <v>80</v>
      </c>
      <c r="D1894">
        <v>79.967414856000005</v>
      </c>
      <c r="E1894">
        <v>50</v>
      </c>
      <c r="F1894">
        <v>46.745208740000002</v>
      </c>
      <c r="G1894">
        <v>1343.7705077999999</v>
      </c>
      <c r="H1894">
        <v>1340.3852539</v>
      </c>
      <c r="I1894">
        <v>1321.5126952999999</v>
      </c>
      <c r="J1894">
        <v>1317.1618652</v>
      </c>
      <c r="K1894">
        <v>2400</v>
      </c>
      <c r="L1894">
        <v>0</v>
      </c>
      <c r="M1894">
        <v>0</v>
      </c>
      <c r="N1894">
        <v>2400</v>
      </c>
    </row>
    <row r="1895" spans="1:14" x14ac:dyDescent="0.25">
      <c r="A1895">
        <v>1209.6558130000001</v>
      </c>
      <c r="B1895" s="1">
        <f>DATE(2013,8,22) + TIME(15,44,22)</f>
        <v>41508.655810185184</v>
      </c>
      <c r="C1895">
        <v>80</v>
      </c>
      <c r="D1895">
        <v>79.967407226999995</v>
      </c>
      <c r="E1895">
        <v>50</v>
      </c>
      <c r="F1895">
        <v>46.791366576999998</v>
      </c>
      <c r="G1895">
        <v>1343.7569579999999</v>
      </c>
      <c r="H1895">
        <v>1340.3768310999999</v>
      </c>
      <c r="I1895">
        <v>1321.4879149999999</v>
      </c>
      <c r="J1895">
        <v>1317.1199951000001</v>
      </c>
      <c r="K1895">
        <v>2400</v>
      </c>
      <c r="L1895">
        <v>0</v>
      </c>
      <c r="M1895">
        <v>0</v>
      </c>
      <c r="N1895">
        <v>2400</v>
      </c>
    </row>
    <row r="1896" spans="1:14" x14ac:dyDescent="0.25">
      <c r="A1896">
        <v>1211.6616750000001</v>
      </c>
      <c r="B1896" s="1">
        <f>DATE(2013,8,24) + TIME(15,52,48)</f>
        <v>41510.661666666667</v>
      </c>
      <c r="C1896">
        <v>80</v>
      </c>
      <c r="D1896">
        <v>79.967391968000001</v>
      </c>
      <c r="E1896">
        <v>50</v>
      </c>
      <c r="F1896">
        <v>46.848640441999997</v>
      </c>
      <c r="G1896">
        <v>1343.7434082</v>
      </c>
      <c r="H1896">
        <v>1340.3682861</v>
      </c>
      <c r="I1896">
        <v>1321.4632568</v>
      </c>
      <c r="J1896">
        <v>1317.0782471</v>
      </c>
      <c r="K1896">
        <v>2400</v>
      </c>
      <c r="L1896">
        <v>0</v>
      </c>
      <c r="M1896">
        <v>0</v>
      </c>
      <c r="N1896">
        <v>2400</v>
      </c>
    </row>
    <row r="1897" spans="1:14" x14ac:dyDescent="0.25">
      <c r="A1897">
        <v>1213.696686</v>
      </c>
      <c r="B1897" s="1">
        <f>DATE(2013,8,26) + TIME(16,43,13)</f>
        <v>41512.69667824074</v>
      </c>
      <c r="C1897">
        <v>80</v>
      </c>
      <c r="D1897">
        <v>79.967384338000002</v>
      </c>
      <c r="E1897">
        <v>50</v>
      </c>
      <c r="F1897">
        <v>46.918121337999999</v>
      </c>
      <c r="G1897">
        <v>1343.7299805</v>
      </c>
      <c r="H1897">
        <v>1340.3598632999999</v>
      </c>
      <c r="I1897">
        <v>1321.4390868999999</v>
      </c>
      <c r="J1897">
        <v>1317.0368652</v>
      </c>
      <c r="K1897">
        <v>2400</v>
      </c>
      <c r="L1897">
        <v>0</v>
      </c>
      <c r="M1897">
        <v>0</v>
      </c>
      <c r="N1897">
        <v>2400</v>
      </c>
    </row>
    <row r="1898" spans="1:14" x14ac:dyDescent="0.25">
      <c r="A1898">
        <v>1215.7707780000001</v>
      </c>
      <c r="B1898" s="1">
        <f>DATE(2013,8,28) + TIME(18,29,55)</f>
        <v>41514.770775462966</v>
      </c>
      <c r="C1898">
        <v>80</v>
      </c>
      <c r="D1898">
        <v>79.967376709000007</v>
      </c>
      <c r="E1898">
        <v>50</v>
      </c>
      <c r="F1898">
        <v>47.001399994000003</v>
      </c>
      <c r="G1898">
        <v>1343.7165527</v>
      </c>
      <c r="H1898">
        <v>1340.3513184000001</v>
      </c>
      <c r="I1898">
        <v>1321.4152832</v>
      </c>
      <c r="J1898">
        <v>1316.9960937999999</v>
      </c>
      <c r="K1898">
        <v>2400</v>
      </c>
      <c r="L1898">
        <v>0</v>
      </c>
      <c r="M1898">
        <v>0</v>
      </c>
      <c r="N1898">
        <v>2400</v>
      </c>
    </row>
    <row r="1899" spans="1:14" x14ac:dyDescent="0.25">
      <c r="A1899">
        <v>1217.9112239999999</v>
      </c>
      <c r="B1899" s="1">
        <f>DATE(2013,8,30) + TIME(21,52,9)</f>
        <v>41516.911215277774</v>
      </c>
      <c r="C1899">
        <v>80</v>
      </c>
      <c r="D1899">
        <v>79.967369079999997</v>
      </c>
      <c r="E1899">
        <v>50</v>
      </c>
      <c r="F1899">
        <v>47.100719452</v>
      </c>
      <c r="G1899">
        <v>1343.7030029</v>
      </c>
      <c r="H1899">
        <v>1340.3426514</v>
      </c>
      <c r="I1899">
        <v>1321.3919678</v>
      </c>
      <c r="J1899">
        <v>1316.9558105000001</v>
      </c>
      <c r="K1899">
        <v>2400</v>
      </c>
      <c r="L1899">
        <v>0</v>
      </c>
      <c r="M1899">
        <v>0</v>
      </c>
      <c r="N1899">
        <v>2400</v>
      </c>
    </row>
    <row r="1900" spans="1:14" x14ac:dyDescent="0.25">
      <c r="A1900">
        <v>1219</v>
      </c>
      <c r="B1900" s="1">
        <f>DATE(2013,9,1) + TIME(0,0,0)</f>
        <v>41518</v>
      </c>
      <c r="C1900">
        <v>80</v>
      </c>
      <c r="D1900">
        <v>79.967346191000004</v>
      </c>
      <c r="E1900">
        <v>50</v>
      </c>
      <c r="F1900">
        <v>47.194435120000001</v>
      </c>
      <c r="G1900">
        <v>1343.6892089999999</v>
      </c>
      <c r="H1900">
        <v>1340.3338623</v>
      </c>
      <c r="I1900">
        <v>1321.3717041</v>
      </c>
      <c r="J1900">
        <v>1316.9189452999999</v>
      </c>
      <c r="K1900">
        <v>2400</v>
      </c>
      <c r="L1900">
        <v>0</v>
      </c>
      <c r="M1900">
        <v>0</v>
      </c>
      <c r="N1900">
        <v>2400</v>
      </c>
    </row>
    <row r="1901" spans="1:14" x14ac:dyDescent="0.25">
      <c r="A1901">
        <v>1221.201491</v>
      </c>
      <c r="B1901" s="1">
        <f>DATE(2013,9,3) + TIME(4,50,8)</f>
        <v>41520.201481481483</v>
      </c>
      <c r="C1901">
        <v>80</v>
      </c>
      <c r="D1901">
        <v>79.967353821000003</v>
      </c>
      <c r="E1901">
        <v>50</v>
      </c>
      <c r="F1901">
        <v>47.296512604</v>
      </c>
      <c r="G1901">
        <v>1343.682251</v>
      </c>
      <c r="H1901">
        <v>1340.3294678</v>
      </c>
      <c r="I1901">
        <v>1321.3553466999999</v>
      </c>
      <c r="J1901">
        <v>1316.8928223</v>
      </c>
      <c r="K1901">
        <v>2400</v>
      </c>
      <c r="L1901">
        <v>0</v>
      </c>
      <c r="M1901">
        <v>0</v>
      </c>
      <c r="N1901">
        <v>2400</v>
      </c>
    </row>
    <row r="1902" spans="1:14" x14ac:dyDescent="0.25">
      <c r="A1902">
        <v>1223.428815</v>
      </c>
      <c r="B1902" s="1">
        <f>DATE(2013,9,5) + TIME(10,17,29)</f>
        <v>41522.428807870368</v>
      </c>
      <c r="C1902">
        <v>80</v>
      </c>
      <c r="D1902">
        <v>79.967346191000004</v>
      </c>
      <c r="E1902">
        <v>50</v>
      </c>
      <c r="F1902">
        <v>47.438774109000001</v>
      </c>
      <c r="G1902">
        <v>1343.668457</v>
      </c>
      <c r="H1902">
        <v>1340.3204346</v>
      </c>
      <c r="I1902">
        <v>1321.3349608999999</v>
      </c>
      <c r="J1902">
        <v>1316.8565673999999</v>
      </c>
      <c r="K1902">
        <v>2400</v>
      </c>
      <c r="L1902">
        <v>0</v>
      </c>
      <c r="M1902">
        <v>0</v>
      </c>
      <c r="N1902">
        <v>2400</v>
      </c>
    </row>
    <row r="1903" spans="1:14" x14ac:dyDescent="0.25">
      <c r="A1903">
        <v>1225.6865869999999</v>
      </c>
      <c r="B1903" s="1">
        <f>DATE(2013,9,7) + TIME(16,28,41)</f>
        <v>41524.686585648145</v>
      </c>
      <c r="C1903">
        <v>80</v>
      </c>
      <c r="D1903">
        <v>79.967346191000004</v>
      </c>
      <c r="E1903">
        <v>50</v>
      </c>
      <c r="F1903">
        <v>47.608283997000001</v>
      </c>
      <c r="G1903">
        <v>1343.6546631000001</v>
      </c>
      <c r="H1903">
        <v>1340.3115233999999</v>
      </c>
      <c r="I1903">
        <v>1321.3140868999999</v>
      </c>
      <c r="J1903">
        <v>1316.8198242000001</v>
      </c>
      <c r="K1903">
        <v>2400</v>
      </c>
      <c r="L1903">
        <v>0</v>
      </c>
      <c r="M1903">
        <v>0</v>
      </c>
      <c r="N1903">
        <v>2400</v>
      </c>
    </row>
    <row r="1904" spans="1:14" x14ac:dyDescent="0.25">
      <c r="A1904">
        <v>1227.9956219999999</v>
      </c>
      <c r="B1904" s="1">
        <f>DATE(2013,9,9) + TIME(23,53,41)</f>
        <v>41526.995613425926</v>
      </c>
      <c r="C1904">
        <v>80</v>
      </c>
      <c r="D1904">
        <v>79.967338561999995</v>
      </c>
      <c r="E1904">
        <v>50</v>
      </c>
      <c r="F1904">
        <v>47.803497313999998</v>
      </c>
      <c r="G1904">
        <v>1343.6408690999999</v>
      </c>
      <c r="H1904">
        <v>1340.3024902</v>
      </c>
      <c r="I1904">
        <v>1321.2937012</v>
      </c>
      <c r="J1904">
        <v>1316.7839355000001</v>
      </c>
      <c r="K1904">
        <v>2400</v>
      </c>
      <c r="L1904">
        <v>0</v>
      </c>
      <c r="M1904">
        <v>0</v>
      </c>
      <c r="N1904">
        <v>2400</v>
      </c>
    </row>
    <row r="1905" spans="1:14" x14ac:dyDescent="0.25">
      <c r="A1905">
        <v>1230.3347670000001</v>
      </c>
      <c r="B1905" s="1">
        <f>DATE(2013,9,12) + TIME(8,2,3)</f>
        <v>41529.334756944445</v>
      </c>
      <c r="C1905">
        <v>80</v>
      </c>
      <c r="D1905">
        <v>79.967338561999995</v>
      </c>
      <c r="E1905">
        <v>50</v>
      </c>
      <c r="F1905">
        <v>48.025714874000002</v>
      </c>
      <c r="G1905">
        <v>1343.6269531</v>
      </c>
      <c r="H1905">
        <v>1340.293457</v>
      </c>
      <c r="I1905">
        <v>1321.2740478999999</v>
      </c>
      <c r="J1905">
        <v>1316.7493896000001</v>
      </c>
      <c r="K1905">
        <v>2400</v>
      </c>
      <c r="L1905">
        <v>0</v>
      </c>
      <c r="M1905">
        <v>0</v>
      </c>
      <c r="N1905">
        <v>2400</v>
      </c>
    </row>
    <row r="1906" spans="1:14" x14ac:dyDescent="0.25">
      <c r="A1906">
        <v>1232.6943960000001</v>
      </c>
      <c r="B1906" s="1">
        <f>DATE(2013,9,14) + TIME(16,39,55)</f>
        <v>41531.694386574076</v>
      </c>
      <c r="C1906">
        <v>80</v>
      </c>
      <c r="D1906">
        <v>79.967338561999995</v>
      </c>
      <c r="E1906">
        <v>50</v>
      </c>
      <c r="F1906">
        <v>48.274890900000003</v>
      </c>
      <c r="G1906">
        <v>1343.6131591999999</v>
      </c>
      <c r="H1906">
        <v>1340.2843018000001</v>
      </c>
      <c r="I1906">
        <v>1321.2553711</v>
      </c>
      <c r="J1906">
        <v>1316.7166748</v>
      </c>
      <c r="K1906">
        <v>2400</v>
      </c>
      <c r="L1906">
        <v>0</v>
      </c>
      <c r="M1906">
        <v>0</v>
      </c>
      <c r="N1906">
        <v>2400</v>
      </c>
    </row>
    <row r="1907" spans="1:14" x14ac:dyDescent="0.25">
      <c r="A1907">
        <v>1235.0875249999999</v>
      </c>
      <c r="B1907" s="1">
        <f>DATE(2013,9,17) + TIME(2,6,2)</f>
        <v>41534.087523148148</v>
      </c>
      <c r="C1907">
        <v>80</v>
      </c>
      <c r="D1907">
        <v>79.967330933</v>
      </c>
      <c r="E1907">
        <v>50</v>
      </c>
      <c r="F1907">
        <v>48.551040649000001</v>
      </c>
      <c r="G1907">
        <v>1343.5993652</v>
      </c>
      <c r="H1907">
        <v>1340.2751464999999</v>
      </c>
      <c r="I1907">
        <v>1321.237793</v>
      </c>
      <c r="J1907">
        <v>1316.6859131000001</v>
      </c>
      <c r="K1907">
        <v>2400</v>
      </c>
      <c r="L1907">
        <v>0</v>
      </c>
      <c r="M1907">
        <v>0</v>
      </c>
      <c r="N1907">
        <v>2400</v>
      </c>
    </row>
    <row r="1908" spans="1:14" x14ac:dyDescent="0.25">
      <c r="A1908">
        <v>1237.52774</v>
      </c>
      <c r="B1908" s="1">
        <f>DATE(2013,9,19) + TIME(12,39,56)</f>
        <v>41536.527731481481</v>
      </c>
      <c r="C1908">
        <v>80</v>
      </c>
      <c r="D1908">
        <v>79.967330933</v>
      </c>
      <c r="E1908">
        <v>50</v>
      </c>
      <c r="F1908">
        <v>48.855205536</v>
      </c>
      <c r="G1908">
        <v>1343.5855713000001</v>
      </c>
      <c r="H1908">
        <v>1340.2659911999999</v>
      </c>
      <c r="I1908">
        <v>1321.2211914</v>
      </c>
      <c r="J1908">
        <v>1316.6571045000001</v>
      </c>
      <c r="K1908">
        <v>2400</v>
      </c>
      <c r="L1908">
        <v>0</v>
      </c>
      <c r="M1908">
        <v>0</v>
      </c>
      <c r="N1908">
        <v>2400</v>
      </c>
    </row>
    <row r="1909" spans="1:14" x14ac:dyDescent="0.25">
      <c r="A1909">
        <v>1240.0366739999999</v>
      </c>
      <c r="B1909" s="1">
        <f>DATE(2013,9,22) + TIME(0,52,48)</f>
        <v>41539.036666666667</v>
      </c>
      <c r="C1909">
        <v>80</v>
      </c>
      <c r="D1909">
        <v>79.967330933</v>
      </c>
      <c r="E1909">
        <v>50</v>
      </c>
      <c r="F1909">
        <v>49.188758849999999</v>
      </c>
      <c r="G1909">
        <v>1343.5717772999999</v>
      </c>
      <c r="H1909">
        <v>1340.2567139</v>
      </c>
      <c r="I1909">
        <v>1321.2054443</v>
      </c>
      <c r="J1909">
        <v>1316.630249</v>
      </c>
      <c r="K1909">
        <v>2400</v>
      </c>
      <c r="L1909">
        <v>0</v>
      </c>
      <c r="M1909">
        <v>0</v>
      </c>
      <c r="N1909">
        <v>2400</v>
      </c>
    </row>
    <row r="1910" spans="1:14" x14ac:dyDescent="0.25">
      <c r="A1910">
        <v>1242.6622339999999</v>
      </c>
      <c r="B1910" s="1">
        <f>DATE(2013,9,24) + TIME(15,53,37)</f>
        <v>41541.662233796298</v>
      </c>
      <c r="C1910">
        <v>80</v>
      </c>
      <c r="D1910">
        <v>79.967338561999995</v>
      </c>
      <c r="E1910">
        <v>50</v>
      </c>
      <c r="F1910">
        <v>49.554244994999998</v>
      </c>
      <c r="G1910">
        <v>1343.5578613</v>
      </c>
      <c r="H1910">
        <v>1340.2474365</v>
      </c>
      <c r="I1910">
        <v>1321.1906738</v>
      </c>
      <c r="J1910">
        <v>1316.6052245999999</v>
      </c>
      <c r="K1910">
        <v>2400</v>
      </c>
      <c r="L1910">
        <v>0</v>
      </c>
      <c r="M1910">
        <v>0</v>
      </c>
      <c r="N1910">
        <v>2400</v>
      </c>
    </row>
    <row r="1911" spans="1:14" x14ac:dyDescent="0.25">
      <c r="A1911">
        <v>1245.3719100000001</v>
      </c>
      <c r="B1911" s="1">
        <f>DATE(2013,9,27) + TIME(8,55,33)</f>
        <v>41544.37190972222</v>
      </c>
      <c r="C1911">
        <v>80</v>
      </c>
      <c r="D1911">
        <v>79.967338561999995</v>
      </c>
      <c r="E1911">
        <v>50</v>
      </c>
      <c r="F1911">
        <v>49.954425811999997</v>
      </c>
      <c r="G1911">
        <v>1343.543457</v>
      </c>
      <c r="H1911">
        <v>1340.2376709</v>
      </c>
      <c r="I1911">
        <v>1321.1766356999999</v>
      </c>
      <c r="J1911">
        <v>1316.5819091999999</v>
      </c>
      <c r="K1911">
        <v>2400</v>
      </c>
      <c r="L1911">
        <v>0</v>
      </c>
      <c r="M1911">
        <v>0</v>
      </c>
      <c r="N1911">
        <v>2400</v>
      </c>
    </row>
    <row r="1912" spans="1:14" x14ac:dyDescent="0.25">
      <c r="A1912">
        <v>1248.1288939999999</v>
      </c>
      <c r="B1912" s="1">
        <f>DATE(2013,9,30) + TIME(3,5,36)</f>
        <v>41547.128888888888</v>
      </c>
      <c r="C1912">
        <v>80</v>
      </c>
      <c r="D1912">
        <v>79.967338561999995</v>
      </c>
      <c r="E1912">
        <v>50</v>
      </c>
      <c r="F1912">
        <v>50.383987427000001</v>
      </c>
      <c r="G1912">
        <v>1343.5289307</v>
      </c>
      <c r="H1912">
        <v>1340.2277832</v>
      </c>
      <c r="I1912">
        <v>1321.1635742000001</v>
      </c>
      <c r="J1912">
        <v>1316.5605469</v>
      </c>
      <c r="K1912">
        <v>2400</v>
      </c>
      <c r="L1912">
        <v>0</v>
      </c>
      <c r="M1912">
        <v>0</v>
      </c>
      <c r="N1912">
        <v>2400</v>
      </c>
    </row>
    <row r="1913" spans="1:14" x14ac:dyDescent="0.25">
      <c r="A1913">
        <v>1249</v>
      </c>
      <c r="B1913" s="1">
        <f>DATE(2013,10,1) + TIME(0,0,0)</f>
        <v>41548</v>
      </c>
      <c r="C1913">
        <v>80</v>
      </c>
      <c r="D1913">
        <v>79.967323303000001</v>
      </c>
      <c r="E1913">
        <v>50</v>
      </c>
      <c r="F1913">
        <v>50.698795318999998</v>
      </c>
      <c r="G1913">
        <v>1343.5144043</v>
      </c>
      <c r="H1913">
        <v>1340.2178954999999</v>
      </c>
      <c r="I1913">
        <v>1321.1591797000001</v>
      </c>
      <c r="J1913">
        <v>1316.5450439000001</v>
      </c>
      <c r="K1913">
        <v>2400</v>
      </c>
      <c r="L1913">
        <v>0</v>
      </c>
      <c r="M1913">
        <v>0</v>
      </c>
      <c r="N1913">
        <v>2400</v>
      </c>
    </row>
    <row r="1914" spans="1:14" x14ac:dyDescent="0.25">
      <c r="A1914">
        <v>1251.790403</v>
      </c>
      <c r="B1914" s="1">
        <f>DATE(2013,10,3) + TIME(18,58,10)</f>
        <v>41550.790393518517</v>
      </c>
      <c r="C1914">
        <v>80</v>
      </c>
      <c r="D1914">
        <v>79.967346191000004</v>
      </c>
      <c r="E1914">
        <v>50</v>
      </c>
      <c r="F1914">
        <v>51.015357971</v>
      </c>
      <c r="G1914">
        <v>1343.5098877</v>
      </c>
      <c r="H1914">
        <v>1340.2148437999999</v>
      </c>
      <c r="I1914">
        <v>1321.1466064000001</v>
      </c>
      <c r="J1914">
        <v>1316.536499</v>
      </c>
      <c r="K1914">
        <v>2400</v>
      </c>
      <c r="L1914">
        <v>0</v>
      </c>
      <c r="M1914">
        <v>0</v>
      </c>
      <c r="N1914">
        <v>2400</v>
      </c>
    </row>
    <row r="1915" spans="1:14" x14ac:dyDescent="0.25">
      <c r="A1915">
        <v>1254.64969</v>
      </c>
      <c r="B1915" s="1">
        <f>DATE(2013,10,6) + TIME(15,35,33)</f>
        <v>41553.649687500001</v>
      </c>
      <c r="C1915">
        <v>80</v>
      </c>
      <c r="D1915">
        <v>79.967353821000003</v>
      </c>
      <c r="E1915">
        <v>50</v>
      </c>
      <c r="F1915">
        <v>51.457267760999997</v>
      </c>
      <c r="G1915">
        <v>1343.4954834</v>
      </c>
      <c r="H1915">
        <v>1340.2050781</v>
      </c>
      <c r="I1915">
        <v>1321.1374512</v>
      </c>
      <c r="J1915">
        <v>1316.5203856999999</v>
      </c>
      <c r="K1915">
        <v>2400</v>
      </c>
      <c r="L1915">
        <v>0</v>
      </c>
      <c r="M1915">
        <v>0</v>
      </c>
      <c r="N1915">
        <v>2400</v>
      </c>
    </row>
    <row r="1916" spans="1:14" x14ac:dyDescent="0.25">
      <c r="A1916">
        <v>1257.5331470000001</v>
      </c>
      <c r="B1916" s="1">
        <f>DATE(2013,10,9) + TIME(12,47,43)</f>
        <v>41556.533136574071</v>
      </c>
      <c r="C1916">
        <v>80</v>
      </c>
      <c r="D1916">
        <v>79.967361449999999</v>
      </c>
      <c r="E1916">
        <v>50</v>
      </c>
      <c r="F1916">
        <v>51.933940886999999</v>
      </c>
      <c r="G1916">
        <v>1343.4810791</v>
      </c>
      <c r="H1916">
        <v>1340.1951904</v>
      </c>
      <c r="I1916">
        <v>1321.1285399999999</v>
      </c>
      <c r="J1916">
        <v>1316.5067139</v>
      </c>
      <c r="K1916">
        <v>2400</v>
      </c>
      <c r="L1916">
        <v>0</v>
      </c>
      <c r="M1916">
        <v>0</v>
      </c>
      <c r="N1916">
        <v>2400</v>
      </c>
    </row>
    <row r="1917" spans="1:14" x14ac:dyDescent="0.25">
      <c r="A1917">
        <v>1260.4593500000001</v>
      </c>
      <c r="B1917" s="1">
        <f>DATE(2013,10,12) + TIME(11,1,27)</f>
        <v>41559.459340277775</v>
      </c>
      <c r="C1917">
        <v>80</v>
      </c>
      <c r="D1917">
        <v>79.967369079999997</v>
      </c>
      <c r="E1917">
        <v>50</v>
      </c>
      <c r="F1917">
        <v>52.419223785</v>
      </c>
      <c r="G1917">
        <v>1343.4667969</v>
      </c>
      <c r="H1917">
        <v>1340.1853027</v>
      </c>
      <c r="I1917">
        <v>1321.1204834</v>
      </c>
      <c r="J1917">
        <v>1316.4951172000001</v>
      </c>
      <c r="K1917">
        <v>2400</v>
      </c>
      <c r="L1917">
        <v>0</v>
      </c>
      <c r="M1917">
        <v>0</v>
      </c>
      <c r="N1917">
        <v>2400</v>
      </c>
    </row>
    <row r="1918" spans="1:14" x14ac:dyDescent="0.25">
      <c r="A1918">
        <v>1263.447042</v>
      </c>
      <c r="B1918" s="1">
        <f>DATE(2013,10,15) + TIME(10,43,44)</f>
        <v>41562.44703703704</v>
      </c>
      <c r="C1918">
        <v>80</v>
      </c>
      <c r="D1918">
        <v>79.967376709000007</v>
      </c>
      <c r="E1918">
        <v>50</v>
      </c>
      <c r="F1918">
        <v>52.908473968999999</v>
      </c>
      <c r="G1918">
        <v>1343.4526367000001</v>
      </c>
      <c r="H1918">
        <v>1340.1755370999999</v>
      </c>
      <c r="I1918">
        <v>1321.1134033000001</v>
      </c>
      <c r="J1918">
        <v>1316.4854736</v>
      </c>
      <c r="K1918">
        <v>2400</v>
      </c>
      <c r="L1918">
        <v>0</v>
      </c>
      <c r="M1918">
        <v>0</v>
      </c>
      <c r="N1918">
        <v>2400</v>
      </c>
    </row>
    <row r="1919" spans="1:14" x14ac:dyDescent="0.25">
      <c r="A1919">
        <v>1266.5220690000001</v>
      </c>
      <c r="B1919" s="1">
        <f>DATE(2013,10,18) + TIME(12,31,46)</f>
        <v>41565.522060185183</v>
      </c>
      <c r="C1919">
        <v>80</v>
      </c>
      <c r="D1919">
        <v>79.967384338000002</v>
      </c>
      <c r="E1919">
        <v>50</v>
      </c>
      <c r="F1919">
        <v>53.400035858000003</v>
      </c>
      <c r="G1919">
        <v>1343.4385986</v>
      </c>
      <c r="H1919">
        <v>1340.1657714999999</v>
      </c>
      <c r="I1919">
        <v>1321.1071777</v>
      </c>
      <c r="J1919">
        <v>1316.4772949000001</v>
      </c>
      <c r="K1919">
        <v>2400</v>
      </c>
      <c r="L1919">
        <v>0</v>
      </c>
      <c r="M1919">
        <v>0</v>
      </c>
      <c r="N1919">
        <v>2400</v>
      </c>
    </row>
    <row r="1920" spans="1:14" x14ac:dyDescent="0.25">
      <c r="A1920">
        <v>1269.691677</v>
      </c>
      <c r="B1920" s="1">
        <f>DATE(2013,10,21) + TIME(16,36,0)</f>
        <v>41568.691666666666</v>
      </c>
      <c r="C1920">
        <v>80</v>
      </c>
      <c r="D1920">
        <v>79.967399596999996</v>
      </c>
      <c r="E1920">
        <v>50</v>
      </c>
      <c r="F1920">
        <v>53.895023346000002</v>
      </c>
      <c r="G1920">
        <v>1343.4243164</v>
      </c>
      <c r="H1920">
        <v>1340.1558838000001</v>
      </c>
      <c r="I1920">
        <v>1321.1018065999999</v>
      </c>
      <c r="J1920">
        <v>1316.4705810999999</v>
      </c>
      <c r="K1920">
        <v>2400</v>
      </c>
      <c r="L1920">
        <v>0</v>
      </c>
      <c r="M1920">
        <v>0</v>
      </c>
      <c r="N1920">
        <v>2400</v>
      </c>
    </row>
    <row r="1921" spans="1:14" x14ac:dyDescent="0.25">
      <c r="A1921">
        <v>1272.9003849999999</v>
      </c>
      <c r="B1921" s="1">
        <f>DATE(2013,10,24) + TIME(21,36,33)</f>
        <v>41571.900381944448</v>
      </c>
      <c r="C1921">
        <v>80</v>
      </c>
      <c r="D1921">
        <v>79.967407226999995</v>
      </c>
      <c r="E1921">
        <v>50</v>
      </c>
      <c r="F1921">
        <v>54.389003754000001</v>
      </c>
      <c r="G1921">
        <v>1343.4099120999999</v>
      </c>
      <c r="H1921">
        <v>1340.145874</v>
      </c>
      <c r="I1921">
        <v>1321.0974120999999</v>
      </c>
      <c r="J1921">
        <v>1316.465332</v>
      </c>
      <c r="K1921">
        <v>2400</v>
      </c>
      <c r="L1921">
        <v>0</v>
      </c>
      <c r="M1921">
        <v>0</v>
      </c>
      <c r="N1921">
        <v>2400</v>
      </c>
    </row>
    <row r="1922" spans="1:14" x14ac:dyDescent="0.25">
      <c r="A1922">
        <v>1276.1581040000001</v>
      </c>
      <c r="B1922" s="1">
        <f>DATE(2013,10,28) + TIME(3,47,40)</f>
        <v>41575.158101851855</v>
      </c>
      <c r="C1922">
        <v>80</v>
      </c>
      <c r="D1922">
        <v>79.967422485</v>
      </c>
      <c r="E1922">
        <v>50</v>
      </c>
      <c r="F1922">
        <v>54.874923705999997</v>
      </c>
      <c r="G1922">
        <v>1343.3957519999999</v>
      </c>
      <c r="H1922">
        <v>1340.1359863</v>
      </c>
      <c r="I1922">
        <v>1321.0938721</v>
      </c>
      <c r="J1922">
        <v>1316.4614257999999</v>
      </c>
      <c r="K1922">
        <v>2400</v>
      </c>
      <c r="L1922">
        <v>0</v>
      </c>
      <c r="M1922">
        <v>0</v>
      </c>
      <c r="N1922">
        <v>2400</v>
      </c>
    </row>
    <row r="1923" spans="1:14" x14ac:dyDescent="0.25">
      <c r="A1923">
        <v>1279.466809</v>
      </c>
      <c r="B1923" s="1">
        <f>DATE(2013,10,31) + TIME(11,12,12)</f>
        <v>41578.466805555552</v>
      </c>
      <c r="C1923">
        <v>80</v>
      </c>
      <c r="D1923">
        <v>79.967437743999994</v>
      </c>
      <c r="E1923">
        <v>50</v>
      </c>
      <c r="F1923">
        <v>55.350158690999997</v>
      </c>
      <c r="G1923">
        <v>1343.3815918</v>
      </c>
      <c r="H1923">
        <v>1340.1262207</v>
      </c>
      <c r="I1923">
        <v>1321.0910644999999</v>
      </c>
      <c r="J1923">
        <v>1316.4587402</v>
      </c>
      <c r="K1923">
        <v>2400</v>
      </c>
      <c r="L1923">
        <v>0</v>
      </c>
      <c r="M1923">
        <v>0</v>
      </c>
      <c r="N1923">
        <v>2400</v>
      </c>
    </row>
    <row r="1924" spans="1:14" x14ac:dyDescent="0.25">
      <c r="A1924">
        <v>1280</v>
      </c>
      <c r="B1924" s="1">
        <f>DATE(2013,11,1) + TIME(0,0,0)</f>
        <v>41579</v>
      </c>
      <c r="C1924">
        <v>80</v>
      </c>
      <c r="D1924">
        <v>79.967422485</v>
      </c>
      <c r="E1924">
        <v>50</v>
      </c>
      <c r="F1924">
        <v>55.603321074999997</v>
      </c>
      <c r="G1924">
        <v>1343.3677978999999</v>
      </c>
      <c r="H1924">
        <v>1340.1164550999999</v>
      </c>
      <c r="I1924">
        <v>1321.0991211</v>
      </c>
      <c r="J1924">
        <v>1316.4599608999999</v>
      </c>
      <c r="K1924">
        <v>2400</v>
      </c>
      <c r="L1924">
        <v>0</v>
      </c>
      <c r="M1924">
        <v>0</v>
      </c>
      <c r="N1924">
        <v>2400</v>
      </c>
    </row>
    <row r="1925" spans="1:14" x14ac:dyDescent="0.25">
      <c r="A1925">
        <v>1280.0000010000001</v>
      </c>
      <c r="B1925" s="1">
        <f>DATE(2013,11,1) + TIME(0,0,0)</f>
        <v>41579</v>
      </c>
      <c r="C1925">
        <v>80</v>
      </c>
      <c r="D1925">
        <v>79.967323303000001</v>
      </c>
      <c r="E1925">
        <v>50</v>
      </c>
      <c r="F1925">
        <v>55.603439330999997</v>
      </c>
      <c r="G1925">
        <v>1339.4066161999999</v>
      </c>
      <c r="H1925">
        <v>1337.5941161999999</v>
      </c>
      <c r="I1925">
        <v>1326.6285399999999</v>
      </c>
      <c r="J1925">
        <v>1322.0805664</v>
      </c>
      <c r="K1925">
        <v>0</v>
      </c>
      <c r="L1925">
        <v>2400</v>
      </c>
      <c r="M1925">
        <v>2400</v>
      </c>
      <c r="N1925">
        <v>0</v>
      </c>
    </row>
    <row r="1926" spans="1:14" x14ac:dyDescent="0.25">
      <c r="A1926">
        <v>1280.000004</v>
      </c>
      <c r="B1926" s="1">
        <f>DATE(2013,11,1) + TIME(0,0,0)</f>
        <v>41579</v>
      </c>
      <c r="C1926">
        <v>80</v>
      </c>
      <c r="D1926">
        <v>79.967147827000005</v>
      </c>
      <c r="E1926">
        <v>50</v>
      </c>
      <c r="F1926">
        <v>55.603652953999998</v>
      </c>
      <c r="G1926">
        <v>1338.1928711</v>
      </c>
      <c r="H1926">
        <v>1336.380249</v>
      </c>
      <c r="I1926">
        <v>1328.2657471</v>
      </c>
      <c r="J1926">
        <v>1323.9116211</v>
      </c>
      <c r="K1926">
        <v>0</v>
      </c>
      <c r="L1926">
        <v>2400</v>
      </c>
      <c r="M1926">
        <v>2400</v>
      </c>
      <c r="N1926">
        <v>0</v>
      </c>
    </row>
    <row r="1927" spans="1:14" x14ac:dyDescent="0.25">
      <c r="A1927">
        <v>1280.0000130000001</v>
      </c>
      <c r="B1927" s="1">
        <f>DATE(2013,11,1) + TIME(0,0,1)</f>
        <v>41579.000011574077</v>
      </c>
      <c r="C1927">
        <v>80</v>
      </c>
      <c r="D1927">
        <v>79.966934203999998</v>
      </c>
      <c r="E1927">
        <v>50</v>
      </c>
      <c r="F1927">
        <v>55.603897095000001</v>
      </c>
      <c r="G1927">
        <v>1336.7067870999999</v>
      </c>
      <c r="H1927">
        <v>1334.8919678</v>
      </c>
      <c r="I1927">
        <v>1330.6878661999999</v>
      </c>
      <c r="J1927">
        <v>1326.3793945</v>
      </c>
      <c r="K1927">
        <v>0</v>
      </c>
      <c r="L1927">
        <v>2400</v>
      </c>
      <c r="M1927">
        <v>2400</v>
      </c>
      <c r="N1927">
        <v>0</v>
      </c>
    </row>
    <row r="1928" spans="1:14" x14ac:dyDescent="0.25">
      <c r="A1928">
        <v>1280.0000399999999</v>
      </c>
      <c r="B1928" s="1">
        <f>DATE(2013,11,1) + TIME(0,0,3)</f>
        <v>41579.000034722223</v>
      </c>
      <c r="C1928">
        <v>80</v>
      </c>
      <c r="D1928">
        <v>79.966720581000004</v>
      </c>
      <c r="E1928">
        <v>50</v>
      </c>
      <c r="F1928">
        <v>55.604015349999997</v>
      </c>
      <c r="G1928">
        <v>1335.2001952999999</v>
      </c>
      <c r="H1928">
        <v>1333.3728027</v>
      </c>
      <c r="I1928">
        <v>1333.4155272999999</v>
      </c>
      <c r="J1928">
        <v>1329.0533447</v>
      </c>
      <c r="K1928">
        <v>0</v>
      </c>
      <c r="L1928">
        <v>2400</v>
      </c>
      <c r="M1928">
        <v>2400</v>
      </c>
      <c r="N1928">
        <v>0</v>
      </c>
    </row>
    <row r="1929" spans="1:14" x14ac:dyDescent="0.25">
      <c r="A1929">
        <v>1280.000121</v>
      </c>
      <c r="B1929" s="1">
        <f>DATE(2013,11,1) + TIME(0,0,10)</f>
        <v>41579.000115740739</v>
      </c>
      <c r="C1929">
        <v>80</v>
      </c>
      <c r="D1929">
        <v>79.966491699000002</v>
      </c>
      <c r="E1929">
        <v>50</v>
      </c>
      <c r="F1929">
        <v>55.603672027999998</v>
      </c>
      <c r="G1929">
        <v>1333.6829834</v>
      </c>
      <c r="H1929">
        <v>1331.8143310999999</v>
      </c>
      <c r="I1929">
        <v>1336.1629639</v>
      </c>
      <c r="J1929">
        <v>1331.7413329999999</v>
      </c>
      <c r="K1929">
        <v>0</v>
      </c>
      <c r="L1929">
        <v>2400</v>
      </c>
      <c r="M1929">
        <v>2400</v>
      </c>
      <c r="N1929">
        <v>0</v>
      </c>
    </row>
    <row r="1930" spans="1:14" x14ac:dyDescent="0.25">
      <c r="A1930">
        <v>1280.000364</v>
      </c>
      <c r="B1930" s="1">
        <f>DATE(2013,11,1) + TIME(0,0,31)</f>
        <v>41579.000358796293</v>
      </c>
      <c r="C1930">
        <v>80</v>
      </c>
      <c r="D1930">
        <v>79.966232300000001</v>
      </c>
      <c r="E1930">
        <v>50</v>
      </c>
      <c r="F1930">
        <v>55.601909636999999</v>
      </c>
      <c r="G1930">
        <v>1332.0732422000001</v>
      </c>
      <c r="H1930">
        <v>1330.1207274999999</v>
      </c>
      <c r="I1930">
        <v>1338.9140625</v>
      </c>
      <c r="J1930">
        <v>1334.4217529</v>
      </c>
      <c r="K1930">
        <v>0</v>
      </c>
      <c r="L1930">
        <v>2400</v>
      </c>
      <c r="M1930">
        <v>2400</v>
      </c>
      <c r="N1930">
        <v>0</v>
      </c>
    </row>
    <row r="1931" spans="1:14" x14ac:dyDescent="0.25">
      <c r="A1931">
        <v>1280.0010930000001</v>
      </c>
      <c r="B1931" s="1">
        <f>DATE(2013,11,1) + TIME(0,1,34)</f>
        <v>41579.001087962963</v>
      </c>
      <c r="C1931">
        <v>80</v>
      </c>
      <c r="D1931">
        <v>79.965881347999996</v>
      </c>
      <c r="E1931">
        <v>50</v>
      </c>
      <c r="F1931">
        <v>55.595798492</v>
      </c>
      <c r="G1931">
        <v>1330.3645019999999</v>
      </c>
      <c r="H1931">
        <v>1328.3055420000001</v>
      </c>
      <c r="I1931">
        <v>1341.6010742000001</v>
      </c>
      <c r="J1931">
        <v>1337.0141602000001</v>
      </c>
      <c r="K1931">
        <v>0</v>
      </c>
      <c r="L1931">
        <v>2400</v>
      </c>
      <c r="M1931">
        <v>2400</v>
      </c>
      <c r="N1931">
        <v>0</v>
      </c>
    </row>
    <row r="1932" spans="1:14" x14ac:dyDescent="0.25">
      <c r="A1932">
        <v>1280.0032799999999</v>
      </c>
      <c r="B1932" s="1">
        <f>DATE(2013,11,1) + TIME(0,4,43)</f>
        <v>41579.003275462965</v>
      </c>
      <c r="C1932">
        <v>80</v>
      </c>
      <c r="D1932">
        <v>79.965332031000003</v>
      </c>
      <c r="E1932">
        <v>50</v>
      </c>
      <c r="F1932">
        <v>55.576427459999998</v>
      </c>
      <c r="G1932">
        <v>1328.8287353999999</v>
      </c>
      <c r="H1932">
        <v>1326.6915283000001</v>
      </c>
      <c r="I1932">
        <v>1343.8664550999999</v>
      </c>
      <c r="J1932">
        <v>1339.1868896000001</v>
      </c>
      <c r="K1932">
        <v>0</v>
      </c>
      <c r="L1932">
        <v>2400</v>
      </c>
      <c r="M1932">
        <v>2400</v>
      </c>
      <c r="N1932">
        <v>0</v>
      </c>
    </row>
    <row r="1933" spans="1:14" x14ac:dyDescent="0.25">
      <c r="A1933">
        <v>1280.0098410000001</v>
      </c>
      <c r="B1933" s="1">
        <f>DATE(2013,11,1) + TIME(0,14,10)</f>
        <v>41579.009837962964</v>
      </c>
      <c r="C1933">
        <v>80</v>
      </c>
      <c r="D1933">
        <v>79.964210510000001</v>
      </c>
      <c r="E1933">
        <v>50</v>
      </c>
      <c r="F1933">
        <v>55.517677307</v>
      </c>
      <c r="G1933">
        <v>1327.8820800999999</v>
      </c>
      <c r="H1933">
        <v>1325.7131348</v>
      </c>
      <c r="I1933">
        <v>1345.2175293</v>
      </c>
      <c r="J1933">
        <v>1340.4864502</v>
      </c>
      <c r="K1933">
        <v>0</v>
      </c>
      <c r="L1933">
        <v>2400</v>
      </c>
      <c r="M1933">
        <v>2400</v>
      </c>
      <c r="N1933">
        <v>0</v>
      </c>
    </row>
    <row r="1934" spans="1:14" x14ac:dyDescent="0.25">
      <c r="A1934">
        <v>1280.029524</v>
      </c>
      <c r="B1934" s="1">
        <f>DATE(2013,11,1) + TIME(0,42,30)</f>
        <v>41579.029513888891</v>
      </c>
      <c r="C1934">
        <v>80</v>
      </c>
      <c r="D1934">
        <v>79.961242675999998</v>
      </c>
      <c r="E1934">
        <v>50</v>
      </c>
      <c r="F1934">
        <v>55.346515656000001</v>
      </c>
      <c r="G1934">
        <v>1327.5782471</v>
      </c>
      <c r="H1934">
        <v>1325.4019774999999</v>
      </c>
      <c r="I1934">
        <v>1345.6313477000001</v>
      </c>
      <c r="J1934">
        <v>1340.8894043</v>
      </c>
      <c r="K1934">
        <v>0</v>
      </c>
      <c r="L1934">
        <v>2400</v>
      </c>
      <c r="M1934">
        <v>2400</v>
      </c>
      <c r="N1934">
        <v>0</v>
      </c>
    </row>
    <row r="1935" spans="1:14" x14ac:dyDescent="0.25">
      <c r="A1935">
        <v>1280.0752110000001</v>
      </c>
      <c r="B1935" s="1">
        <f>DATE(2013,11,1) + TIME(1,48,18)</f>
        <v>41579.075208333335</v>
      </c>
      <c r="C1935">
        <v>80</v>
      </c>
      <c r="D1935">
        <v>79.954666137999993</v>
      </c>
      <c r="E1935">
        <v>50</v>
      </c>
      <c r="F1935">
        <v>54.979141235</v>
      </c>
      <c r="G1935">
        <v>1327.5390625</v>
      </c>
      <c r="H1935">
        <v>1325.3619385</v>
      </c>
      <c r="I1935">
        <v>1345.6401367000001</v>
      </c>
      <c r="J1935">
        <v>1340.90625</v>
      </c>
      <c r="K1935">
        <v>0</v>
      </c>
      <c r="L1935">
        <v>2400</v>
      </c>
      <c r="M1935">
        <v>2400</v>
      </c>
      <c r="N1935">
        <v>0</v>
      </c>
    </row>
    <row r="1936" spans="1:14" x14ac:dyDescent="0.25">
      <c r="A1936">
        <v>1280.122179</v>
      </c>
      <c r="B1936" s="1">
        <f>DATE(2013,11,1) + TIME(2,55,56)</f>
        <v>41579.122175925928</v>
      </c>
      <c r="C1936">
        <v>80</v>
      </c>
      <c r="D1936">
        <v>79.948005675999994</v>
      </c>
      <c r="E1936">
        <v>50</v>
      </c>
      <c r="F1936">
        <v>54.630447388</v>
      </c>
      <c r="G1936">
        <v>1327.5358887</v>
      </c>
      <c r="H1936">
        <v>1325.3583983999999</v>
      </c>
      <c r="I1936">
        <v>1345.6019286999999</v>
      </c>
      <c r="J1936">
        <v>1340.8763428</v>
      </c>
      <c r="K1936">
        <v>0</v>
      </c>
      <c r="L1936">
        <v>2400</v>
      </c>
      <c r="M1936">
        <v>2400</v>
      </c>
      <c r="N1936">
        <v>0</v>
      </c>
    </row>
    <row r="1937" spans="1:14" x14ac:dyDescent="0.25">
      <c r="A1937">
        <v>1280.170599</v>
      </c>
      <c r="B1937" s="1">
        <f>DATE(2013,11,1) + TIME(4,5,39)</f>
        <v>41579.170590277776</v>
      </c>
      <c r="C1937">
        <v>80</v>
      </c>
      <c r="D1937">
        <v>79.941238403</v>
      </c>
      <c r="E1937">
        <v>50</v>
      </c>
      <c r="F1937">
        <v>54.299015044999997</v>
      </c>
      <c r="G1937">
        <v>1327.5345459</v>
      </c>
      <c r="H1937">
        <v>1325.3569336</v>
      </c>
      <c r="I1937">
        <v>1345.5621338000001</v>
      </c>
      <c r="J1937">
        <v>1340.8447266000001</v>
      </c>
      <c r="K1937">
        <v>0</v>
      </c>
      <c r="L1937">
        <v>2400</v>
      </c>
      <c r="M1937">
        <v>2400</v>
      </c>
      <c r="N1937">
        <v>0</v>
      </c>
    </row>
    <row r="1938" spans="1:14" x14ac:dyDescent="0.25">
      <c r="A1938">
        <v>1280.2206000000001</v>
      </c>
      <c r="B1938" s="1">
        <f>DATE(2013,11,1) + TIME(5,17,39)</f>
        <v>41579.220590277779</v>
      </c>
      <c r="C1938">
        <v>80</v>
      </c>
      <c r="D1938">
        <v>79.934349060000002</v>
      </c>
      <c r="E1938">
        <v>50</v>
      </c>
      <c r="F1938">
        <v>53.983943939</v>
      </c>
      <c r="G1938">
        <v>1327.5333252</v>
      </c>
      <c r="H1938">
        <v>1325.3553466999999</v>
      </c>
      <c r="I1938">
        <v>1345.5238036999999</v>
      </c>
      <c r="J1938">
        <v>1340.8143310999999</v>
      </c>
      <c r="K1938">
        <v>0</v>
      </c>
      <c r="L1938">
        <v>2400</v>
      </c>
      <c r="M1938">
        <v>2400</v>
      </c>
      <c r="N1938">
        <v>0</v>
      </c>
    </row>
    <row r="1939" spans="1:14" x14ac:dyDescent="0.25">
      <c r="A1939">
        <v>1280.2722960000001</v>
      </c>
      <c r="B1939" s="1">
        <f>DATE(2013,11,1) + TIME(6,32,6)</f>
        <v>41579.272291666668</v>
      </c>
      <c r="C1939">
        <v>80</v>
      </c>
      <c r="D1939">
        <v>79.927330017000003</v>
      </c>
      <c r="E1939">
        <v>50</v>
      </c>
      <c r="F1939">
        <v>53.684570311999998</v>
      </c>
      <c r="G1939">
        <v>1327.5321045000001</v>
      </c>
      <c r="H1939">
        <v>1325.3537598</v>
      </c>
      <c r="I1939">
        <v>1345.4870605000001</v>
      </c>
      <c r="J1939">
        <v>1340.7852783000001</v>
      </c>
      <c r="K1939">
        <v>0</v>
      </c>
      <c r="L1939">
        <v>2400</v>
      </c>
      <c r="M1939">
        <v>2400</v>
      </c>
      <c r="N1939">
        <v>0</v>
      </c>
    </row>
    <row r="1940" spans="1:14" x14ac:dyDescent="0.25">
      <c r="A1940">
        <v>1280.3258679999999</v>
      </c>
      <c r="B1940" s="1">
        <f>DATE(2013,11,1) + TIME(7,49,14)</f>
        <v>41579.325856481482</v>
      </c>
      <c r="C1940">
        <v>80</v>
      </c>
      <c r="D1940">
        <v>79.920166015999996</v>
      </c>
      <c r="E1940">
        <v>50</v>
      </c>
      <c r="F1940">
        <v>53.400016784999998</v>
      </c>
      <c r="G1940">
        <v>1327.5307617000001</v>
      </c>
      <c r="H1940">
        <v>1325.3521728999999</v>
      </c>
      <c r="I1940">
        <v>1345.4516602000001</v>
      </c>
      <c r="J1940">
        <v>1340.7575684000001</v>
      </c>
      <c r="K1940">
        <v>0</v>
      </c>
      <c r="L1940">
        <v>2400</v>
      </c>
      <c r="M1940">
        <v>2400</v>
      </c>
      <c r="N1940">
        <v>0</v>
      </c>
    </row>
    <row r="1941" spans="1:14" x14ac:dyDescent="0.25">
      <c r="A1941">
        <v>1280.3815</v>
      </c>
      <c r="B1941" s="1">
        <f>DATE(2013,11,1) + TIME(9,9,21)</f>
        <v>41579.381493055553</v>
      </c>
      <c r="C1941">
        <v>80</v>
      </c>
      <c r="D1941">
        <v>79.912826538000004</v>
      </c>
      <c r="E1941">
        <v>50</v>
      </c>
      <c r="F1941">
        <v>53.129577636999997</v>
      </c>
      <c r="G1941">
        <v>1327.5294189000001</v>
      </c>
      <c r="H1941">
        <v>1325.3503418</v>
      </c>
      <c r="I1941">
        <v>1345.4177245999999</v>
      </c>
      <c r="J1941">
        <v>1340.730957</v>
      </c>
      <c r="K1941">
        <v>0</v>
      </c>
      <c r="L1941">
        <v>2400</v>
      </c>
      <c r="M1941">
        <v>2400</v>
      </c>
      <c r="N1941">
        <v>0</v>
      </c>
    </row>
    <row r="1942" spans="1:14" x14ac:dyDescent="0.25">
      <c r="A1942">
        <v>1280.4393950000001</v>
      </c>
      <c r="B1942" s="1">
        <f>DATE(2013,11,1) + TIME(10,32,43)</f>
        <v>41579.439386574071</v>
      </c>
      <c r="C1942">
        <v>80</v>
      </c>
      <c r="D1942">
        <v>79.905303954999994</v>
      </c>
      <c r="E1942">
        <v>50</v>
      </c>
      <c r="F1942">
        <v>52.872646332000002</v>
      </c>
      <c r="G1942">
        <v>1327.5279541</v>
      </c>
      <c r="H1942">
        <v>1325.3485106999999</v>
      </c>
      <c r="I1942">
        <v>1345.3851318</v>
      </c>
      <c r="J1942">
        <v>1340.7055664</v>
      </c>
      <c r="K1942">
        <v>0</v>
      </c>
      <c r="L1942">
        <v>2400</v>
      </c>
      <c r="M1942">
        <v>2400</v>
      </c>
      <c r="N1942">
        <v>0</v>
      </c>
    </row>
    <row r="1943" spans="1:14" x14ac:dyDescent="0.25">
      <c r="A1943">
        <v>1280.4997820000001</v>
      </c>
      <c r="B1943" s="1">
        <f>DATE(2013,11,1) + TIME(11,59,41)</f>
        <v>41579.499780092592</v>
      </c>
      <c r="C1943">
        <v>80</v>
      </c>
      <c r="D1943">
        <v>79.897575377999999</v>
      </c>
      <c r="E1943">
        <v>50</v>
      </c>
      <c r="F1943">
        <v>52.628677367999998</v>
      </c>
      <c r="G1943">
        <v>1327.5263672000001</v>
      </c>
      <c r="H1943">
        <v>1325.3465576000001</v>
      </c>
      <c r="I1943">
        <v>1345.3537598</v>
      </c>
      <c r="J1943">
        <v>1340.6813964999999</v>
      </c>
      <c r="K1943">
        <v>0</v>
      </c>
      <c r="L1943">
        <v>2400</v>
      </c>
      <c r="M1943">
        <v>2400</v>
      </c>
      <c r="N1943">
        <v>0</v>
      </c>
    </row>
    <row r="1944" spans="1:14" x14ac:dyDescent="0.25">
      <c r="A1944">
        <v>1280.562911</v>
      </c>
      <c r="B1944" s="1">
        <f>DATE(2013,11,1) + TIME(13,30,35)</f>
        <v>41579.562905092593</v>
      </c>
      <c r="C1944">
        <v>80</v>
      </c>
      <c r="D1944">
        <v>79.889617920000006</v>
      </c>
      <c r="E1944">
        <v>50</v>
      </c>
      <c r="F1944">
        <v>52.397216796999999</v>
      </c>
      <c r="G1944">
        <v>1327.5247803</v>
      </c>
      <c r="H1944">
        <v>1325.3444824000001</v>
      </c>
      <c r="I1944">
        <v>1345.3236084</v>
      </c>
      <c r="J1944">
        <v>1340.6582031</v>
      </c>
      <c r="K1944">
        <v>0</v>
      </c>
      <c r="L1944">
        <v>2400</v>
      </c>
      <c r="M1944">
        <v>2400</v>
      </c>
      <c r="N1944">
        <v>0</v>
      </c>
    </row>
    <row r="1945" spans="1:14" x14ac:dyDescent="0.25">
      <c r="A1945">
        <v>1280.6290819999999</v>
      </c>
      <c r="B1945" s="1">
        <f>DATE(2013,11,1) + TIME(15,5,52)</f>
        <v>41579.629074074073</v>
      </c>
      <c r="C1945">
        <v>80</v>
      </c>
      <c r="D1945">
        <v>79.881401061999995</v>
      </c>
      <c r="E1945">
        <v>50</v>
      </c>
      <c r="F1945">
        <v>52.177806854000004</v>
      </c>
      <c r="G1945">
        <v>1327.5229492000001</v>
      </c>
      <c r="H1945">
        <v>1325.3422852000001</v>
      </c>
      <c r="I1945">
        <v>1345.2945557</v>
      </c>
      <c r="J1945">
        <v>1340.6359863</v>
      </c>
      <c r="K1945">
        <v>0</v>
      </c>
      <c r="L1945">
        <v>2400</v>
      </c>
      <c r="M1945">
        <v>2400</v>
      </c>
      <c r="N1945">
        <v>0</v>
      </c>
    </row>
    <row r="1946" spans="1:14" x14ac:dyDescent="0.25">
      <c r="A1946">
        <v>1280.6986440000001</v>
      </c>
      <c r="B1946" s="1">
        <f>DATE(2013,11,1) + TIME(16,46,2)</f>
        <v>41579.698634259257</v>
      </c>
      <c r="C1946">
        <v>80</v>
      </c>
      <c r="D1946">
        <v>79.872901916999993</v>
      </c>
      <c r="E1946">
        <v>50</v>
      </c>
      <c r="F1946">
        <v>51.970046996999997</v>
      </c>
      <c r="G1946">
        <v>1327.5211182</v>
      </c>
      <c r="H1946">
        <v>1325.3398437999999</v>
      </c>
      <c r="I1946">
        <v>1345.2666016000001</v>
      </c>
      <c r="J1946">
        <v>1340.6147461</v>
      </c>
      <c r="K1946">
        <v>0</v>
      </c>
      <c r="L1946">
        <v>2400</v>
      </c>
      <c r="M1946">
        <v>2400</v>
      </c>
      <c r="N1946">
        <v>0</v>
      </c>
    </row>
    <row r="1947" spans="1:14" x14ac:dyDescent="0.25">
      <c r="A1947">
        <v>1280.7719950000001</v>
      </c>
      <c r="B1947" s="1">
        <f>DATE(2013,11,1) + TIME(18,31,40)</f>
        <v>41579.771990740737</v>
      </c>
      <c r="C1947">
        <v>80</v>
      </c>
      <c r="D1947">
        <v>79.864074707</v>
      </c>
      <c r="E1947">
        <v>50</v>
      </c>
      <c r="F1947">
        <v>51.773586272999999</v>
      </c>
      <c r="G1947">
        <v>1327.5191649999999</v>
      </c>
      <c r="H1947">
        <v>1325.3372803</v>
      </c>
      <c r="I1947">
        <v>1345.239624</v>
      </c>
      <c r="J1947">
        <v>1340.5943603999999</v>
      </c>
      <c r="K1947">
        <v>0</v>
      </c>
      <c r="L1947">
        <v>2400</v>
      </c>
      <c r="M1947">
        <v>2400</v>
      </c>
      <c r="N1947">
        <v>0</v>
      </c>
    </row>
    <row r="1948" spans="1:14" x14ac:dyDescent="0.25">
      <c r="A1948">
        <v>1280.8496029999999</v>
      </c>
      <c r="B1948" s="1">
        <f>DATE(2013,11,1) + TIME(20,23,25)</f>
        <v>41579.849594907406</v>
      </c>
      <c r="C1948">
        <v>80</v>
      </c>
      <c r="D1948">
        <v>79.854888915999993</v>
      </c>
      <c r="E1948">
        <v>50</v>
      </c>
      <c r="F1948">
        <v>51.588130950999997</v>
      </c>
      <c r="G1948">
        <v>1327.5170897999999</v>
      </c>
      <c r="H1948">
        <v>1325.3345947</v>
      </c>
      <c r="I1948">
        <v>1345.2136230000001</v>
      </c>
      <c r="J1948">
        <v>1340.5749512</v>
      </c>
      <c r="K1948">
        <v>0</v>
      </c>
      <c r="L1948">
        <v>2400</v>
      </c>
      <c r="M1948">
        <v>2400</v>
      </c>
      <c r="N1948">
        <v>0</v>
      </c>
    </row>
    <row r="1949" spans="1:14" x14ac:dyDescent="0.25">
      <c r="A1949">
        <v>1280.932018</v>
      </c>
      <c r="B1949" s="1">
        <f>DATE(2013,11,1) + TIME(22,22,6)</f>
        <v>41579.932013888887</v>
      </c>
      <c r="C1949">
        <v>80</v>
      </c>
      <c r="D1949">
        <v>79.845291137999993</v>
      </c>
      <c r="E1949">
        <v>50</v>
      </c>
      <c r="F1949">
        <v>51.413410186999997</v>
      </c>
      <c r="G1949">
        <v>1327.5147704999999</v>
      </c>
      <c r="H1949">
        <v>1325.3316649999999</v>
      </c>
      <c r="I1949">
        <v>1345.1884766000001</v>
      </c>
      <c r="J1949">
        <v>1340.5562743999999</v>
      </c>
      <c r="K1949">
        <v>0</v>
      </c>
      <c r="L1949">
        <v>2400</v>
      </c>
      <c r="M1949">
        <v>2400</v>
      </c>
      <c r="N1949">
        <v>0</v>
      </c>
    </row>
    <row r="1950" spans="1:14" x14ac:dyDescent="0.25">
      <c r="A1950">
        <v>1281.0199</v>
      </c>
      <c r="B1950" s="1">
        <f>DATE(2013,11,2) + TIME(0,28,39)</f>
        <v>41580.019895833335</v>
      </c>
      <c r="C1950">
        <v>80</v>
      </c>
      <c r="D1950">
        <v>79.835227966000005</v>
      </c>
      <c r="E1950">
        <v>50</v>
      </c>
      <c r="F1950">
        <v>51.249202728</v>
      </c>
      <c r="G1950">
        <v>1327.5123291</v>
      </c>
      <c r="H1950">
        <v>1325.3284911999999</v>
      </c>
      <c r="I1950">
        <v>1345.1641846</v>
      </c>
      <c r="J1950">
        <v>1340.5384521000001</v>
      </c>
      <c r="K1950">
        <v>0</v>
      </c>
      <c r="L1950">
        <v>2400</v>
      </c>
      <c r="M1950">
        <v>2400</v>
      </c>
      <c r="N1950">
        <v>0</v>
      </c>
    </row>
    <row r="1951" spans="1:14" x14ac:dyDescent="0.25">
      <c r="A1951">
        <v>1281.114041</v>
      </c>
      <c r="B1951" s="1">
        <f>DATE(2013,11,2) + TIME(2,44,13)</f>
        <v>41580.114039351851</v>
      </c>
      <c r="C1951">
        <v>80</v>
      </c>
      <c r="D1951">
        <v>79.824630737000007</v>
      </c>
      <c r="E1951">
        <v>50</v>
      </c>
      <c r="F1951">
        <v>51.095321654999999</v>
      </c>
      <c r="G1951">
        <v>1327.5097656</v>
      </c>
      <c r="H1951">
        <v>1325.3249512</v>
      </c>
      <c r="I1951">
        <v>1345.140625</v>
      </c>
      <c r="J1951">
        <v>1340.5213623</v>
      </c>
      <c r="K1951">
        <v>0</v>
      </c>
      <c r="L1951">
        <v>2400</v>
      </c>
      <c r="M1951">
        <v>2400</v>
      </c>
      <c r="N1951">
        <v>0</v>
      </c>
    </row>
    <row r="1952" spans="1:14" x14ac:dyDescent="0.25">
      <c r="A1952">
        <v>1281.2154109999999</v>
      </c>
      <c r="B1952" s="1">
        <f>DATE(2013,11,2) + TIME(5,10,11)</f>
        <v>41580.215405092589</v>
      </c>
      <c r="C1952">
        <v>80</v>
      </c>
      <c r="D1952">
        <v>79.813423157000003</v>
      </c>
      <c r="E1952">
        <v>50</v>
      </c>
      <c r="F1952">
        <v>50.951606750000003</v>
      </c>
      <c r="G1952">
        <v>1327.5069579999999</v>
      </c>
      <c r="H1952">
        <v>1325.3211670000001</v>
      </c>
      <c r="I1952">
        <v>1345.1176757999999</v>
      </c>
      <c r="J1952">
        <v>1340.5048827999999</v>
      </c>
      <c r="K1952">
        <v>0</v>
      </c>
      <c r="L1952">
        <v>2400</v>
      </c>
      <c r="M1952">
        <v>2400</v>
      </c>
      <c r="N1952">
        <v>0</v>
      </c>
    </row>
    <row r="1953" spans="1:14" x14ac:dyDescent="0.25">
      <c r="A1953">
        <v>1281.3252090000001</v>
      </c>
      <c r="B1953" s="1">
        <f>DATE(2013,11,2) + TIME(7,48,18)</f>
        <v>41580.325208333335</v>
      </c>
      <c r="C1953">
        <v>80</v>
      </c>
      <c r="D1953">
        <v>79.801506042</v>
      </c>
      <c r="E1953">
        <v>50</v>
      </c>
      <c r="F1953">
        <v>50.817943573000001</v>
      </c>
      <c r="G1953">
        <v>1327.5037841999999</v>
      </c>
      <c r="H1953">
        <v>1325.3170166</v>
      </c>
      <c r="I1953">
        <v>1345.0953368999999</v>
      </c>
      <c r="J1953">
        <v>1340.4890137</v>
      </c>
      <c r="K1953">
        <v>0</v>
      </c>
      <c r="L1953">
        <v>2400</v>
      </c>
      <c r="M1953">
        <v>2400</v>
      </c>
      <c r="N1953">
        <v>0</v>
      </c>
    </row>
    <row r="1954" spans="1:14" x14ac:dyDescent="0.25">
      <c r="A1954">
        <v>1281.444941</v>
      </c>
      <c r="B1954" s="1">
        <f>DATE(2013,11,2) + TIME(10,40,42)</f>
        <v>41580.444930555554</v>
      </c>
      <c r="C1954">
        <v>80</v>
      </c>
      <c r="D1954">
        <v>79.788757324000002</v>
      </c>
      <c r="E1954">
        <v>50</v>
      </c>
      <c r="F1954">
        <v>50.694240569999998</v>
      </c>
      <c r="G1954">
        <v>1327.5003661999999</v>
      </c>
      <c r="H1954">
        <v>1325.3125</v>
      </c>
      <c r="I1954">
        <v>1345.0734863</v>
      </c>
      <c r="J1954">
        <v>1340.4737548999999</v>
      </c>
      <c r="K1954">
        <v>0</v>
      </c>
      <c r="L1954">
        <v>2400</v>
      </c>
      <c r="M1954">
        <v>2400</v>
      </c>
      <c r="N1954">
        <v>0</v>
      </c>
    </row>
    <row r="1955" spans="1:14" x14ac:dyDescent="0.25">
      <c r="A1955">
        <v>1281.576503</v>
      </c>
      <c r="B1955" s="1">
        <f>DATE(2013,11,2) + TIME(13,50,9)</f>
        <v>41580.576493055552</v>
      </c>
      <c r="C1955">
        <v>80</v>
      </c>
      <c r="D1955">
        <v>79.775024414000001</v>
      </c>
      <c r="E1955">
        <v>50</v>
      </c>
      <c r="F1955">
        <v>50.580459595000001</v>
      </c>
      <c r="G1955">
        <v>1327.496582</v>
      </c>
      <c r="H1955">
        <v>1325.3073730000001</v>
      </c>
      <c r="I1955">
        <v>1345.0520019999999</v>
      </c>
      <c r="J1955">
        <v>1340.4589844</v>
      </c>
      <c r="K1955">
        <v>0</v>
      </c>
      <c r="L1955">
        <v>2400</v>
      </c>
      <c r="M1955">
        <v>2400</v>
      </c>
      <c r="N1955">
        <v>0</v>
      </c>
    </row>
    <row r="1956" spans="1:14" x14ac:dyDescent="0.25">
      <c r="A1956">
        <v>1281.722432</v>
      </c>
      <c r="B1956" s="1">
        <f>DATE(2013,11,2) + TIME(17,20,18)</f>
        <v>41580.722430555557</v>
      </c>
      <c r="C1956">
        <v>80</v>
      </c>
      <c r="D1956">
        <v>79.760124207000004</v>
      </c>
      <c r="E1956">
        <v>50</v>
      </c>
      <c r="F1956">
        <v>50.476547240999999</v>
      </c>
      <c r="G1956">
        <v>1327.4923096</v>
      </c>
      <c r="H1956">
        <v>1325.3016356999999</v>
      </c>
      <c r="I1956">
        <v>1345.0307617000001</v>
      </c>
      <c r="J1956">
        <v>1340.4447021000001</v>
      </c>
      <c r="K1956">
        <v>0</v>
      </c>
      <c r="L1956">
        <v>2400</v>
      </c>
      <c r="M1956">
        <v>2400</v>
      </c>
      <c r="N1956">
        <v>0</v>
      </c>
    </row>
    <row r="1957" spans="1:14" x14ac:dyDescent="0.25">
      <c r="A1957">
        <v>1281.8754899999999</v>
      </c>
      <c r="B1957" s="1">
        <f>DATE(2013,11,2) + TIME(21,0,42)</f>
        <v>41580.875486111108</v>
      </c>
      <c r="C1957">
        <v>80</v>
      </c>
      <c r="D1957">
        <v>79.744697571000003</v>
      </c>
      <c r="E1957">
        <v>50</v>
      </c>
      <c r="F1957">
        <v>50.387493134000003</v>
      </c>
      <c r="G1957">
        <v>1327.4875488</v>
      </c>
      <c r="H1957">
        <v>1325.2952881000001</v>
      </c>
      <c r="I1957">
        <v>1345.0112305</v>
      </c>
      <c r="J1957">
        <v>1340.4318848</v>
      </c>
      <c r="K1957">
        <v>0</v>
      </c>
      <c r="L1957">
        <v>2400</v>
      </c>
      <c r="M1957">
        <v>2400</v>
      </c>
      <c r="N1957">
        <v>0</v>
      </c>
    </row>
    <row r="1958" spans="1:14" x14ac:dyDescent="0.25">
      <c r="A1958">
        <v>1282.033686</v>
      </c>
      <c r="B1958" s="1">
        <f>DATE(2013,11,3) + TIME(0,48,30)</f>
        <v>41581.033680555556</v>
      </c>
      <c r="C1958">
        <v>80</v>
      </c>
      <c r="D1958">
        <v>79.728927612000007</v>
      </c>
      <c r="E1958">
        <v>50</v>
      </c>
      <c r="F1958">
        <v>50.312660217000001</v>
      </c>
      <c r="G1958">
        <v>1327.4825439000001</v>
      </c>
      <c r="H1958">
        <v>1325.2884521000001</v>
      </c>
      <c r="I1958">
        <v>1344.9931641000001</v>
      </c>
      <c r="J1958">
        <v>1340.4202881000001</v>
      </c>
      <c r="K1958">
        <v>0</v>
      </c>
      <c r="L1958">
        <v>2400</v>
      </c>
      <c r="M1958">
        <v>2400</v>
      </c>
      <c r="N1958">
        <v>0</v>
      </c>
    </row>
    <row r="1959" spans="1:14" x14ac:dyDescent="0.25">
      <c r="A1959">
        <v>1282.1974</v>
      </c>
      <c r="B1959" s="1">
        <f>DATE(2013,11,3) + TIME(4,44,15)</f>
        <v>41581.197395833333</v>
      </c>
      <c r="C1959">
        <v>80</v>
      </c>
      <c r="D1959">
        <v>79.712783813000001</v>
      </c>
      <c r="E1959">
        <v>50</v>
      </c>
      <c r="F1959">
        <v>50.250053405999999</v>
      </c>
      <c r="G1959">
        <v>1327.4771728999999</v>
      </c>
      <c r="H1959">
        <v>1325.28125</v>
      </c>
      <c r="I1959">
        <v>1344.9761963000001</v>
      </c>
      <c r="J1959">
        <v>1340.4095459</v>
      </c>
      <c r="K1959">
        <v>0</v>
      </c>
      <c r="L1959">
        <v>2400</v>
      </c>
      <c r="M1959">
        <v>2400</v>
      </c>
      <c r="N1959">
        <v>0</v>
      </c>
    </row>
    <row r="1960" spans="1:14" x14ac:dyDescent="0.25">
      <c r="A1960">
        <v>1282.366959</v>
      </c>
      <c r="B1960" s="1">
        <f>DATE(2013,11,3) + TIME(8,48,25)</f>
        <v>41581.366956018515</v>
      </c>
      <c r="C1960">
        <v>80</v>
      </c>
      <c r="D1960">
        <v>79.696228027000004</v>
      </c>
      <c r="E1960">
        <v>50</v>
      </c>
      <c r="F1960">
        <v>50.197940826</v>
      </c>
      <c r="G1960">
        <v>1327.4716797000001</v>
      </c>
      <c r="H1960">
        <v>1325.2736815999999</v>
      </c>
      <c r="I1960">
        <v>1344.9600829999999</v>
      </c>
      <c r="J1960">
        <v>1340.3996582</v>
      </c>
      <c r="K1960">
        <v>0</v>
      </c>
      <c r="L1960">
        <v>2400</v>
      </c>
      <c r="M1960">
        <v>2400</v>
      </c>
      <c r="N1960">
        <v>0</v>
      </c>
    </row>
    <row r="1961" spans="1:14" x14ac:dyDescent="0.25">
      <c r="A1961">
        <v>1282.5427179999999</v>
      </c>
      <c r="B1961" s="1">
        <f>DATE(2013,11,3) + TIME(13,1,30)</f>
        <v>41581.542708333334</v>
      </c>
      <c r="C1961">
        <v>80</v>
      </c>
      <c r="D1961">
        <v>79.679244995000005</v>
      </c>
      <c r="E1961">
        <v>50</v>
      </c>
      <c r="F1961">
        <v>50.154804230000003</v>
      </c>
      <c r="G1961">
        <v>1327.4656981999999</v>
      </c>
      <c r="H1961">
        <v>1325.265625</v>
      </c>
      <c r="I1961">
        <v>1344.9448242000001</v>
      </c>
      <c r="J1961">
        <v>1340.3905029</v>
      </c>
      <c r="K1961">
        <v>0</v>
      </c>
      <c r="L1961">
        <v>2400</v>
      </c>
      <c r="M1961">
        <v>2400</v>
      </c>
      <c r="N1961">
        <v>0</v>
      </c>
    </row>
    <row r="1962" spans="1:14" x14ac:dyDescent="0.25">
      <c r="A1962">
        <v>1282.7250590000001</v>
      </c>
      <c r="B1962" s="1">
        <f>DATE(2013,11,3) + TIME(17,24,5)</f>
        <v>41581.725057870368</v>
      </c>
      <c r="C1962">
        <v>80</v>
      </c>
      <c r="D1962">
        <v>79.661804199000002</v>
      </c>
      <c r="E1962">
        <v>50</v>
      </c>
      <c r="F1962">
        <v>50.119300842000001</v>
      </c>
      <c r="G1962">
        <v>1327.4595947</v>
      </c>
      <c r="H1962">
        <v>1325.2572021000001</v>
      </c>
      <c r="I1962">
        <v>1344.9302978999999</v>
      </c>
      <c r="J1962">
        <v>1340.3818358999999</v>
      </c>
      <c r="K1962">
        <v>0</v>
      </c>
      <c r="L1962">
        <v>2400</v>
      </c>
      <c r="M1962">
        <v>2400</v>
      </c>
      <c r="N1962">
        <v>0</v>
      </c>
    </row>
    <row r="1963" spans="1:14" x14ac:dyDescent="0.25">
      <c r="A1963">
        <v>1282.914395</v>
      </c>
      <c r="B1963" s="1">
        <f>DATE(2013,11,3) + TIME(21,56,43)</f>
        <v>41581.914386574077</v>
      </c>
      <c r="C1963">
        <v>80</v>
      </c>
      <c r="D1963">
        <v>79.643867493000002</v>
      </c>
      <c r="E1963">
        <v>50</v>
      </c>
      <c r="F1963">
        <v>50.090259551999999</v>
      </c>
      <c r="G1963">
        <v>1327.4530029</v>
      </c>
      <c r="H1963">
        <v>1325.2482910000001</v>
      </c>
      <c r="I1963">
        <v>1344.9163818</v>
      </c>
      <c r="J1963">
        <v>1340.3736572</v>
      </c>
      <c r="K1963">
        <v>0</v>
      </c>
      <c r="L1963">
        <v>2400</v>
      </c>
      <c r="M1963">
        <v>2400</v>
      </c>
      <c r="N1963">
        <v>0</v>
      </c>
    </row>
    <row r="1964" spans="1:14" x14ac:dyDescent="0.25">
      <c r="A1964">
        <v>1283.1111739999999</v>
      </c>
      <c r="B1964" s="1">
        <f>DATE(2013,11,4) + TIME(2,40,5)</f>
        <v>41582.111168981479</v>
      </c>
      <c r="C1964">
        <v>80</v>
      </c>
      <c r="D1964">
        <v>79.625411987000007</v>
      </c>
      <c r="E1964">
        <v>50</v>
      </c>
      <c r="F1964">
        <v>50.066658019999998</v>
      </c>
      <c r="G1964">
        <v>1327.4461670000001</v>
      </c>
      <c r="H1964">
        <v>1325.2388916</v>
      </c>
      <c r="I1964">
        <v>1344.902832</v>
      </c>
      <c r="J1964">
        <v>1340.3658447</v>
      </c>
      <c r="K1964">
        <v>0</v>
      </c>
      <c r="L1964">
        <v>2400</v>
      </c>
      <c r="M1964">
        <v>2400</v>
      </c>
      <c r="N1964">
        <v>0</v>
      </c>
    </row>
    <row r="1965" spans="1:14" x14ac:dyDescent="0.25">
      <c r="A1965">
        <v>1283.314574</v>
      </c>
      <c r="B1965" s="1">
        <f>DATE(2013,11,4) + TIME(7,32,59)</f>
        <v>41582.314571759256</v>
      </c>
      <c r="C1965">
        <v>80</v>
      </c>
      <c r="D1965">
        <v>79.606491089000002</v>
      </c>
      <c r="E1965">
        <v>50</v>
      </c>
      <c r="F1965">
        <v>50.047706603999998</v>
      </c>
      <c r="G1965">
        <v>1327.4389647999999</v>
      </c>
      <c r="H1965">
        <v>1325.2288818</v>
      </c>
      <c r="I1965">
        <v>1344.8898925999999</v>
      </c>
      <c r="J1965">
        <v>1340.3585204999999</v>
      </c>
      <c r="K1965">
        <v>0</v>
      </c>
      <c r="L1965">
        <v>2400</v>
      </c>
      <c r="M1965">
        <v>2400</v>
      </c>
      <c r="N1965">
        <v>0</v>
      </c>
    </row>
    <row r="1966" spans="1:14" x14ac:dyDescent="0.25">
      <c r="A1966">
        <v>1283.5238549999999</v>
      </c>
      <c r="B1966" s="1">
        <f>DATE(2013,11,4) + TIME(12,34,21)</f>
        <v>41582.523854166669</v>
      </c>
      <c r="C1966">
        <v>80</v>
      </c>
      <c r="D1966">
        <v>79.587173461999996</v>
      </c>
      <c r="E1966">
        <v>50</v>
      </c>
      <c r="F1966">
        <v>50.032638550000001</v>
      </c>
      <c r="G1966">
        <v>1327.4315185999999</v>
      </c>
      <c r="H1966">
        <v>1325.2185059000001</v>
      </c>
      <c r="I1966">
        <v>1344.8773193</v>
      </c>
      <c r="J1966">
        <v>1340.3514404</v>
      </c>
      <c r="K1966">
        <v>0</v>
      </c>
      <c r="L1966">
        <v>2400</v>
      </c>
      <c r="M1966">
        <v>2400</v>
      </c>
      <c r="N1966">
        <v>0</v>
      </c>
    </row>
    <row r="1967" spans="1:14" x14ac:dyDescent="0.25">
      <c r="A1967">
        <v>1283.7355540000001</v>
      </c>
      <c r="B1967" s="1">
        <f>DATE(2013,11,4) + TIME(17,39,11)</f>
        <v>41582.735543981478</v>
      </c>
      <c r="C1967">
        <v>80</v>
      </c>
      <c r="D1967">
        <v>79.567718506000006</v>
      </c>
      <c r="E1967">
        <v>50</v>
      </c>
      <c r="F1967">
        <v>50.020881653000004</v>
      </c>
      <c r="G1967">
        <v>1327.4237060999999</v>
      </c>
      <c r="H1967">
        <v>1325.2077637</v>
      </c>
      <c r="I1967">
        <v>1344.8653564000001</v>
      </c>
      <c r="J1967">
        <v>1340.3447266000001</v>
      </c>
      <c r="K1967">
        <v>0</v>
      </c>
      <c r="L1967">
        <v>2400</v>
      </c>
      <c r="M1967">
        <v>2400</v>
      </c>
      <c r="N1967">
        <v>0</v>
      </c>
    </row>
    <row r="1968" spans="1:14" x14ac:dyDescent="0.25">
      <c r="A1968">
        <v>1283.9501279999999</v>
      </c>
      <c r="B1968" s="1">
        <f>DATE(2013,11,4) + TIME(22,48,11)</f>
        <v>41582.950127314813</v>
      </c>
      <c r="C1968">
        <v>80</v>
      </c>
      <c r="D1968">
        <v>79.548103333</v>
      </c>
      <c r="E1968">
        <v>50</v>
      </c>
      <c r="F1968">
        <v>50.011703490999999</v>
      </c>
      <c r="G1968">
        <v>1327.4156493999999</v>
      </c>
      <c r="H1968">
        <v>1325.1966553</v>
      </c>
      <c r="I1968">
        <v>1344.8537598</v>
      </c>
      <c r="J1968">
        <v>1340.3383789</v>
      </c>
      <c r="K1968">
        <v>0</v>
      </c>
      <c r="L1968">
        <v>2400</v>
      </c>
      <c r="M1968">
        <v>2400</v>
      </c>
      <c r="N1968">
        <v>0</v>
      </c>
    </row>
    <row r="1969" spans="1:14" x14ac:dyDescent="0.25">
      <c r="A1969">
        <v>1284.1680289999999</v>
      </c>
      <c r="B1969" s="1">
        <f>DATE(2013,11,5) + TIME(4,1,57)</f>
        <v>41583.168020833335</v>
      </c>
      <c r="C1969">
        <v>80</v>
      </c>
      <c r="D1969">
        <v>79.528297424000002</v>
      </c>
      <c r="E1969">
        <v>50</v>
      </c>
      <c r="F1969">
        <v>50.004547119000001</v>
      </c>
      <c r="G1969">
        <v>1327.4074707</v>
      </c>
      <c r="H1969">
        <v>1325.1853027</v>
      </c>
      <c r="I1969">
        <v>1344.8427733999999</v>
      </c>
      <c r="J1969">
        <v>1340.3323975000001</v>
      </c>
      <c r="K1969">
        <v>0</v>
      </c>
      <c r="L1969">
        <v>2400</v>
      </c>
      <c r="M1969">
        <v>2400</v>
      </c>
      <c r="N1969">
        <v>0</v>
      </c>
    </row>
    <row r="1970" spans="1:14" x14ac:dyDescent="0.25">
      <c r="A1970">
        <v>1284.3896999999999</v>
      </c>
      <c r="B1970" s="1">
        <f>DATE(2013,11,5) + TIME(9,21,10)</f>
        <v>41583.389699074076</v>
      </c>
      <c r="C1970">
        <v>80</v>
      </c>
      <c r="D1970">
        <v>79.508277892999999</v>
      </c>
      <c r="E1970">
        <v>50</v>
      </c>
      <c r="F1970">
        <v>49.998966217000003</v>
      </c>
      <c r="G1970">
        <v>1327.3990478999999</v>
      </c>
      <c r="H1970">
        <v>1325.1737060999999</v>
      </c>
      <c r="I1970">
        <v>1344.8321533000001</v>
      </c>
      <c r="J1970">
        <v>1340.3265381000001</v>
      </c>
      <c r="K1970">
        <v>0</v>
      </c>
      <c r="L1970">
        <v>2400</v>
      </c>
      <c r="M1970">
        <v>2400</v>
      </c>
      <c r="N1970">
        <v>0</v>
      </c>
    </row>
    <row r="1971" spans="1:14" x14ac:dyDescent="0.25">
      <c r="A1971">
        <v>1284.6155610000001</v>
      </c>
      <c r="B1971" s="1">
        <f>DATE(2013,11,5) + TIME(14,46,24)</f>
        <v>41583.615555555552</v>
      </c>
      <c r="C1971">
        <v>80</v>
      </c>
      <c r="D1971">
        <v>79.488021850999999</v>
      </c>
      <c r="E1971">
        <v>50</v>
      </c>
      <c r="F1971">
        <v>49.994621277</v>
      </c>
      <c r="G1971">
        <v>1327.3903809000001</v>
      </c>
      <c r="H1971">
        <v>1325.1616211</v>
      </c>
      <c r="I1971">
        <v>1344.8218993999999</v>
      </c>
      <c r="J1971">
        <v>1340.3209228999999</v>
      </c>
      <c r="K1971">
        <v>0</v>
      </c>
      <c r="L1971">
        <v>2400</v>
      </c>
      <c r="M1971">
        <v>2400</v>
      </c>
      <c r="N1971">
        <v>0</v>
      </c>
    </row>
    <row r="1972" spans="1:14" x14ac:dyDescent="0.25">
      <c r="A1972">
        <v>1284.8459230000001</v>
      </c>
      <c r="B1972" s="1">
        <f>DATE(2013,11,5) + TIME(20,18,7)</f>
        <v>41583.845914351848</v>
      </c>
      <c r="C1972">
        <v>80</v>
      </c>
      <c r="D1972">
        <v>79.467506408999995</v>
      </c>
      <c r="E1972">
        <v>50</v>
      </c>
      <c r="F1972">
        <v>49.991241455000001</v>
      </c>
      <c r="G1972">
        <v>1327.3815918</v>
      </c>
      <c r="H1972">
        <v>1325.1492920000001</v>
      </c>
      <c r="I1972">
        <v>1344.8118896000001</v>
      </c>
      <c r="J1972">
        <v>1340.3155518000001</v>
      </c>
      <c r="K1972">
        <v>0</v>
      </c>
      <c r="L1972">
        <v>2400</v>
      </c>
      <c r="M1972">
        <v>2400</v>
      </c>
      <c r="N1972">
        <v>0</v>
      </c>
    </row>
    <row r="1973" spans="1:14" x14ac:dyDescent="0.25">
      <c r="A1973">
        <v>1285.081355</v>
      </c>
      <c r="B1973" s="1">
        <f>DATE(2013,11,6) + TIME(1,57,9)</f>
        <v>41584.081354166665</v>
      </c>
      <c r="C1973">
        <v>80</v>
      </c>
      <c r="D1973">
        <v>79.446685790999993</v>
      </c>
      <c r="E1973">
        <v>50</v>
      </c>
      <c r="F1973">
        <v>49.988620758000003</v>
      </c>
      <c r="G1973">
        <v>1327.3724365</v>
      </c>
      <c r="H1973">
        <v>1325.1365966999999</v>
      </c>
      <c r="I1973">
        <v>1344.802124</v>
      </c>
      <c r="J1973">
        <v>1340.3103027</v>
      </c>
      <c r="K1973">
        <v>0</v>
      </c>
      <c r="L1973">
        <v>2400</v>
      </c>
      <c r="M1973">
        <v>2400</v>
      </c>
      <c r="N1973">
        <v>0</v>
      </c>
    </row>
    <row r="1974" spans="1:14" x14ac:dyDescent="0.25">
      <c r="A1974">
        <v>1285.3223069999999</v>
      </c>
      <c r="B1974" s="1">
        <f>DATE(2013,11,6) + TIME(7,44,7)</f>
        <v>41584.32230324074</v>
      </c>
      <c r="C1974">
        <v>80</v>
      </c>
      <c r="D1974">
        <v>79.425544739000003</v>
      </c>
      <c r="E1974">
        <v>50</v>
      </c>
      <c r="F1974">
        <v>49.986591339</v>
      </c>
      <c r="G1974">
        <v>1327.3631591999999</v>
      </c>
      <c r="H1974">
        <v>1325.1235352000001</v>
      </c>
      <c r="I1974">
        <v>1344.7926024999999</v>
      </c>
      <c r="J1974">
        <v>1340.3050536999999</v>
      </c>
      <c r="K1974">
        <v>0</v>
      </c>
      <c r="L1974">
        <v>2400</v>
      </c>
      <c r="M1974">
        <v>2400</v>
      </c>
      <c r="N1974">
        <v>0</v>
      </c>
    </row>
    <row r="1975" spans="1:14" x14ac:dyDescent="0.25">
      <c r="A1975">
        <v>1285.5692489999999</v>
      </c>
      <c r="B1975" s="1">
        <f>DATE(2013,11,6) + TIME(13,39,43)</f>
        <v>41584.569247685184</v>
      </c>
      <c r="C1975">
        <v>80</v>
      </c>
      <c r="D1975">
        <v>79.404052734000004</v>
      </c>
      <c r="E1975">
        <v>50</v>
      </c>
      <c r="F1975">
        <v>49.985015869000001</v>
      </c>
      <c r="G1975">
        <v>1327.3533935999999</v>
      </c>
      <c r="H1975">
        <v>1325.1101074000001</v>
      </c>
      <c r="I1975">
        <v>1344.7833252</v>
      </c>
      <c r="J1975">
        <v>1340.3000488</v>
      </c>
      <c r="K1975">
        <v>0</v>
      </c>
      <c r="L1975">
        <v>2400</v>
      </c>
      <c r="M1975">
        <v>2400</v>
      </c>
      <c r="N1975">
        <v>0</v>
      </c>
    </row>
    <row r="1976" spans="1:14" x14ac:dyDescent="0.25">
      <c r="A1976">
        <v>1285.8226609999999</v>
      </c>
      <c r="B1976" s="1">
        <f>DATE(2013,11,6) + TIME(19,44,37)</f>
        <v>41584.822650462964</v>
      </c>
      <c r="C1976">
        <v>80</v>
      </c>
      <c r="D1976">
        <v>79.382164001000007</v>
      </c>
      <c r="E1976">
        <v>50</v>
      </c>
      <c r="F1976">
        <v>49.983802795000003</v>
      </c>
      <c r="G1976">
        <v>1327.3435059000001</v>
      </c>
      <c r="H1976">
        <v>1325.0961914</v>
      </c>
      <c r="I1976">
        <v>1344.7741699000001</v>
      </c>
      <c r="J1976">
        <v>1340.2951660000001</v>
      </c>
      <c r="K1976">
        <v>0</v>
      </c>
      <c r="L1976">
        <v>2400</v>
      </c>
      <c r="M1976">
        <v>2400</v>
      </c>
      <c r="N1976">
        <v>0</v>
      </c>
    </row>
    <row r="1977" spans="1:14" x14ac:dyDescent="0.25">
      <c r="A1977">
        <v>1286.083042</v>
      </c>
      <c r="B1977" s="1">
        <f>DATE(2013,11,7) + TIME(1,59,34)</f>
        <v>41585.083032407405</v>
      </c>
      <c r="C1977">
        <v>80</v>
      </c>
      <c r="D1977">
        <v>79.359863281000003</v>
      </c>
      <c r="E1977">
        <v>50</v>
      </c>
      <c r="F1977">
        <v>49.982864380000002</v>
      </c>
      <c r="G1977">
        <v>1327.3332519999999</v>
      </c>
      <c r="H1977">
        <v>1325.0819091999999</v>
      </c>
      <c r="I1977">
        <v>1344.7651367000001</v>
      </c>
      <c r="J1977">
        <v>1340.2902832</v>
      </c>
      <c r="K1977">
        <v>0</v>
      </c>
      <c r="L1977">
        <v>2400</v>
      </c>
      <c r="M1977">
        <v>2400</v>
      </c>
      <c r="N1977">
        <v>0</v>
      </c>
    </row>
    <row r="1978" spans="1:14" x14ac:dyDescent="0.25">
      <c r="A1978">
        <v>1286.3509280000001</v>
      </c>
      <c r="B1978" s="1">
        <f>DATE(2013,11,7) + TIME(8,25,20)</f>
        <v>41585.350925925923</v>
      </c>
      <c r="C1978">
        <v>80</v>
      </c>
      <c r="D1978">
        <v>79.337097168</v>
      </c>
      <c r="E1978">
        <v>50</v>
      </c>
      <c r="F1978">
        <v>49.982143401999998</v>
      </c>
      <c r="G1978">
        <v>1327.3226318</v>
      </c>
      <c r="H1978">
        <v>1325.0670166</v>
      </c>
      <c r="I1978">
        <v>1344.7563477000001</v>
      </c>
      <c r="J1978">
        <v>1340.2854004000001</v>
      </c>
      <c r="K1978">
        <v>0</v>
      </c>
      <c r="L1978">
        <v>2400</v>
      </c>
      <c r="M1978">
        <v>2400</v>
      </c>
      <c r="N1978">
        <v>0</v>
      </c>
    </row>
    <row r="1979" spans="1:14" x14ac:dyDescent="0.25">
      <c r="A1979">
        <v>1286.6268869999999</v>
      </c>
      <c r="B1979" s="1">
        <f>DATE(2013,11,7) + TIME(15,2,43)</f>
        <v>41585.626886574071</v>
      </c>
      <c r="C1979">
        <v>80</v>
      </c>
      <c r="D1979">
        <v>79.313850403000004</v>
      </c>
      <c r="E1979">
        <v>50</v>
      </c>
      <c r="F1979">
        <v>49.981586456000002</v>
      </c>
      <c r="G1979">
        <v>1327.3117675999999</v>
      </c>
      <c r="H1979">
        <v>1325.0517577999999</v>
      </c>
      <c r="I1979">
        <v>1344.7475586</v>
      </c>
      <c r="J1979">
        <v>1340.2807617000001</v>
      </c>
      <c r="K1979">
        <v>0</v>
      </c>
      <c r="L1979">
        <v>2400</v>
      </c>
      <c r="M1979">
        <v>2400</v>
      </c>
      <c r="N1979">
        <v>0</v>
      </c>
    </row>
    <row r="1980" spans="1:14" x14ac:dyDescent="0.25">
      <c r="A1980">
        <v>1286.9115340000001</v>
      </c>
      <c r="B1980" s="1">
        <f>DATE(2013,11,7) + TIME(21,52,36)</f>
        <v>41585.911527777775</v>
      </c>
      <c r="C1980">
        <v>80</v>
      </c>
      <c r="D1980">
        <v>79.290069579999994</v>
      </c>
      <c r="E1980">
        <v>50</v>
      </c>
      <c r="F1980">
        <v>49.981155395999998</v>
      </c>
      <c r="G1980">
        <v>1327.3004149999999</v>
      </c>
      <c r="H1980">
        <v>1325.0357666</v>
      </c>
      <c r="I1980">
        <v>1344.7388916</v>
      </c>
      <c r="J1980">
        <v>1340.276001</v>
      </c>
      <c r="K1980">
        <v>0</v>
      </c>
      <c r="L1980">
        <v>2400</v>
      </c>
      <c r="M1980">
        <v>2400</v>
      </c>
      <c r="N1980">
        <v>0</v>
      </c>
    </row>
    <row r="1981" spans="1:14" x14ac:dyDescent="0.25">
      <c r="A1981">
        <v>1287.2055439999999</v>
      </c>
      <c r="B1981" s="1">
        <f>DATE(2013,11,8) + TIME(4,55,58)</f>
        <v>41586.20553240741</v>
      </c>
      <c r="C1981">
        <v>80</v>
      </c>
      <c r="D1981">
        <v>79.265708923000005</v>
      </c>
      <c r="E1981">
        <v>50</v>
      </c>
      <c r="F1981">
        <v>49.980823516999997</v>
      </c>
      <c r="G1981">
        <v>1327.2886963000001</v>
      </c>
      <c r="H1981">
        <v>1325.0194091999999</v>
      </c>
      <c r="I1981">
        <v>1344.7302245999999</v>
      </c>
      <c r="J1981">
        <v>1340.2713623</v>
      </c>
      <c r="K1981">
        <v>0</v>
      </c>
      <c r="L1981">
        <v>2400</v>
      </c>
      <c r="M1981">
        <v>2400</v>
      </c>
      <c r="N1981">
        <v>0</v>
      </c>
    </row>
    <row r="1982" spans="1:14" x14ac:dyDescent="0.25">
      <c r="A1982">
        <v>1287.5095249999999</v>
      </c>
      <c r="B1982" s="1">
        <f>DATE(2013,11,8) + TIME(12,13,42)</f>
        <v>41586.509513888886</v>
      </c>
      <c r="C1982">
        <v>80</v>
      </c>
      <c r="D1982">
        <v>79.240745544000006</v>
      </c>
      <c r="E1982">
        <v>50</v>
      </c>
      <c r="F1982">
        <v>49.980564117</v>
      </c>
      <c r="G1982">
        <v>1327.2764893000001</v>
      </c>
      <c r="H1982">
        <v>1325.0023193</v>
      </c>
      <c r="I1982">
        <v>1344.7216797000001</v>
      </c>
      <c r="J1982">
        <v>1340.2667236</v>
      </c>
      <c r="K1982">
        <v>0</v>
      </c>
      <c r="L1982">
        <v>2400</v>
      </c>
      <c r="M1982">
        <v>2400</v>
      </c>
      <c r="N1982">
        <v>0</v>
      </c>
    </row>
    <row r="1983" spans="1:14" x14ac:dyDescent="0.25">
      <c r="A1983">
        <v>1287.8243460000001</v>
      </c>
      <c r="B1983" s="1">
        <f>DATE(2013,11,8) + TIME(19,47,3)</f>
        <v>41586.824340277781</v>
      </c>
      <c r="C1983">
        <v>80</v>
      </c>
      <c r="D1983">
        <v>79.215118407999995</v>
      </c>
      <c r="E1983">
        <v>50</v>
      </c>
      <c r="F1983">
        <v>49.980361938000001</v>
      </c>
      <c r="G1983">
        <v>1327.2639160000001</v>
      </c>
      <c r="H1983">
        <v>1324.9846190999999</v>
      </c>
      <c r="I1983">
        <v>1344.7131348</v>
      </c>
      <c r="J1983">
        <v>1340.2620850000001</v>
      </c>
      <c r="K1983">
        <v>0</v>
      </c>
      <c r="L1983">
        <v>2400</v>
      </c>
      <c r="M1983">
        <v>2400</v>
      </c>
      <c r="N1983">
        <v>0</v>
      </c>
    </row>
    <row r="1984" spans="1:14" x14ac:dyDescent="0.25">
      <c r="A1984">
        <v>1288.1508879999999</v>
      </c>
      <c r="B1984" s="1">
        <f>DATE(2013,11,9) + TIME(3,37,16)</f>
        <v>41587.150879629633</v>
      </c>
      <c r="C1984">
        <v>80</v>
      </c>
      <c r="D1984">
        <v>79.188774108999993</v>
      </c>
      <c r="E1984">
        <v>50</v>
      </c>
      <c r="F1984">
        <v>49.980205536</v>
      </c>
      <c r="G1984">
        <v>1327.2507324000001</v>
      </c>
      <c r="H1984">
        <v>1324.9661865</v>
      </c>
      <c r="I1984">
        <v>1344.7045897999999</v>
      </c>
      <c r="J1984">
        <v>1340.2574463000001</v>
      </c>
      <c r="K1984">
        <v>0</v>
      </c>
      <c r="L1984">
        <v>2400</v>
      </c>
      <c r="M1984">
        <v>2400</v>
      </c>
      <c r="N1984">
        <v>0</v>
      </c>
    </row>
    <row r="1985" spans="1:14" x14ac:dyDescent="0.25">
      <c r="A1985">
        <v>1288.490094</v>
      </c>
      <c r="B1985" s="1">
        <f>DATE(2013,11,9) + TIME(11,45,44)</f>
        <v>41587.49009259259</v>
      </c>
      <c r="C1985">
        <v>80</v>
      </c>
      <c r="D1985">
        <v>79.161666870000005</v>
      </c>
      <c r="E1985">
        <v>50</v>
      </c>
      <c r="F1985">
        <v>49.980079650999997</v>
      </c>
      <c r="G1985">
        <v>1327.2370605000001</v>
      </c>
      <c r="H1985">
        <v>1324.9470214999999</v>
      </c>
      <c r="I1985">
        <v>1344.6961670000001</v>
      </c>
      <c r="J1985">
        <v>1340.2528076000001</v>
      </c>
      <c r="K1985">
        <v>0</v>
      </c>
      <c r="L1985">
        <v>2400</v>
      </c>
      <c r="M1985">
        <v>2400</v>
      </c>
      <c r="N1985">
        <v>0</v>
      </c>
    </row>
    <row r="1986" spans="1:14" x14ac:dyDescent="0.25">
      <c r="A1986">
        <v>1288.8430069999999</v>
      </c>
      <c r="B1986" s="1">
        <f>DATE(2013,11,9) + TIME(20,13,55)</f>
        <v>41587.842997685184</v>
      </c>
      <c r="C1986">
        <v>80</v>
      </c>
      <c r="D1986">
        <v>79.133712768999999</v>
      </c>
      <c r="E1986">
        <v>50</v>
      </c>
      <c r="F1986">
        <v>49.979980468999997</v>
      </c>
      <c r="G1986">
        <v>1327.2229004000001</v>
      </c>
      <c r="H1986">
        <v>1324.9270019999999</v>
      </c>
      <c r="I1986">
        <v>1344.6876221</v>
      </c>
      <c r="J1986">
        <v>1340.2482910000001</v>
      </c>
      <c r="K1986">
        <v>0</v>
      </c>
      <c r="L1986">
        <v>2400</v>
      </c>
      <c r="M1986">
        <v>2400</v>
      </c>
      <c r="N1986">
        <v>0</v>
      </c>
    </row>
    <row r="1987" spans="1:14" x14ac:dyDescent="0.25">
      <c r="A1987">
        <v>1289.2107739999999</v>
      </c>
      <c r="B1987" s="1">
        <f>DATE(2013,11,10) + TIME(5,3,30)</f>
        <v>41588.210763888892</v>
      </c>
      <c r="C1987">
        <v>80</v>
      </c>
      <c r="D1987">
        <v>79.104873656999999</v>
      </c>
      <c r="E1987">
        <v>50</v>
      </c>
      <c r="F1987">
        <v>49.979900360000002</v>
      </c>
      <c r="G1987">
        <v>1327.2080077999999</v>
      </c>
      <c r="H1987">
        <v>1324.9061279</v>
      </c>
      <c r="I1987">
        <v>1344.6791992000001</v>
      </c>
      <c r="J1987">
        <v>1340.2436522999999</v>
      </c>
      <c r="K1987">
        <v>0</v>
      </c>
      <c r="L1987">
        <v>2400</v>
      </c>
      <c r="M1987">
        <v>2400</v>
      </c>
      <c r="N1987">
        <v>0</v>
      </c>
    </row>
    <row r="1988" spans="1:14" x14ac:dyDescent="0.25">
      <c r="A1988">
        <v>1289.5946730000001</v>
      </c>
      <c r="B1988" s="1">
        <f>DATE(2013,11,10) + TIME(14,16,19)</f>
        <v>41588.594664351855</v>
      </c>
      <c r="C1988">
        <v>80</v>
      </c>
      <c r="D1988">
        <v>79.075050353999998</v>
      </c>
      <c r="E1988">
        <v>50</v>
      </c>
      <c r="F1988">
        <v>49.979835510000001</v>
      </c>
      <c r="G1988">
        <v>1327.1925048999999</v>
      </c>
      <c r="H1988">
        <v>1324.8843993999999</v>
      </c>
      <c r="I1988">
        <v>1344.6706543</v>
      </c>
      <c r="J1988">
        <v>1340.2390137</v>
      </c>
      <c r="K1988">
        <v>0</v>
      </c>
      <c r="L1988">
        <v>2400</v>
      </c>
      <c r="M1988">
        <v>2400</v>
      </c>
      <c r="N1988">
        <v>0</v>
      </c>
    </row>
    <row r="1989" spans="1:14" x14ac:dyDescent="0.25">
      <c r="A1989">
        <v>1289.9961269999999</v>
      </c>
      <c r="B1989" s="1">
        <f>DATE(2013,11,10) + TIME(23,54,25)</f>
        <v>41588.996122685188</v>
      </c>
      <c r="C1989">
        <v>80</v>
      </c>
      <c r="D1989">
        <v>79.044181824000006</v>
      </c>
      <c r="E1989">
        <v>50</v>
      </c>
      <c r="F1989">
        <v>49.979778289999999</v>
      </c>
      <c r="G1989">
        <v>1327.1762695</v>
      </c>
      <c r="H1989">
        <v>1324.8615723</v>
      </c>
      <c r="I1989">
        <v>1344.6621094</v>
      </c>
      <c r="J1989">
        <v>1340.2342529</v>
      </c>
      <c r="K1989">
        <v>0</v>
      </c>
      <c r="L1989">
        <v>2400</v>
      </c>
      <c r="M1989">
        <v>2400</v>
      </c>
      <c r="N1989">
        <v>0</v>
      </c>
    </row>
    <row r="1990" spans="1:14" x14ac:dyDescent="0.25">
      <c r="A1990">
        <v>1290.416729</v>
      </c>
      <c r="B1990" s="1">
        <f>DATE(2013,11,11) + TIME(10,0,5)</f>
        <v>41589.416724537034</v>
      </c>
      <c r="C1990">
        <v>80</v>
      </c>
      <c r="D1990">
        <v>79.012176514000004</v>
      </c>
      <c r="E1990">
        <v>50</v>
      </c>
      <c r="F1990">
        <v>49.979732513000002</v>
      </c>
      <c r="G1990">
        <v>1327.1593018000001</v>
      </c>
      <c r="H1990">
        <v>1324.8376464999999</v>
      </c>
      <c r="I1990">
        <v>1344.6534423999999</v>
      </c>
      <c r="J1990">
        <v>1340.2296143000001</v>
      </c>
      <c r="K1990">
        <v>0</v>
      </c>
      <c r="L1990">
        <v>2400</v>
      </c>
      <c r="M1990">
        <v>2400</v>
      </c>
      <c r="N1990">
        <v>0</v>
      </c>
    </row>
    <row r="1991" spans="1:14" x14ac:dyDescent="0.25">
      <c r="A1991">
        <v>1290.8582690000001</v>
      </c>
      <c r="B1991" s="1">
        <f>DATE(2013,11,11) + TIME(20,35,54)</f>
        <v>41589.858263888891</v>
      </c>
      <c r="C1991">
        <v>80</v>
      </c>
      <c r="D1991">
        <v>78.978935242000006</v>
      </c>
      <c r="E1991">
        <v>50</v>
      </c>
      <c r="F1991">
        <v>49.979694365999997</v>
      </c>
      <c r="G1991">
        <v>1327.1414795000001</v>
      </c>
      <c r="H1991">
        <v>1324.8126221</v>
      </c>
      <c r="I1991">
        <v>1344.6447754000001</v>
      </c>
      <c r="J1991">
        <v>1340.2248535000001</v>
      </c>
      <c r="K1991">
        <v>0</v>
      </c>
      <c r="L1991">
        <v>2400</v>
      </c>
      <c r="M1991">
        <v>2400</v>
      </c>
      <c r="N1991">
        <v>0</v>
      </c>
    </row>
    <row r="1992" spans="1:14" x14ac:dyDescent="0.25">
      <c r="A1992">
        <v>1291.3193659999999</v>
      </c>
      <c r="B1992" s="1">
        <f>DATE(2013,11,12) + TIME(7,39,53)</f>
        <v>41590.319363425922</v>
      </c>
      <c r="C1992">
        <v>80</v>
      </c>
      <c r="D1992">
        <v>78.944519043</v>
      </c>
      <c r="E1992">
        <v>50</v>
      </c>
      <c r="F1992">
        <v>49.979660033999998</v>
      </c>
      <c r="G1992">
        <v>1327.1228027</v>
      </c>
      <c r="H1992">
        <v>1324.7862548999999</v>
      </c>
      <c r="I1992">
        <v>1344.6359863</v>
      </c>
      <c r="J1992">
        <v>1340.2200928</v>
      </c>
      <c r="K1992">
        <v>0</v>
      </c>
      <c r="L1992">
        <v>2400</v>
      </c>
      <c r="M1992">
        <v>2400</v>
      </c>
      <c r="N1992">
        <v>0</v>
      </c>
    </row>
    <row r="1993" spans="1:14" x14ac:dyDescent="0.25">
      <c r="A1993">
        <v>1291.8005000000001</v>
      </c>
      <c r="B1993" s="1">
        <f>DATE(2013,11,12) + TIME(19,12,43)</f>
        <v>41590.800497685188</v>
      </c>
      <c r="C1993">
        <v>80</v>
      </c>
      <c r="D1993">
        <v>78.908912658999995</v>
      </c>
      <c r="E1993">
        <v>50</v>
      </c>
      <c r="F1993">
        <v>49.979629516999999</v>
      </c>
      <c r="G1993">
        <v>1327.1032714999999</v>
      </c>
      <c r="H1993">
        <v>1324.7587891000001</v>
      </c>
      <c r="I1993">
        <v>1344.6271973</v>
      </c>
      <c r="J1993">
        <v>1340.215332</v>
      </c>
      <c r="K1993">
        <v>0</v>
      </c>
      <c r="L1993">
        <v>2400</v>
      </c>
      <c r="M1993">
        <v>2400</v>
      </c>
      <c r="N1993">
        <v>0</v>
      </c>
    </row>
    <row r="1994" spans="1:14" x14ac:dyDescent="0.25">
      <c r="A1994">
        <v>1292.2908460000001</v>
      </c>
      <c r="B1994" s="1">
        <f>DATE(2013,11,13) + TIME(6,58,49)</f>
        <v>41591.290844907409</v>
      </c>
      <c r="C1994">
        <v>80</v>
      </c>
      <c r="D1994">
        <v>78.872642517000003</v>
      </c>
      <c r="E1994">
        <v>50</v>
      </c>
      <c r="F1994">
        <v>49.979602814000003</v>
      </c>
      <c r="G1994">
        <v>1327.0827637</v>
      </c>
      <c r="H1994">
        <v>1324.7299805</v>
      </c>
      <c r="I1994">
        <v>1344.6182861</v>
      </c>
      <c r="J1994">
        <v>1340.2105713000001</v>
      </c>
      <c r="K1994">
        <v>0</v>
      </c>
      <c r="L1994">
        <v>2400</v>
      </c>
      <c r="M1994">
        <v>2400</v>
      </c>
      <c r="N1994">
        <v>0</v>
      </c>
    </row>
    <row r="1995" spans="1:14" x14ac:dyDescent="0.25">
      <c r="A1995">
        <v>1292.7884300000001</v>
      </c>
      <c r="B1995" s="1">
        <f>DATE(2013,11,13) + TIME(18,55,20)</f>
        <v>41591.788425925923</v>
      </c>
      <c r="C1995">
        <v>80</v>
      </c>
      <c r="D1995">
        <v>78.835922241000006</v>
      </c>
      <c r="E1995">
        <v>50</v>
      </c>
      <c r="F1995">
        <v>49.979579926</v>
      </c>
      <c r="G1995">
        <v>1327.0618896000001</v>
      </c>
      <c r="H1995">
        <v>1324.7006836</v>
      </c>
      <c r="I1995">
        <v>1344.6096190999999</v>
      </c>
      <c r="J1995">
        <v>1340.2058105000001</v>
      </c>
      <c r="K1995">
        <v>0</v>
      </c>
      <c r="L1995">
        <v>2400</v>
      </c>
      <c r="M1995">
        <v>2400</v>
      </c>
      <c r="N1995">
        <v>0</v>
      </c>
    </row>
    <row r="1996" spans="1:14" x14ac:dyDescent="0.25">
      <c r="A1996">
        <v>1293.2943210000001</v>
      </c>
      <c r="B1996" s="1">
        <f>DATE(2013,11,14) + TIME(7,3,49)</f>
        <v>41592.294317129628</v>
      </c>
      <c r="C1996">
        <v>80</v>
      </c>
      <c r="D1996">
        <v>78.798782349000007</v>
      </c>
      <c r="E1996">
        <v>50</v>
      </c>
      <c r="F1996">
        <v>49.979560851999999</v>
      </c>
      <c r="G1996">
        <v>1327.0406493999999</v>
      </c>
      <c r="H1996">
        <v>1324.6706543</v>
      </c>
      <c r="I1996">
        <v>1344.6011963000001</v>
      </c>
      <c r="J1996">
        <v>1340.2011719</v>
      </c>
      <c r="K1996">
        <v>0</v>
      </c>
      <c r="L1996">
        <v>2400</v>
      </c>
      <c r="M1996">
        <v>2400</v>
      </c>
      <c r="N1996">
        <v>0</v>
      </c>
    </row>
    <row r="1997" spans="1:14" x14ac:dyDescent="0.25">
      <c r="A1997">
        <v>1293.809567</v>
      </c>
      <c r="B1997" s="1">
        <f>DATE(2013,11,14) + TIME(19,25,46)</f>
        <v>41592.809560185182</v>
      </c>
      <c r="C1997">
        <v>80</v>
      </c>
      <c r="D1997">
        <v>78.761245728000006</v>
      </c>
      <c r="E1997">
        <v>50</v>
      </c>
      <c r="F1997">
        <v>49.979541779000002</v>
      </c>
      <c r="G1997">
        <v>1327.0189209</v>
      </c>
      <c r="H1997">
        <v>1324.6401367000001</v>
      </c>
      <c r="I1997">
        <v>1344.5928954999999</v>
      </c>
      <c r="J1997">
        <v>1340.1967772999999</v>
      </c>
      <c r="K1997">
        <v>0</v>
      </c>
      <c r="L1997">
        <v>2400</v>
      </c>
      <c r="M1997">
        <v>2400</v>
      </c>
      <c r="N1997">
        <v>0</v>
      </c>
    </row>
    <row r="1998" spans="1:14" x14ac:dyDescent="0.25">
      <c r="A1998">
        <v>1294.3352629999999</v>
      </c>
      <c r="B1998" s="1">
        <f>DATE(2013,11,15) + TIME(8,2,46)</f>
        <v>41593.33525462963</v>
      </c>
      <c r="C1998">
        <v>80</v>
      </c>
      <c r="D1998">
        <v>78.723289489999999</v>
      </c>
      <c r="E1998">
        <v>50</v>
      </c>
      <c r="F1998">
        <v>49.979522705000001</v>
      </c>
      <c r="G1998">
        <v>1326.9968262</v>
      </c>
      <c r="H1998">
        <v>1324.6090088000001</v>
      </c>
      <c r="I1998">
        <v>1344.5848389</v>
      </c>
      <c r="J1998">
        <v>1340.1923827999999</v>
      </c>
      <c r="K1998">
        <v>0</v>
      </c>
      <c r="L1998">
        <v>2400</v>
      </c>
      <c r="M1998">
        <v>2400</v>
      </c>
      <c r="N1998">
        <v>0</v>
      </c>
    </row>
    <row r="1999" spans="1:14" x14ac:dyDescent="0.25">
      <c r="A1999">
        <v>1294.8725199999999</v>
      </c>
      <c r="B1999" s="1">
        <f>DATE(2013,11,15) + TIME(20,56,25)</f>
        <v>41593.872511574074</v>
      </c>
      <c r="C1999">
        <v>80</v>
      </c>
      <c r="D1999">
        <v>78.684875488000003</v>
      </c>
      <c r="E1999">
        <v>50</v>
      </c>
      <c r="F1999">
        <v>49.979507446</v>
      </c>
      <c r="G1999">
        <v>1326.9743652</v>
      </c>
      <c r="H1999">
        <v>1324.5772704999999</v>
      </c>
      <c r="I1999">
        <v>1344.5767822</v>
      </c>
      <c r="J1999">
        <v>1340.1879882999999</v>
      </c>
      <c r="K1999">
        <v>0</v>
      </c>
      <c r="L1999">
        <v>2400</v>
      </c>
      <c r="M1999">
        <v>2400</v>
      </c>
      <c r="N1999">
        <v>0</v>
      </c>
    </row>
    <row r="2000" spans="1:14" x14ac:dyDescent="0.25">
      <c r="A2000">
        <v>1295.4224939999999</v>
      </c>
      <c r="B2000" s="1">
        <f>DATE(2013,11,16) + TIME(10,8,23)</f>
        <v>41594.422488425924</v>
      </c>
      <c r="C2000">
        <v>80</v>
      </c>
      <c r="D2000">
        <v>78.645957946999999</v>
      </c>
      <c r="E2000">
        <v>50</v>
      </c>
      <c r="F2000">
        <v>49.979496001999998</v>
      </c>
      <c r="G2000">
        <v>1326.9512939000001</v>
      </c>
      <c r="H2000">
        <v>1324.5447998</v>
      </c>
      <c r="I2000">
        <v>1344.5689697</v>
      </c>
      <c r="J2000">
        <v>1340.1837158000001</v>
      </c>
      <c r="K2000">
        <v>0</v>
      </c>
      <c r="L2000">
        <v>2400</v>
      </c>
      <c r="M2000">
        <v>2400</v>
      </c>
      <c r="N2000">
        <v>0</v>
      </c>
    </row>
    <row r="2001" spans="1:14" x14ac:dyDescent="0.25">
      <c r="A2001">
        <v>1295.9864210000001</v>
      </c>
      <c r="B2001" s="1">
        <f>DATE(2013,11,16) + TIME(23,40,26)</f>
        <v>41594.98641203704</v>
      </c>
      <c r="C2001">
        <v>80</v>
      </c>
      <c r="D2001">
        <v>78.606491089000002</v>
      </c>
      <c r="E2001">
        <v>50</v>
      </c>
      <c r="F2001">
        <v>49.979480743000003</v>
      </c>
      <c r="G2001">
        <v>1326.9277344</v>
      </c>
      <c r="H2001">
        <v>1324.5115966999999</v>
      </c>
      <c r="I2001">
        <v>1344.5611572</v>
      </c>
      <c r="J2001">
        <v>1340.1795654</v>
      </c>
      <c r="K2001">
        <v>0</v>
      </c>
      <c r="L2001">
        <v>2400</v>
      </c>
      <c r="M2001">
        <v>2400</v>
      </c>
      <c r="N2001">
        <v>0</v>
      </c>
    </row>
    <row r="2002" spans="1:14" x14ac:dyDescent="0.25">
      <c r="A2002">
        <v>1296.5655899999999</v>
      </c>
      <c r="B2002" s="1">
        <f>DATE(2013,11,17) + TIME(13,34,26)</f>
        <v>41595.565578703703</v>
      </c>
      <c r="C2002">
        <v>80</v>
      </c>
      <c r="D2002">
        <v>78.56640625</v>
      </c>
      <c r="E2002">
        <v>50</v>
      </c>
      <c r="F2002">
        <v>49.979469299000002</v>
      </c>
      <c r="G2002">
        <v>1326.9035644999999</v>
      </c>
      <c r="H2002">
        <v>1324.4775391000001</v>
      </c>
      <c r="I2002">
        <v>1344.5534668</v>
      </c>
      <c r="J2002">
        <v>1340.1754149999999</v>
      </c>
      <c r="K2002">
        <v>0</v>
      </c>
      <c r="L2002">
        <v>2400</v>
      </c>
      <c r="M2002">
        <v>2400</v>
      </c>
      <c r="N2002">
        <v>0</v>
      </c>
    </row>
    <row r="2003" spans="1:14" x14ac:dyDescent="0.25">
      <c r="A2003">
        <v>1297.161321</v>
      </c>
      <c r="B2003" s="1">
        <f>DATE(2013,11,18) + TIME(3,52,18)</f>
        <v>41596.161319444444</v>
      </c>
      <c r="C2003">
        <v>80</v>
      </c>
      <c r="D2003">
        <v>78.525642395000006</v>
      </c>
      <c r="E2003">
        <v>50</v>
      </c>
      <c r="F2003">
        <v>49.979454040999997</v>
      </c>
      <c r="G2003">
        <v>1326.8787841999999</v>
      </c>
      <c r="H2003">
        <v>1324.442749</v>
      </c>
      <c r="I2003">
        <v>1344.5457764</v>
      </c>
      <c r="J2003">
        <v>1340.1713867000001</v>
      </c>
      <c r="K2003">
        <v>0</v>
      </c>
      <c r="L2003">
        <v>2400</v>
      </c>
      <c r="M2003">
        <v>2400</v>
      </c>
      <c r="N2003">
        <v>0</v>
      </c>
    </row>
    <row r="2004" spans="1:14" x14ac:dyDescent="0.25">
      <c r="A2004">
        <v>1297.774911</v>
      </c>
      <c r="B2004" s="1">
        <f>DATE(2013,11,18) + TIME(18,35,52)</f>
        <v>41596.774907407409</v>
      </c>
      <c r="C2004">
        <v>80</v>
      </c>
      <c r="D2004">
        <v>78.484146117999998</v>
      </c>
      <c r="E2004">
        <v>50</v>
      </c>
      <c r="F2004">
        <v>49.979442595999998</v>
      </c>
      <c r="G2004">
        <v>1326.8532714999999</v>
      </c>
      <c r="H2004">
        <v>1324.4068603999999</v>
      </c>
      <c r="I2004">
        <v>1344.5382079999999</v>
      </c>
      <c r="J2004">
        <v>1340.1672363</v>
      </c>
      <c r="K2004">
        <v>0</v>
      </c>
      <c r="L2004">
        <v>2400</v>
      </c>
      <c r="M2004">
        <v>2400</v>
      </c>
      <c r="N2004">
        <v>0</v>
      </c>
    </row>
    <row r="2005" spans="1:14" x14ac:dyDescent="0.25">
      <c r="A2005">
        <v>1298.4081209999999</v>
      </c>
      <c r="B2005" s="1">
        <f>DATE(2013,11,19) + TIME(9,47,41)</f>
        <v>41597.408113425925</v>
      </c>
      <c r="C2005">
        <v>80</v>
      </c>
      <c r="D2005">
        <v>78.441825867000006</v>
      </c>
      <c r="E2005">
        <v>50</v>
      </c>
      <c r="F2005">
        <v>49.979434967000003</v>
      </c>
      <c r="G2005">
        <v>1326.8271483999999</v>
      </c>
      <c r="H2005">
        <v>1324.3699951000001</v>
      </c>
      <c r="I2005">
        <v>1344.5307617000001</v>
      </c>
      <c r="J2005">
        <v>1340.1632079999999</v>
      </c>
      <c r="K2005">
        <v>0</v>
      </c>
      <c r="L2005">
        <v>2400</v>
      </c>
      <c r="M2005">
        <v>2400</v>
      </c>
      <c r="N2005">
        <v>0</v>
      </c>
    </row>
    <row r="2006" spans="1:14" x14ac:dyDescent="0.25">
      <c r="A2006">
        <v>1299.06268</v>
      </c>
      <c r="B2006" s="1">
        <f>DATE(2013,11,20) + TIME(1,30,15)</f>
        <v>41598.062673611108</v>
      </c>
      <c r="C2006">
        <v>80</v>
      </c>
      <c r="D2006">
        <v>78.398605347</v>
      </c>
      <c r="E2006">
        <v>50</v>
      </c>
      <c r="F2006">
        <v>49.979423523000001</v>
      </c>
      <c r="G2006">
        <v>1326.8001709</v>
      </c>
      <c r="H2006">
        <v>1324.3320312000001</v>
      </c>
      <c r="I2006">
        <v>1344.5231934000001</v>
      </c>
      <c r="J2006">
        <v>1340.1593018000001</v>
      </c>
      <c r="K2006">
        <v>0</v>
      </c>
      <c r="L2006">
        <v>2400</v>
      </c>
      <c r="M2006">
        <v>2400</v>
      </c>
      <c r="N2006">
        <v>0</v>
      </c>
    </row>
    <row r="2007" spans="1:14" x14ac:dyDescent="0.25">
      <c r="A2007">
        <v>1299.7404779999999</v>
      </c>
      <c r="B2007" s="1">
        <f>DATE(2013,11,20) + TIME(17,46,17)</f>
        <v>41598.740474537037</v>
      </c>
      <c r="C2007">
        <v>80</v>
      </c>
      <c r="D2007">
        <v>78.354400635000005</v>
      </c>
      <c r="E2007">
        <v>50</v>
      </c>
      <c r="F2007">
        <v>49.979412078999999</v>
      </c>
      <c r="G2007">
        <v>1326.7723389</v>
      </c>
      <c r="H2007">
        <v>1324.2929687999999</v>
      </c>
      <c r="I2007">
        <v>1344.5157471</v>
      </c>
      <c r="J2007">
        <v>1340.1552733999999</v>
      </c>
      <c r="K2007">
        <v>0</v>
      </c>
      <c r="L2007">
        <v>2400</v>
      </c>
      <c r="M2007">
        <v>2400</v>
      </c>
      <c r="N2007">
        <v>0</v>
      </c>
    </row>
    <row r="2008" spans="1:14" x14ac:dyDescent="0.25">
      <c r="A2008">
        <v>1300.443585</v>
      </c>
      <c r="B2008" s="1">
        <f>DATE(2013,11,21) + TIME(10,38,45)</f>
        <v>41599.443576388891</v>
      </c>
      <c r="C2008">
        <v>80</v>
      </c>
      <c r="D2008">
        <v>78.309120178000001</v>
      </c>
      <c r="E2008">
        <v>50</v>
      </c>
      <c r="F2008">
        <v>49.979400634999998</v>
      </c>
      <c r="G2008">
        <v>1326.7436522999999</v>
      </c>
      <c r="H2008">
        <v>1324.2525635</v>
      </c>
      <c r="I2008">
        <v>1344.5081786999999</v>
      </c>
      <c r="J2008">
        <v>1340.1512451000001</v>
      </c>
      <c r="K2008">
        <v>0</v>
      </c>
      <c r="L2008">
        <v>2400</v>
      </c>
      <c r="M2008">
        <v>2400</v>
      </c>
      <c r="N2008">
        <v>0</v>
      </c>
    </row>
    <row r="2009" spans="1:14" x14ac:dyDescent="0.25">
      <c r="A2009">
        <v>1301.1742730000001</v>
      </c>
      <c r="B2009" s="1">
        <f>DATE(2013,11,22) + TIME(4,10,57)</f>
        <v>41600.174270833333</v>
      </c>
      <c r="C2009">
        <v>80</v>
      </c>
      <c r="D2009">
        <v>78.262664795000006</v>
      </c>
      <c r="E2009">
        <v>50</v>
      </c>
      <c r="F2009">
        <v>49.979393004999999</v>
      </c>
      <c r="G2009">
        <v>1326.7139893000001</v>
      </c>
      <c r="H2009">
        <v>1324.2106934000001</v>
      </c>
      <c r="I2009">
        <v>1344.5007324000001</v>
      </c>
      <c r="J2009">
        <v>1340.1473389</v>
      </c>
      <c r="K2009">
        <v>0</v>
      </c>
      <c r="L2009">
        <v>2400</v>
      </c>
      <c r="M2009">
        <v>2400</v>
      </c>
      <c r="N2009">
        <v>0</v>
      </c>
    </row>
    <row r="2010" spans="1:14" x14ac:dyDescent="0.25">
      <c r="A2010">
        <v>1301.9350480000001</v>
      </c>
      <c r="B2010" s="1">
        <f>DATE(2013,11,22) + TIME(22,26,28)</f>
        <v>41600.935046296298</v>
      </c>
      <c r="C2010">
        <v>80</v>
      </c>
      <c r="D2010">
        <v>78.214935303000004</v>
      </c>
      <c r="E2010">
        <v>50</v>
      </c>
      <c r="F2010">
        <v>49.979381560999997</v>
      </c>
      <c r="G2010">
        <v>1326.6831055</v>
      </c>
      <c r="H2010">
        <v>1324.1674805</v>
      </c>
      <c r="I2010">
        <v>1344.4931641000001</v>
      </c>
      <c r="J2010">
        <v>1340.1433105000001</v>
      </c>
      <c r="K2010">
        <v>0</v>
      </c>
      <c r="L2010">
        <v>2400</v>
      </c>
      <c r="M2010">
        <v>2400</v>
      </c>
      <c r="N2010">
        <v>0</v>
      </c>
    </row>
    <row r="2011" spans="1:14" x14ac:dyDescent="0.25">
      <c r="A2011">
        <v>1302.7287160000001</v>
      </c>
      <c r="B2011" s="1">
        <f>DATE(2013,11,23) + TIME(17,29,21)</f>
        <v>41601.728715277779</v>
      </c>
      <c r="C2011">
        <v>80</v>
      </c>
      <c r="D2011">
        <v>78.165802002000007</v>
      </c>
      <c r="E2011">
        <v>50</v>
      </c>
      <c r="F2011">
        <v>49.979373932000001</v>
      </c>
      <c r="G2011">
        <v>1326.6511230000001</v>
      </c>
      <c r="H2011">
        <v>1324.1225586</v>
      </c>
      <c r="I2011">
        <v>1344.4855957</v>
      </c>
      <c r="J2011">
        <v>1340.1392822</v>
      </c>
      <c r="K2011">
        <v>0</v>
      </c>
      <c r="L2011">
        <v>2400</v>
      </c>
      <c r="M2011">
        <v>2400</v>
      </c>
      <c r="N2011">
        <v>0</v>
      </c>
    </row>
    <row r="2012" spans="1:14" x14ac:dyDescent="0.25">
      <c r="A2012">
        <v>1303.557845</v>
      </c>
      <c r="B2012" s="1">
        <f>DATE(2013,11,24) + TIME(13,23,17)</f>
        <v>41602.557835648149</v>
      </c>
      <c r="C2012">
        <v>80</v>
      </c>
      <c r="D2012">
        <v>78.115173339999998</v>
      </c>
      <c r="E2012">
        <v>50</v>
      </c>
      <c r="F2012">
        <v>49.979362488</v>
      </c>
      <c r="G2012">
        <v>1326.6179199000001</v>
      </c>
      <c r="H2012">
        <v>1324.0758057</v>
      </c>
      <c r="I2012">
        <v>1344.4779053</v>
      </c>
      <c r="J2012">
        <v>1340.1352539</v>
      </c>
      <c r="K2012">
        <v>0</v>
      </c>
      <c r="L2012">
        <v>2400</v>
      </c>
      <c r="M2012">
        <v>2400</v>
      </c>
      <c r="N2012">
        <v>0</v>
      </c>
    </row>
    <row r="2013" spans="1:14" x14ac:dyDescent="0.25">
      <c r="A2013">
        <v>1304.4130299999999</v>
      </c>
      <c r="B2013" s="1">
        <f>DATE(2013,11,25) + TIME(9,54,45)</f>
        <v>41603.41302083333</v>
      </c>
      <c r="C2013">
        <v>80</v>
      </c>
      <c r="D2013">
        <v>78.063285828000005</v>
      </c>
      <c r="E2013">
        <v>50</v>
      </c>
      <c r="F2013">
        <v>49.979354858000001</v>
      </c>
      <c r="G2013">
        <v>1326.583374</v>
      </c>
      <c r="H2013">
        <v>1324.0273437999999</v>
      </c>
      <c r="I2013">
        <v>1344.4702147999999</v>
      </c>
      <c r="J2013">
        <v>1340.1312256000001</v>
      </c>
      <c r="K2013">
        <v>0</v>
      </c>
      <c r="L2013">
        <v>2400</v>
      </c>
      <c r="M2013">
        <v>2400</v>
      </c>
      <c r="N2013">
        <v>0</v>
      </c>
    </row>
    <row r="2014" spans="1:14" x14ac:dyDescent="0.25">
      <c r="A2014">
        <v>1305.2812859999999</v>
      </c>
      <c r="B2014" s="1">
        <f>DATE(2013,11,26) + TIME(6,45,3)</f>
        <v>41604.281284722223</v>
      </c>
      <c r="C2014">
        <v>80</v>
      </c>
      <c r="D2014">
        <v>78.010681152000004</v>
      </c>
      <c r="E2014">
        <v>50</v>
      </c>
      <c r="F2014">
        <v>49.979347228999998</v>
      </c>
      <c r="G2014">
        <v>1326.5479736</v>
      </c>
      <c r="H2014">
        <v>1323.9775391000001</v>
      </c>
      <c r="I2014">
        <v>1344.4625243999999</v>
      </c>
      <c r="J2014">
        <v>1340.1273193</v>
      </c>
      <c r="K2014">
        <v>0</v>
      </c>
      <c r="L2014">
        <v>2400</v>
      </c>
      <c r="M2014">
        <v>2400</v>
      </c>
      <c r="N2014">
        <v>0</v>
      </c>
    </row>
    <row r="2015" spans="1:14" x14ac:dyDescent="0.25">
      <c r="A2015">
        <v>1306.164734</v>
      </c>
      <c r="B2015" s="1">
        <f>DATE(2013,11,27) + TIME(3,57,13)</f>
        <v>41605.164733796293</v>
      </c>
      <c r="C2015">
        <v>80</v>
      </c>
      <c r="D2015">
        <v>77.957580566000004</v>
      </c>
      <c r="E2015">
        <v>50</v>
      </c>
      <c r="F2015">
        <v>49.979339600000003</v>
      </c>
      <c r="G2015">
        <v>1326.5118408000001</v>
      </c>
      <c r="H2015">
        <v>1323.9268798999999</v>
      </c>
      <c r="I2015">
        <v>1344.4549560999999</v>
      </c>
      <c r="J2015">
        <v>1340.1234131000001</v>
      </c>
      <c r="K2015">
        <v>0</v>
      </c>
      <c r="L2015">
        <v>2400</v>
      </c>
      <c r="M2015">
        <v>2400</v>
      </c>
      <c r="N2015">
        <v>0</v>
      </c>
    </row>
    <row r="2016" spans="1:14" x14ac:dyDescent="0.25">
      <c r="A2016">
        <v>1307.065351</v>
      </c>
      <c r="B2016" s="1">
        <f>DATE(2013,11,28) + TIME(1,34,6)</f>
        <v>41606.065347222226</v>
      </c>
      <c r="C2016">
        <v>80</v>
      </c>
      <c r="D2016">
        <v>77.904060364000003</v>
      </c>
      <c r="E2016">
        <v>50</v>
      </c>
      <c r="F2016">
        <v>49.979331969999997</v>
      </c>
      <c r="G2016">
        <v>1326.4752197</v>
      </c>
      <c r="H2016">
        <v>1323.8754882999999</v>
      </c>
      <c r="I2016">
        <v>1344.4476318</v>
      </c>
      <c r="J2016">
        <v>1340.1195068</v>
      </c>
      <c r="K2016">
        <v>0</v>
      </c>
      <c r="L2016">
        <v>2400</v>
      </c>
      <c r="M2016">
        <v>2400</v>
      </c>
      <c r="N2016">
        <v>0</v>
      </c>
    </row>
    <row r="2017" spans="1:14" x14ac:dyDescent="0.25">
      <c r="A2017">
        <v>1307.9852020000001</v>
      </c>
      <c r="B2017" s="1">
        <f>DATE(2013,11,28) + TIME(23,38,41)</f>
        <v>41606.985196759262</v>
      </c>
      <c r="C2017">
        <v>80</v>
      </c>
      <c r="D2017">
        <v>77.850082396999994</v>
      </c>
      <c r="E2017">
        <v>50</v>
      </c>
      <c r="F2017">
        <v>49.979324341000002</v>
      </c>
      <c r="G2017">
        <v>1326.4379882999999</v>
      </c>
      <c r="H2017">
        <v>1323.8231201000001</v>
      </c>
      <c r="I2017">
        <v>1344.4403076000001</v>
      </c>
      <c r="J2017">
        <v>1340.1158447</v>
      </c>
      <c r="K2017">
        <v>0</v>
      </c>
      <c r="L2017">
        <v>2400</v>
      </c>
      <c r="M2017">
        <v>2400</v>
      </c>
      <c r="N2017">
        <v>0</v>
      </c>
    </row>
    <row r="2018" spans="1:14" x14ac:dyDescent="0.25">
      <c r="A2018">
        <v>1308.92651</v>
      </c>
      <c r="B2018" s="1">
        <f>DATE(2013,11,29) + TIME(22,14,10)</f>
        <v>41607.926504629628</v>
      </c>
      <c r="C2018">
        <v>80</v>
      </c>
      <c r="D2018">
        <v>77.795593261999997</v>
      </c>
      <c r="E2018">
        <v>50</v>
      </c>
      <c r="F2018">
        <v>49.979316711000003</v>
      </c>
      <c r="G2018">
        <v>1326.4001464999999</v>
      </c>
      <c r="H2018">
        <v>1323.7700195</v>
      </c>
      <c r="I2018">
        <v>1344.4331055</v>
      </c>
      <c r="J2018">
        <v>1340.1121826000001</v>
      </c>
      <c r="K2018">
        <v>0</v>
      </c>
      <c r="L2018">
        <v>2400</v>
      </c>
      <c r="M2018">
        <v>2400</v>
      </c>
      <c r="N2018">
        <v>0</v>
      </c>
    </row>
    <row r="2019" spans="1:14" x14ac:dyDescent="0.25">
      <c r="A2019">
        <v>1309.8915870000001</v>
      </c>
      <c r="B2019" s="1">
        <f>DATE(2013,11,30) + TIME(21,23,53)</f>
        <v>41608.891585648147</v>
      </c>
      <c r="C2019">
        <v>80</v>
      </c>
      <c r="D2019">
        <v>77.740501404</v>
      </c>
      <c r="E2019">
        <v>50</v>
      </c>
      <c r="F2019">
        <v>49.979309082</v>
      </c>
      <c r="G2019">
        <v>1326.3615723</v>
      </c>
      <c r="H2019">
        <v>1323.7159423999999</v>
      </c>
      <c r="I2019">
        <v>1344.4260254000001</v>
      </c>
      <c r="J2019">
        <v>1340.1085204999999</v>
      </c>
      <c r="K2019">
        <v>0</v>
      </c>
      <c r="L2019">
        <v>2400</v>
      </c>
      <c r="M2019">
        <v>2400</v>
      </c>
      <c r="N2019">
        <v>0</v>
      </c>
    </row>
    <row r="2020" spans="1:14" x14ac:dyDescent="0.25">
      <c r="A2020">
        <v>1310</v>
      </c>
      <c r="B2020" s="1">
        <f>DATE(2013,12,1) + TIME(0,0,0)</f>
        <v>41609</v>
      </c>
      <c r="C2020">
        <v>80</v>
      </c>
      <c r="D2020">
        <v>77.728446959999999</v>
      </c>
      <c r="E2020">
        <v>50</v>
      </c>
      <c r="F2020">
        <v>49.979305267000001</v>
      </c>
      <c r="G2020">
        <v>1326.328125</v>
      </c>
      <c r="H2020">
        <v>1323.6717529</v>
      </c>
      <c r="I2020">
        <v>1344.4187012</v>
      </c>
      <c r="J2020">
        <v>1340.1046143000001</v>
      </c>
      <c r="K2020">
        <v>0</v>
      </c>
      <c r="L2020">
        <v>2400</v>
      </c>
      <c r="M2020">
        <v>2400</v>
      </c>
      <c r="N2020">
        <v>0</v>
      </c>
    </row>
    <row r="2021" spans="1:14" x14ac:dyDescent="0.25">
      <c r="A2021">
        <v>1310.991309</v>
      </c>
      <c r="B2021" s="1">
        <f>DATE(2013,12,1) + TIME(23,47,29)</f>
        <v>41609.991307870368</v>
      </c>
      <c r="C2021">
        <v>80</v>
      </c>
      <c r="D2021">
        <v>77.675926208000007</v>
      </c>
      <c r="E2021">
        <v>50</v>
      </c>
      <c r="F2021">
        <v>49.979301452999998</v>
      </c>
      <c r="G2021">
        <v>1326.3161620999999</v>
      </c>
      <c r="H2021">
        <v>1323.6518555</v>
      </c>
      <c r="I2021">
        <v>1344.4182129000001</v>
      </c>
      <c r="J2021">
        <v>1340.1044922000001</v>
      </c>
      <c r="K2021">
        <v>0</v>
      </c>
      <c r="L2021">
        <v>2400</v>
      </c>
      <c r="M2021">
        <v>2400</v>
      </c>
      <c r="N2021">
        <v>0</v>
      </c>
    </row>
    <row r="2022" spans="1:14" x14ac:dyDescent="0.25">
      <c r="A2022">
        <v>1312.014312</v>
      </c>
      <c r="B2022" s="1">
        <f>DATE(2013,12,3) + TIME(0,20,36)</f>
        <v>41611.014305555553</v>
      </c>
      <c r="C2022">
        <v>80</v>
      </c>
      <c r="D2022">
        <v>77.620765685999999</v>
      </c>
      <c r="E2022">
        <v>50</v>
      </c>
      <c r="F2022">
        <v>49.979293822999999</v>
      </c>
      <c r="G2022">
        <v>1326.2768555</v>
      </c>
      <c r="H2022">
        <v>1323.5970459</v>
      </c>
      <c r="I2022">
        <v>1344.4112548999999</v>
      </c>
      <c r="J2022">
        <v>1340.1009521000001</v>
      </c>
      <c r="K2022">
        <v>0</v>
      </c>
      <c r="L2022">
        <v>2400</v>
      </c>
      <c r="M2022">
        <v>2400</v>
      </c>
      <c r="N2022">
        <v>0</v>
      </c>
    </row>
    <row r="2023" spans="1:14" x14ac:dyDescent="0.25">
      <c r="A2023">
        <v>1313.0689239999999</v>
      </c>
      <c r="B2023" s="1">
        <f>DATE(2013,12,4) + TIME(1,39,15)</f>
        <v>41612.068923611114</v>
      </c>
      <c r="C2023">
        <v>80</v>
      </c>
      <c r="D2023">
        <v>77.563804626000007</v>
      </c>
      <c r="E2023">
        <v>50</v>
      </c>
      <c r="F2023">
        <v>49.979286193999997</v>
      </c>
      <c r="G2023">
        <v>1326.2359618999999</v>
      </c>
      <c r="H2023">
        <v>1323.5399170000001</v>
      </c>
      <c r="I2023">
        <v>1344.4042969</v>
      </c>
      <c r="J2023">
        <v>1340.0974120999999</v>
      </c>
      <c r="K2023">
        <v>0</v>
      </c>
      <c r="L2023">
        <v>2400</v>
      </c>
      <c r="M2023">
        <v>2400</v>
      </c>
      <c r="N2023">
        <v>0</v>
      </c>
    </row>
    <row r="2024" spans="1:14" x14ac:dyDescent="0.25">
      <c r="A2024">
        <v>1314.1583189999999</v>
      </c>
      <c r="B2024" s="1">
        <f>DATE(2013,12,5) + TIME(3,47,58)</f>
        <v>41613.158310185187</v>
      </c>
      <c r="C2024">
        <v>80</v>
      </c>
      <c r="D2024">
        <v>77.505409240999995</v>
      </c>
      <c r="E2024">
        <v>50</v>
      </c>
      <c r="F2024">
        <v>49.979282378999997</v>
      </c>
      <c r="G2024">
        <v>1326.1938477000001</v>
      </c>
      <c r="H2024">
        <v>1323.480957</v>
      </c>
      <c r="I2024">
        <v>1344.3973389</v>
      </c>
      <c r="J2024">
        <v>1340.0939940999999</v>
      </c>
      <c r="K2024">
        <v>0</v>
      </c>
      <c r="L2024">
        <v>2400</v>
      </c>
      <c r="M2024">
        <v>2400</v>
      </c>
      <c r="N2024">
        <v>0</v>
      </c>
    </row>
    <row r="2025" spans="1:14" x14ac:dyDescent="0.25">
      <c r="A2025">
        <v>1315.285836</v>
      </c>
      <c r="B2025" s="1">
        <f>DATE(2013,12,6) + TIME(6,51,36)</f>
        <v>41614.285833333335</v>
      </c>
      <c r="C2025">
        <v>80</v>
      </c>
      <c r="D2025">
        <v>77.445640564000001</v>
      </c>
      <c r="E2025">
        <v>50</v>
      </c>
      <c r="F2025">
        <v>49.979278563999998</v>
      </c>
      <c r="G2025">
        <v>1326.1505127</v>
      </c>
      <c r="H2025">
        <v>1323.4202881000001</v>
      </c>
      <c r="I2025">
        <v>1344.3903809000001</v>
      </c>
      <c r="J2025">
        <v>1340.0904541</v>
      </c>
      <c r="K2025">
        <v>0</v>
      </c>
      <c r="L2025">
        <v>2400</v>
      </c>
      <c r="M2025">
        <v>2400</v>
      </c>
      <c r="N2025">
        <v>0</v>
      </c>
    </row>
    <row r="2026" spans="1:14" x14ac:dyDescent="0.25">
      <c r="A2026">
        <v>1316.455136</v>
      </c>
      <c r="B2026" s="1">
        <f>DATE(2013,12,7) + TIME(10,55,23)</f>
        <v>41615.455127314817</v>
      </c>
      <c r="C2026">
        <v>80</v>
      </c>
      <c r="D2026">
        <v>77.384468079000001</v>
      </c>
      <c r="E2026">
        <v>50</v>
      </c>
      <c r="F2026">
        <v>49.979270935000002</v>
      </c>
      <c r="G2026">
        <v>1326.1058350000001</v>
      </c>
      <c r="H2026">
        <v>1323.3579102000001</v>
      </c>
      <c r="I2026">
        <v>1344.3833007999999</v>
      </c>
      <c r="J2026">
        <v>1340.0870361</v>
      </c>
      <c r="K2026">
        <v>0</v>
      </c>
      <c r="L2026">
        <v>2400</v>
      </c>
      <c r="M2026">
        <v>2400</v>
      </c>
      <c r="N2026">
        <v>0</v>
      </c>
    </row>
    <row r="2027" spans="1:14" x14ac:dyDescent="0.25">
      <c r="A2027">
        <v>1317.6702600000001</v>
      </c>
      <c r="B2027" s="1">
        <f>DATE(2013,12,8) + TIME(16,5,10)</f>
        <v>41616.670254629629</v>
      </c>
      <c r="C2027">
        <v>80</v>
      </c>
      <c r="D2027">
        <v>77.321754455999994</v>
      </c>
      <c r="E2027">
        <v>50</v>
      </c>
      <c r="F2027">
        <v>49.979267120000003</v>
      </c>
      <c r="G2027">
        <v>1326.0598144999999</v>
      </c>
      <c r="H2027">
        <v>1323.2935791</v>
      </c>
      <c r="I2027">
        <v>1344.3763428</v>
      </c>
      <c r="J2027">
        <v>1340.0834961</v>
      </c>
      <c r="K2027">
        <v>0</v>
      </c>
      <c r="L2027">
        <v>2400</v>
      </c>
      <c r="M2027">
        <v>2400</v>
      </c>
      <c r="N2027">
        <v>0</v>
      </c>
    </row>
    <row r="2028" spans="1:14" x14ac:dyDescent="0.25">
      <c r="A2028">
        <v>1318.9356849999999</v>
      </c>
      <c r="B2028" s="1">
        <f>DATE(2013,12,9) + TIME(22,27,23)</f>
        <v>41617.935682870368</v>
      </c>
      <c r="C2028">
        <v>80</v>
      </c>
      <c r="D2028">
        <v>77.257362365999995</v>
      </c>
      <c r="E2028">
        <v>50</v>
      </c>
      <c r="F2028">
        <v>49.979263306</v>
      </c>
      <c r="G2028">
        <v>1326.0123291</v>
      </c>
      <c r="H2028">
        <v>1323.2272949000001</v>
      </c>
      <c r="I2028">
        <v>1344.3692627</v>
      </c>
      <c r="J2028">
        <v>1340.0800781</v>
      </c>
      <c r="K2028">
        <v>0</v>
      </c>
      <c r="L2028">
        <v>2400</v>
      </c>
      <c r="M2028">
        <v>2400</v>
      </c>
      <c r="N2028">
        <v>0</v>
      </c>
    </row>
    <row r="2029" spans="1:14" x14ac:dyDescent="0.25">
      <c r="A2029">
        <v>1320.2564159999999</v>
      </c>
      <c r="B2029" s="1">
        <f>DATE(2013,12,11) + TIME(6,9,14)</f>
        <v>41619.256412037037</v>
      </c>
      <c r="C2029">
        <v>80</v>
      </c>
      <c r="D2029">
        <v>77.191101074000002</v>
      </c>
      <c r="E2029">
        <v>50</v>
      </c>
      <c r="F2029">
        <v>49.979259491000001</v>
      </c>
      <c r="G2029">
        <v>1325.9632568</v>
      </c>
      <c r="H2029">
        <v>1323.1586914</v>
      </c>
      <c r="I2029">
        <v>1344.3621826000001</v>
      </c>
      <c r="J2029">
        <v>1340.0765381000001</v>
      </c>
      <c r="K2029">
        <v>0</v>
      </c>
      <c r="L2029">
        <v>2400</v>
      </c>
      <c r="M2029">
        <v>2400</v>
      </c>
      <c r="N2029">
        <v>0</v>
      </c>
    </row>
    <row r="2030" spans="1:14" x14ac:dyDescent="0.25">
      <c r="A2030">
        <v>1321.6191329999999</v>
      </c>
      <c r="B2030" s="1">
        <f>DATE(2013,12,12) + TIME(14,51,33)</f>
        <v>41620.619131944448</v>
      </c>
      <c r="C2030">
        <v>80</v>
      </c>
      <c r="D2030">
        <v>77.123092650999993</v>
      </c>
      <c r="E2030">
        <v>50</v>
      </c>
      <c r="F2030">
        <v>49.979251861999998</v>
      </c>
      <c r="G2030">
        <v>1325.9123535000001</v>
      </c>
      <c r="H2030">
        <v>1323.0877685999999</v>
      </c>
      <c r="I2030">
        <v>1344.3549805</v>
      </c>
      <c r="J2030">
        <v>1340.0729980000001</v>
      </c>
      <c r="K2030">
        <v>0</v>
      </c>
      <c r="L2030">
        <v>2400</v>
      </c>
      <c r="M2030">
        <v>2400</v>
      </c>
      <c r="N2030">
        <v>0</v>
      </c>
    </row>
    <row r="2031" spans="1:14" x14ac:dyDescent="0.25">
      <c r="A2031">
        <v>1323.006539</v>
      </c>
      <c r="B2031" s="1">
        <f>DATE(2013,12,14) + TIME(0,9,24)</f>
        <v>41622.006527777776</v>
      </c>
      <c r="C2031">
        <v>80</v>
      </c>
      <c r="D2031">
        <v>77.053886414000004</v>
      </c>
      <c r="E2031">
        <v>50</v>
      </c>
      <c r="F2031">
        <v>49.979248046999999</v>
      </c>
      <c r="G2031">
        <v>1325.8602295000001</v>
      </c>
      <c r="H2031">
        <v>1323.0150146000001</v>
      </c>
      <c r="I2031">
        <v>1344.3477783000001</v>
      </c>
      <c r="J2031">
        <v>1340.0695800999999</v>
      </c>
      <c r="K2031">
        <v>0</v>
      </c>
      <c r="L2031">
        <v>2400</v>
      </c>
      <c r="M2031">
        <v>2400</v>
      </c>
      <c r="N2031">
        <v>0</v>
      </c>
    </row>
    <row r="2032" spans="1:14" x14ac:dyDescent="0.25">
      <c r="A2032">
        <v>1324.4223529999999</v>
      </c>
      <c r="B2032" s="1">
        <f>DATE(2013,12,15) + TIME(10,8,11)</f>
        <v>41623.422349537039</v>
      </c>
      <c r="C2032">
        <v>80</v>
      </c>
      <c r="D2032">
        <v>76.983879088999998</v>
      </c>
      <c r="E2032">
        <v>50</v>
      </c>
      <c r="F2032">
        <v>49.979244231999999</v>
      </c>
      <c r="G2032">
        <v>1325.807251</v>
      </c>
      <c r="H2032">
        <v>1322.9410399999999</v>
      </c>
      <c r="I2032">
        <v>1344.3406981999999</v>
      </c>
      <c r="J2032">
        <v>1340.0661620999999</v>
      </c>
      <c r="K2032">
        <v>0</v>
      </c>
      <c r="L2032">
        <v>2400</v>
      </c>
      <c r="M2032">
        <v>2400</v>
      </c>
      <c r="N2032">
        <v>0</v>
      </c>
    </row>
    <row r="2033" spans="1:14" x14ac:dyDescent="0.25">
      <c r="A2033">
        <v>1325.8701289999999</v>
      </c>
      <c r="B2033" s="1">
        <f>DATE(2013,12,16) + TIME(20,52,59)</f>
        <v>41624.870127314818</v>
      </c>
      <c r="C2033">
        <v>80</v>
      </c>
      <c r="D2033">
        <v>76.913078307999996</v>
      </c>
      <c r="E2033">
        <v>50</v>
      </c>
      <c r="F2033">
        <v>49.979244231999999</v>
      </c>
      <c r="G2033">
        <v>1325.7535399999999</v>
      </c>
      <c r="H2033">
        <v>1322.8662108999999</v>
      </c>
      <c r="I2033">
        <v>1344.3337402</v>
      </c>
      <c r="J2033">
        <v>1340.0627440999999</v>
      </c>
      <c r="K2033">
        <v>0</v>
      </c>
      <c r="L2033">
        <v>2400</v>
      </c>
      <c r="M2033">
        <v>2400</v>
      </c>
      <c r="N2033">
        <v>0</v>
      </c>
    </row>
    <row r="2034" spans="1:14" x14ac:dyDescent="0.25">
      <c r="A2034">
        <v>1327.353715</v>
      </c>
      <c r="B2034" s="1">
        <f>DATE(2013,12,18) + TIME(8,29,21)</f>
        <v>41626.353715277779</v>
      </c>
      <c r="C2034">
        <v>80</v>
      </c>
      <c r="D2034">
        <v>76.841369628999999</v>
      </c>
      <c r="E2034">
        <v>50</v>
      </c>
      <c r="F2034">
        <v>49.979240417</v>
      </c>
      <c r="G2034">
        <v>1325.6990966999999</v>
      </c>
      <c r="H2034">
        <v>1322.7902832</v>
      </c>
      <c r="I2034">
        <v>1344.3267822</v>
      </c>
      <c r="J2034">
        <v>1340.0594481999999</v>
      </c>
      <c r="K2034">
        <v>0</v>
      </c>
      <c r="L2034">
        <v>2400</v>
      </c>
      <c r="M2034">
        <v>2400</v>
      </c>
      <c r="N2034">
        <v>0</v>
      </c>
    </row>
    <row r="2035" spans="1:14" x14ac:dyDescent="0.25">
      <c r="A2035">
        <v>1328.8772329999999</v>
      </c>
      <c r="B2035" s="1">
        <f>DATE(2013,12,19) + TIME(21,3,12)</f>
        <v>41627.877222222225</v>
      </c>
      <c r="C2035">
        <v>80</v>
      </c>
      <c r="D2035">
        <v>76.768554687999995</v>
      </c>
      <c r="E2035">
        <v>50</v>
      </c>
      <c r="F2035">
        <v>49.979236602999997</v>
      </c>
      <c r="G2035">
        <v>1325.6436768000001</v>
      </c>
      <c r="H2035">
        <v>1322.7131348</v>
      </c>
      <c r="I2035">
        <v>1344.3199463000001</v>
      </c>
      <c r="J2035">
        <v>1340.0561522999999</v>
      </c>
      <c r="K2035">
        <v>0</v>
      </c>
      <c r="L2035">
        <v>2400</v>
      </c>
      <c r="M2035">
        <v>2400</v>
      </c>
      <c r="N2035">
        <v>0</v>
      </c>
    </row>
    <row r="2036" spans="1:14" x14ac:dyDescent="0.25">
      <c r="A2036">
        <v>1330.44526</v>
      </c>
      <c r="B2036" s="1">
        <f>DATE(2013,12,21) + TIME(10,41,10)</f>
        <v>41629.445254629631</v>
      </c>
      <c r="C2036">
        <v>80</v>
      </c>
      <c r="D2036">
        <v>76.694435119999994</v>
      </c>
      <c r="E2036">
        <v>50</v>
      </c>
      <c r="F2036">
        <v>49.979236602999997</v>
      </c>
      <c r="G2036">
        <v>1325.5874022999999</v>
      </c>
      <c r="H2036">
        <v>1322.6346435999999</v>
      </c>
      <c r="I2036">
        <v>1344.3131103999999</v>
      </c>
      <c r="J2036">
        <v>1340.0528564000001</v>
      </c>
      <c r="K2036">
        <v>0</v>
      </c>
      <c r="L2036">
        <v>2400</v>
      </c>
      <c r="M2036">
        <v>2400</v>
      </c>
      <c r="N2036">
        <v>0</v>
      </c>
    </row>
    <row r="2037" spans="1:14" x14ac:dyDescent="0.25">
      <c r="A2037">
        <v>1332.061821</v>
      </c>
      <c r="B2037" s="1">
        <f>DATE(2013,12,23) + TIME(1,29,1)</f>
        <v>41631.06181712963</v>
      </c>
      <c r="C2037">
        <v>80</v>
      </c>
      <c r="D2037">
        <v>76.618766785000005</v>
      </c>
      <c r="E2037">
        <v>50</v>
      </c>
      <c r="F2037">
        <v>49.979232787999997</v>
      </c>
      <c r="G2037">
        <v>1325.5299072</v>
      </c>
      <c r="H2037">
        <v>1322.5545654</v>
      </c>
      <c r="I2037">
        <v>1344.3061522999999</v>
      </c>
      <c r="J2037">
        <v>1340.0496826000001</v>
      </c>
      <c r="K2037">
        <v>0</v>
      </c>
      <c r="L2037">
        <v>2400</v>
      </c>
      <c r="M2037">
        <v>2400</v>
      </c>
      <c r="N2037">
        <v>0</v>
      </c>
    </row>
    <row r="2038" spans="1:14" x14ac:dyDescent="0.25">
      <c r="A2038">
        <v>1333.731984</v>
      </c>
      <c r="B2038" s="1">
        <f>DATE(2013,12,24) + TIME(17,34,3)</f>
        <v>41632.731979166667</v>
      </c>
      <c r="C2038">
        <v>80</v>
      </c>
      <c r="D2038">
        <v>76.541313170999999</v>
      </c>
      <c r="E2038">
        <v>50</v>
      </c>
      <c r="F2038">
        <v>49.979232787999997</v>
      </c>
      <c r="G2038">
        <v>1325.4711914</v>
      </c>
      <c r="H2038">
        <v>1322.4729004000001</v>
      </c>
      <c r="I2038">
        <v>1344.2993164</v>
      </c>
      <c r="J2038">
        <v>1340.0463867000001</v>
      </c>
      <c r="K2038">
        <v>0</v>
      </c>
      <c r="L2038">
        <v>2400</v>
      </c>
      <c r="M2038">
        <v>2400</v>
      </c>
      <c r="N2038">
        <v>0</v>
      </c>
    </row>
    <row r="2039" spans="1:14" x14ac:dyDescent="0.25">
      <c r="A2039">
        <v>1335.461456</v>
      </c>
      <c r="B2039" s="1">
        <f>DATE(2013,12,26) + TIME(11,4,29)</f>
        <v>41634.461446759262</v>
      </c>
      <c r="C2039">
        <v>80</v>
      </c>
      <c r="D2039">
        <v>76.461807250999996</v>
      </c>
      <c r="E2039">
        <v>50</v>
      </c>
      <c r="F2039">
        <v>49.979232787999997</v>
      </c>
      <c r="G2039">
        <v>1325.4111327999999</v>
      </c>
      <c r="H2039">
        <v>1322.3894043</v>
      </c>
      <c r="I2039">
        <v>1344.2924805</v>
      </c>
      <c r="J2039">
        <v>1340.0432129000001</v>
      </c>
      <c r="K2039">
        <v>0</v>
      </c>
      <c r="L2039">
        <v>2400</v>
      </c>
      <c r="M2039">
        <v>2400</v>
      </c>
      <c r="N2039">
        <v>0</v>
      </c>
    </row>
    <row r="2040" spans="1:14" x14ac:dyDescent="0.25">
      <c r="A2040">
        <v>1337.2564749999999</v>
      </c>
      <c r="B2040" s="1">
        <f>DATE(2013,12,28) + TIME(6,9,19)</f>
        <v>41636.256469907406</v>
      </c>
      <c r="C2040">
        <v>80</v>
      </c>
      <c r="D2040">
        <v>76.379920959000003</v>
      </c>
      <c r="E2040">
        <v>50</v>
      </c>
      <c r="F2040">
        <v>49.979232787999997</v>
      </c>
      <c r="G2040">
        <v>1325.3494873</v>
      </c>
      <c r="H2040">
        <v>1322.3039550999999</v>
      </c>
      <c r="I2040">
        <v>1344.2855225000001</v>
      </c>
      <c r="J2040">
        <v>1340.0399170000001</v>
      </c>
      <c r="K2040">
        <v>0</v>
      </c>
      <c r="L2040">
        <v>2400</v>
      </c>
      <c r="M2040">
        <v>2400</v>
      </c>
      <c r="N2040">
        <v>0</v>
      </c>
    </row>
    <row r="2041" spans="1:14" x14ac:dyDescent="0.25">
      <c r="A2041">
        <v>1339.1239210000001</v>
      </c>
      <c r="B2041" s="1">
        <f>DATE(2013,12,30) + TIME(2,58,26)</f>
        <v>41638.123912037037</v>
      </c>
      <c r="C2041">
        <v>80</v>
      </c>
      <c r="D2041">
        <v>76.295326232999997</v>
      </c>
      <c r="E2041">
        <v>50</v>
      </c>
      <c r="F2041">
        <v>49.979232787999997</v>
      </c>
      <c r="G2041">
        <v>1325.2862548999999</v>
      </c>
      <c r="H2041">
        <v>1322.2160644999999</v>
      </c>
      <c r="I2041">
        <v>1344.2785644999999</v>
      </c>
      <c r="J2041">
        <v>1340.0367432</v>
      </c>
      <c r="K2041">
        <v>0</v>
      </c>
      <c r="L2041">
        <v>2400</v>
      </c>
      <c r="M2041">
        <v>2400</v>
      </c>
      <c r="N2041">
        <v>0</v>
      </c>
    </row>
    <row r="2042" spans="1:14" x14ac:dyDescent="0.25">
      <c r="A2042">
        <v>1341</v>
      </c>
      <c r="B2042" s="1">
        <f>DATE(2014,1,1) + TIME(0,0,0)</f>
        <v>41640</v>
      </c>
      <c r="C2042">
        <v>80</v>
      </c>
      <c r="D2042">
        <v>76.208511353000006</v>
      </c>
      <c r="E2042">
        <v>50</v>
      </c>
      <c r="F2042">
        <v>49.979232787999997</v>
      </c>
      <c r="G2042">
        <v>1325.2213135</v>
      </c>
      <c r="H2042">
        <v>1322.1260986</v>
      </c>
      <c r="I2042">
        <v>1344.2714844</v>
      </c>
      <c r="J2042">
        <v>1340.0334473</v>
      </c>
      <c r="K2042">
        <v>0</v>
      </c>
      <c r="L2042">
        <v>2400</v>
      </c>
      <c r="M2042">
        <v>2400</v>
      </c>
      <c r="N2042">
        <v>0</v>
      </c>
    </row>
    <row r="2043" spans="1:14" x14ac:dyDescent="0.25">
      <c r="A2043">
        <v>1342.946445</v>
      </c>
      <c r="B2043" s="1">
        <f>DATE(2014,1,2) + TIME(22,42,52)</f>
        <v>41641.946435185186</v>
      </c>
      <c r="C2043">
        <v>80</v>
      </c>
      <c r="D2043">
        <v>76.120140075999998</v>
      </c>
      <c r="E2043">
        <v>50</v>
      </c>
      <c r="F2043">
        <v>49.979232787999997</v>
      </c>
      <c r="G2043">
        <v>1325.1560059000001</v>
      </c>
      <c r="H2043">
        <v>1322.0355225000001</v>
      </c>
      <c r="I2043">
        <v>1344.2645264</v>
      </c>
      <c r="J2043">
        <v>1340.0302733999999</v>
      </c>
      <c r="K2043">
        <v>0</v>
      </c>
      <c r="L2043">
        <v>2400</v>
      </c>
      <c r="M2043">
        <v>2400</v>
      </c>
      <c r="N2043">
        <v>0</v>
      </c>
    </row>
    <row r="2044" spans="1:14" x14ac:dyDescent="0.25">
      <c r="A2044">
        <v>1345.039708</v>
      </c>
      <c r="B2044" s="1">
        <f>DATE(2014,1,5) + TIME(0,57,10)</f>
        <v>41644.039699074077</v>
      </c>
      <c r="C2044">
        <v>80</v>
      </c>
      <c r="D2044">
        <v>76.028152465999995</v>
      </c>
      <c r="E2044">
        <v>50</v>
      </c>
      <c r="F2044">
        <v>49.979232787999997</v>
      </c>
      <c r="G2044">
        <v>1325.0893555</v>
      </c>
      <c r="H2044">
        <v>1321.9428711</v>
      </c>
      <c r="I2044">
        <v>1344.2575684000001</v>
      </c>
      <c r="J2044">
        <v>1340.0270995999999</v>
      </c>
      <c r="K2044">
        <v>0</v>
      </c>
      <c r="L2044">
        <v>2400</v>
      </c>
      <c r="M2044">
        <v>2400</v>
      </c>
      <c r="N2044">
        <v>0</v>
      </c>
    </row>
    <row r="2045" spans="1:14" x14ac:dyDescent="0.25">
      <c r="A2045">
        <v>1347.1856990000001</v>
      </c>
      <c r="B2045" s="1">
        <f>DATE(2014,1,7) + TIME(4,27,24)</f>
        <v>41646.185694444444</v>
      </c>
      <c r="C2045">
        <v>80</v>
      </c>
      <c r="D2045">
        <v>75.931152343999997</v>
      </c>
      <c r="E2045">
        <v>50</v>
      </c>
      <c r="F2045">
        <v>49.979236602999997</v>
      </c>
      <c r="G2045">
        <v>1325.0192870999999</v>
      </c>
      <c r="H2045">
        <v>1321.8460693</v>
      </c>
      <c r="I2045">
        <v>1344.2503661999999</v>
      </c>
      <c r="J2045">
        <v>1340.0236815999999</v>
      </c>
      <c r="K2045">
        <v>0</v>
      </c>
      <c r="L2045">
        <v>2400</v>
      </c>
      <c r="M2045">
        <v>2400</v>
      </c>
      <c r="N2045">
        <v>0</v>
      </c>
    </row>
    <row r="2046" spans="1:14" x14ac:dyDescent="0.25">
      <c r="A2046">
        <v>1349.377416</v>
      </c>
      <c r="B2046" s="1">
        <f>DATE(2014,1,9) + TIME(9,3,28)</f>
        <v>41648.37740740741</v>
      </c>
      <c r="C2046">
        <v>80</v>
      </c>
      <c r="D2046">
        <v>75.830970764</v>
      </c>
      <c r="E2046">
        <v>50</v>
      </c>
      <c r="F2046">
        <v>49.979236602999997</v>
      </c>
      <c r="G2046">
        <v>1324.9477539</v>
      </c>
      <c r="H2046">
        <v>1321.7469481999999</v>
      </c>
      <c r="I2046">
        <v>1344.2430420000001</v>
      </c>
      <c r="J2046">
        <v>1340.0203856999999</v>
      </c>
      <c r="K2046">
        <v>0</v>
      </c>
      <c r="L2046">
        <v>2400</v>
      </c>
      <c r="M2046">
        <v>2400</v>
      </c>
      <c r="N2046">
        <v>0</v>
      </c>
    </row>
    <row r="2047" spans="1:14" x14ac:dyDescent="0.25">
      <c r="A2047">
        <v>1351.6306649999999</v>
      </c>
      <c r="B2047" s="1">
        <f>DATE(2014,1,11) + TIME(15,8,9)</f>
        <v>41650.630659722221</v>
      </c>
      <c r="C2047">
        <v>80</v>
      </c>
      <c r="D2047">
        <v>75.727973938000005</v>
      </c>
      <c r="E2047">
        <v>50</v>
      </c>
      <c r="F2047">
        <v>49.979240417</v>
      </c>
      <c r="G2047">
        <v>1324.8752440999999</v>
      </c>
      <c r="H2047">
        <v>1321.6466064000001</v>
      </c>
      <c r="I2047">
        <v>1344.2358397999999</v>
      </c>
      <c r="J2047">
        <v>1340.0169678</v>
      </c>
      <c r="K2047">
        <v>0</v>
      </c>
      <c r="L2047">
        <v>2400</v>
      </c>
      <c r="M2047">
        <v>2400</v>
      </c>
      <c r="N2047">
        <v>0</v>
      </c>
    </row>
    <row r="2048" spans="1:14" x14ac:dyDescent="0.25">
      <c r="A2048">
        <v>1353.9426020000001</v>
      </c>
      <c r="B2048" s="1">
        <f>DATE(2014,1,13) + TIME(22,37,20)</f>
        <v>41652.94259259259</v>
      </c>
      <c r="C2048">
        <v>80</v>
      </c>
      <c r="D2048">
        <v>75.621772766000007</v>
      </c>
      <c r="E2048">
        <v>50</v>
      </c>
      <c r="F2048">
        <v>49.979244231999999</v>
      </c>
      <c r="G2048">
        <v>1324.8017577999999</v>
      </c>
      <c r="H2048">
        <v>1321.5447998</v>
      </c>
      <c r="I2048">
        <v>1344.2286377</v>
      </c>
      <c r="J2048">
        <v>1340.0136719</v>
      </c>
      <c r="K2048">
        <v>0</v>
      </c>
      <c r="L2048">
        <v>2400</v>
      </c>
      <c r="M2048">
        <v>2400</v>
      </c>
      <c r="N2048">
        <v>0</v>
      </c>
    </row>
    <row r="2049" spans="1:14" x14ac:dyDescent="0.25">
      <c r="A2049">
        <v>1356.280276</v>
      </c>
      <c r="B2049" s="1">
        <f>DATE(2014,1,16) + TIME(6,43,35)</f>
        <v>41655.280266203707</v>
      </c>
      <c r="C2049">
        <v>80</v>
      </c>
      <c r="D2049">
        <v>75.512535095000004</v>
      </c>
      <c r="E2049">
        <v>50</v>
      </c>
      <c r="F2049">
        <v>49.979248046999999</v>
      </c>
      <c r="G2049">
        <v>1324.7272949000001</v>
      </c>
      <c r="H2049">
        <v>1321.4418945</v>
      </c>
      <c r="I2049">
        <v>1344.2213135</v>
      </c>
      <c r="J2049">
        <v>1340.010376</v>
      </c>
      <c r="K2049">
        <v>0</v>
      </c>
      <c r="L2049">
        <v>2400</v>
      </c>
      <c r="M2049">
        <v>2400</v>
      </c>
      <c r="N2049">
        <v>0</v>
      </c>
    </row>
    <row r="2050" spans="1:14" x14ac:dyDescent="0.25">
      <c r="A2050">
        <v>1358.662844</v>
      </c>
      <c r="B2050" s="1">
        <f>DATE(2014,1,18) + TIME(15,54,29)</f>
        <v>41657.662835648145</v>
      </c>
      <c r="C2050">
        <v>80</v>
      </c>
      <c r="D2050">
        <v>75.400840759000005</v>
      </c>
      <c r="E2050">
        <v>50</v>
      </c>
      <c r="F2050">
        <v>49.979251861999998</v>
      </c>
      <c r="G2050">
        <v>1324.6527100000001</v>
      </c>
      <c r="H2050">
        <v>1321.3386230000001</v>
      </c>
      <c r="I2050">
        <v>1344.2142334</v>
      </c>
      <c r="J2050">
        <v>1340.0070800999999</v>
      </c>
      <c r="K2050">
        <v>0</v>
      </c>
      <c r="L2050">
        <v>2400</v>
      </c>
      <c r="M2050">
        <v>2400</v>
      </c>
      <c r="N2050">
        <v>0</v>
      </c>
    </row>
    <row r="2051" spans="1:14" x14ac:dyDescent="0.25">
      <c r="A2051">
        <v>1361.113711</v>
      </c>
      <c r="B2051" s="1">
        <f>DATE(2014,1,21) + TIME(2,43,44)</f>
        <v>41660.113703703704</v>
      </c>
      <c r="C2051">
        <v>80</v>
      </c>
      <c r="D2051">
        <v>75.285972595000004</v>
      </c>
      <c r="E2051">
        <v>50</v>
      </c>
      <c r="F2051">
        <v>49.979255676000001</v>
      </c>
      <c r="G2051">
        <v>1324.5777588000001</v>
      </c>
      <c r="H2051">
        <v>1321.2349853999999</v>
      </c>
      <c r="I2051">
        <v>1344.2071533000001</v>
      </c>
      <c r="J2051">
        <v>1340.0037841999999</v>
      </c>
      <c r="K2051">
        <v>0</v>
      </c>
      <c r="L2051">
        <v>2400</v>
      </c>
      <c r="M2051">
        <v>2400</v>
      </c>
      <c r="N2051">
        <v>0</v>
      </c>
    </row>
    <row r="2052" spans="1:14" x14ac:dyDescent="0.25">
      <c r="A2052">
        <v>1363.652386</v>
      </c>
      <c r="B2052" s="1">
        <f>DATE(2014,1,23) + TIME(15,39,26)</f>
        <v>41662.652384259258</v>
      </c>
      <c r="C2052">
        <v>80</v>
      </c>
      <c r="D2052">
        <v>75.166786193999997</v>
      </c>
      <c r="E2052">
        <v>50</v>
      </c>
      <c r="F2052">
        <v>49.979259491000001</v>
      </c>
      <c r="G2052">
        <v>1324.5019531</v>
      </c>
      <c r="H2052">
        <v>1321.130249</v>
      </c>
      <c r="I2052">
        <v>1344.1999512</v>
      </c>
      <c r="J2052">
        <v>1340.0004882999999</v>
      </c>
      <c r="K2052">
        <v>0</v>
      </c>
      <c r="L2052">
        <v>2400</v>
      </c>
      <c r="M2052">
        <v>2400</v>
      </c>
      <c r="N2052">
        <v>0</v>
      </c>
    </row>
    <row r="2053" spans="1:14" x14ac:dyDescent="0.25">
      <c r="A2053">
        <v>1366.238278</v>
      </c>
      <c r="B2053" s="1">
        <f>DATE(2014,1,26) + TIME(5,43,7)</f>
        <v>41665.238275462965</v>
      </c>
      <c r="C2053">
        <v>80</v>
      </c>
      <c r="D2053">
        <v>75.042732239000003</v>
      </c>
      <c r="E2053">
        <v>50</v>
      </c>
      <c r="F2053">
        <v>49.979263306</v>
      </c>
      <c r="G2053">
        <v>1324.4246826000001</v>
      </c>
      <c r="H2053">
        <v>1321.0236815999999</v>
      </c>
      <c r="I2053">
        <v>1344.192749</v>
      </c>
      <c r="J2053">
        <v>1339.9971923999999</v>
      </c>
      <c r="K2053">
        <v>0</v>
      </c>
      <c r="L2053">
        <v>2400</v>
      </c>
      <c r="M2053">
        <v>2400</v>
      </c>
      <c r="N2053">
        <v>0</v>
      </c>
    </row>
    <row r="2054" spans="1:14" x14ac:dyDescent="0.25">
      <c r="A2054">
        <v>1368.876342</v>
      </c>
      <c r="B2054" s="1">
        <f>DATE(2014,1,28) + TIME(21,1,55)</f>
        <v>41667.876331018517</v>
      </c>
      <c r="C2054">
        <v>80</v>
      </c>
      <c r="D2054">
        <v>74.914489746000001</v>
      </c>
      <c r="E2054">
        <v>50</v>
      </c>
      <c r="F2054">
        <v>49.979270935000002</v>
      </c>
      <c r="G2054">
        <v>1324.3469238</v>
      </c>
      <c r="H2054">
        <v>1320.9162598</v>
      </c>
      <c r="I2054">
        <v>1344.1855469</v>
      </c>
      <c r="J2054">
        <v>1339.9938964999999</v>
      </c>
      <c r="K2054">
        <v>0</v>
      </c>
      <c r="L2054">
        <v>2400</v>
      </c>
      <c r="M2054">
        <v>2400</v>
      </c>
      <c r="N2054">
        <v>0</v>
      </c>
    </row>
    <row r="2055" spans="1:14" x14ac:dyDescent="0.25">
      <c r="A2055">
        <v>1371.587522</v>
      </c>
      <c r="B2055" s="1">
        <f>DATE(2014,1,31) + TIME(14,6,1)</f>
        <v>41670.587511574071</v>
      </c>
      <c r="C2055">
        <v>80</v>
      </c>
      <c r="D2055">
        <v>74.781784058</v>
      </c>
      <c r="E2055">
        <v>50</v>
      </c>
      <c r="F2055">
        <v>49.979278563999998</v>
      </c>
      <c r="G2055">
        <v>1324.2686768000001</v>
      </c>
      <c r="H2055">
        <v>1320.8082274999999</v>
      </c>
      <c r="I2055">
        <v>1344.1783447</v>
      </c>
      <c r="J2055">
        <v>1339.9904785000001</v>
      </c>
      <c r="K2055">
        <v>0</v>
      </c>
      <c r="L2055">
        <v>2400</v>
      </c>
      <c r="M2055">
        <v>2400</v>
      </c>
      <c r="N2055">
        <v>0</v>
      </c>
    </row>
    <row r="2056" spans="1:14" x14ac:dyDescent="0.25">
      <c r="A2056">
        <v>1372</v>
      </c>
      <c r="B2056" s="1">
        <f>DATE(2014,2,1) + TIME(0,0,0)</f>
        <v>41671</v>
      </c>
      <c r="C2056">
        <v>80</v>
      </c>
      <c r="D2056">
        <v>74.715065002000003</v>
      </c>
      <c r="E2056">
        <v>50</v>
      </c>
      <c r="F2056">
        <v>49.979270935000002</v>
      </c>
      <c r="G2056">
        <v>1324.1962891000001</v>
      </c>
      <c r="H2056">
        <v>1320.7139893000001</v>
      </c>
      <c r="I2056">
        <v>1344.1708983999999</v>
      </c>
      <c r="J2056">
        <v>1339.9869385</v>
      </c>
      <c r="K2056">
        <v>0</v>
      </c>
      <c r="L2056">
        <v>2400</v>
      </c>
      <c r="M2056">
        <v>2400</v>
      </c>
      <c r="N2056">
        <v>0</v>
      </c>
    </row>
    <row r="2057" spans="1:14" x14ac:dyDescent="0.25">
      <c r="A2057">
        <v>1374.806961</v>
      </c>
      <c r="B2057" s="1">
        <f>DATE(2014,2,3) + TIME(19,22,1)</f>
        <v>41673.806956018518</v>
      </c>
      <c r="C2057">
        <v>80</v>
      </c>
      <c r="D2057">
        <v>74.613868713000002</v>
      </c>
      <c r="E2057">
        <v>50</v>
      </c>
      <c r="F2057">
        <v>49.979286193999997</v>
      </c>
      <c r="G2057">
        <v>1324.1696777</v>
      </c>
      <c r="H2057">
        <v>1320.6687012</v>
      </c>
      <c r="I2057">
        <v>1344.1700439000001</v>
      </c>
      <c r="J2057">
        <v>1339.9865723</v>
      </c>
      <c r="K2057">
        <v>0</v>
      </c>
      <c r="L2057">
        <v>2400</v>
      </c>
      <c r="M2057">
        <v>2400</v>
      </c>
      <c r="N2057">
        <v>0</v>
      </c>
    </row>
    <row r="2058" spans="1:14" x14ac:dyDescent="0.25">
      <c r="A2058">
        <v>1377.7220070000001</v>
      </c>
      <c r="B2058" s="1">
        <f>DATE(2014,2,6) + TIME(17,19,41)</f>
        <v>41676.722002314818</v>
      </c>
      <c r="C2058">
        <v>80</v>
      </c>
      <c r="D2058">
        <v>74.475639342999997</v>
      </c>
      <c r="E2058">
        <v>50</v>
      </c>
      <c r="F2058">
        <v>49.979293822999999</v>
      </c>
      <c r="G2058">
        <v>1324.0957031</v>
      </c>
      <c r="H2058">
        <v>1320.5690918</v>
      </c>
      <c r="I2058">
        <v>1344.1627197</v>
      </c>
      <c r="J2058">
        <v>1339.9831543</v>
      </c>
      <c r="K2058">
        <v>0</v>
      </c>
      <c r="L2058">
        <v>2400</v>
      </c>
      <c r="M2058">
        <v>2400</v>
      </c>
      <c r="N2058">
        <v>0</v>
      </c>
    </row>
    <row r="2059" spans="1:14" x14ac:dyDescent="0.25">
      <c r="A2059">
        <v>1380.673301</v>
      </c>
      <c r="B2059" s="1">
        <f>DATE(2014,2,9) + TIME(16,9,33)</f>
        <v>41679.673298611109</v>
      </c>
      <c r="C2059">
        <v>80</v>
      </c>
      <c r="D2059">
        <v>74.324401855000005</v>
      </c>
      <c r="E2059">
        <v>50</v>
      </c>
      <c r="F2059">
        <v>49.979301452999998</v>
      </c>
      <c r="G2059">
        <v>1324.0151367000001</v>
      </c>
      <c r="H2059">
        <v>1320.4586182</v>
      </c>
      <c r="I2059">
        <v>1344.1551514</v>
      </c>
      <c r="J2059">
        <v>1339.9796143000001</v>
      </c>
      <c r="K2059">
        <v>0</v>
      </c>
      <c r="L2059">
        <v>2400</v>
      </c>
      <c r="M2059">
        <v>2400</v>
      </c>
      <c r="N2059">
        <v>0</v>
      </c>
    </row>
    <row r="2060" spans="1:14" x14ac:dyDescent="0.25">
      <c r="A2060">
        <v>1383.681687</v>
      </c>
      <c r="B2060" s="1">
        <f>DATE(2014,2,12) + TIME(16,21,37)</f>
        <v>41682.68167824074</v>
      </c>
      <c r="C2060">
        <v>80</v>
      </c>
      <c r="D2060">
        <v>74.167098999000004</v>
      </c>
      <c r="E2060">
        <v>50</v>
      </c>
      <c r="F2060">
        <v>49.979312897</v>
      </c>
      <c r="G2060">
        <v>1323.9333495999999</v>
      </c>
      <c r="H2060">
        <v>1320.3460693</v>
      </c>
      <c r="I2060">
        <v>1344.1477050999999</v>
      </c>
      <c r="J2060">
        <v>1339.9760742000001</v>
      </c>
      <c r="K2060">
        <v>0</v>
      </c>
      <c r="L2060">
        <v>2400</v>
      </c>
      <c r="M2060">
        <v>2400</v>
      </c>
      <c r="N2060">
        <v>0</v>
      </c>
    </row>
    <row r="2061" spans="1:14" x14ac:dyDescent="0.25">
      <c r="A2061">
        <v>1386.7653459999999</v>
      </c>
      <c r="B2061" s="1">
        <f>DATE(2014,2,15) + TIME(18,22,5)</f>
        <v>41685.765335648146</v>
      </c>
      <c r="C2061">
        <v>80</v>
      </c>
      <c r="D2061">
        <v>74.003837584999999</v>
      </c>
      <c r="E2061">
        <v>50</v>
      </c>
      <c r="F2061">
        <v>49.979320526000002</v>
      </c>
      <c r="G2061">
        <v>1323.8513184000001</v>
      </c>
      <c r="H2061">
        <v>1320.2330322</v>
      </c>
      <c r="I2061">
        <v>1344.1402588000001</v>
      </c>
      <c r="J2061">
        <v>1339.9724120999999</v>
      </c>
      <c r="K2061">
        <v>0</v>
      </c>
      <c r="L2061">
        <v>2400</v>
      </c>
      <c r="M2061">
        <v>2400</v>
      </c>
      <c r="N2061">
        <v>0</v>
      </c>
    </row>
    <row r="2062" spans="1:14" x14ac:dyDescent="0.25">
      <c r="A2062">
        <v>1389.8859709999999</v>
      </c>
      <c r="B2062" s="1">
        <f>DATE(2014,2,18) + TIME(21,15,47)</f>
        <v>41688.885960648149</v>
      </c>
      <c r="C2062">
        <v>80</v>
      </c>
      <c r="D2062">
        <v>73.834190368999998</v>
      </c>
      <c r="E2062">
        <v>50</v>
      </c>
      <c r="F2062">
        <v>49.979331969999997</v>
      </c>
      <c r="G2062">
        <v>1323.7686768000001</v>
      </c>
      <c r="H2062">
        <v>1320.1192627</v>
      </c>
      <c r="I2062">
        <v>1344.1328125</v>
      </c>
      <c r="J2062">
        <v>1339.96875</v>
      </c>
      <c r="K2062">
        <v>0</v>
      </c>
      <c r="L2062">
        <v>2400</v>
      </c>
      <c r="M2062">
        <v>2400</v>
      </c>
      <c r="N2062">
        <v>0</v>
      </c>
    </row>
    <row r="2063" spans="1:14" x14ac:dyDescent="0.25">
      <c r="A2063">
        <v>1393.0756699999999</v>
      </c>
      <c r="B2063" s="1">
        <f>DATE(2014,2,22) + TIME(1,48,57)</f>
        <v>41692.075659722221</v>
      </c>
      <c r="C2063">
        <v>80</v>
      </c>
      <c r="D2063">
        <v>73.658981323000006</v>
      </c>
      <c r="E2063">
        <v>50</v>
      </c>
      <c r="F2063">
        <v>49.979339600000003</v>
      </c>
      <c r="G2063">
        <v>1323.6862793</v>
      </c>
      <c r="H2063">
        <v>1320.0057373</v>
      </c>
      <c r="I2063">
        <v>1344.1253661999999</v>
      </c>
      <c r="J2063">
        <v>1339.9650879000001</v>
      </c>
      <c r="K2063">
        <v>0</v>
      </c>
      <c r="L2063">
        <v>2400</v>
      </c>
      <c r="M2063">
        <v>2400</v>
      </c>
      <c r="N2063">
        <v>0</v>
      </c>
    </row>
    <row r="2064" spans="1:14" x14ac:dyDescent="0.25">
      <c r="A2064">
        <v>1396.36069</v>
      </c>
      <c r="B2064" s="1">
        <f>DATE(2014,2,25) + TIME(8,39,23)</f>
        <v>41695.360682870371</v>
      </c>
      <c r="C2064">
        <v>80</v>
      </c>
      <c r="D2064">
        <v>73.476783752000003</v>
      </c>
      <c r="E2064">
        <v>50</v>
      </c>
      <c r="F2064">
        <v>49.979351043999998</v>
      </c>
      <c r="G2064">
        <v>1323.6037598</v>
      </c>
      <c r="H2064">
        <v>1319.8920897999999</v>
      </c>
      <c r="I2064">
        <v>1344.1177978999999</v>
      </c>
      <c r="J2064">
        <v>1339.9614257999999</v>
      </c>
      <c r="K2064">
        <v>0</v>
      </c>
      <c r="L2064">
        <v>2400</v>
      </c>
      <c r="M2064">
        <v>2400</v>
      </c>
      <c r="N2064">
        <v>0</v>
      </c>
    </row>
    <row r="2065" spans="1:14" x14ac:dyDescent="0.25">
      <c r="A2065">
        <v>1399.7696940000001</v>
      </c>
      <c r="B2065" s="1">
        <f>DATE(2014,2,28) + TIME(18,28,21)</f>
        <v>41698.769687499997</v>
      </c>
      <c r="C2065">
        <v>80</v>
      </c>
      <c r="D2065">
        <v>73.285842896000005</v>
      </c>
      <c r="E2065">
        <v>50</v>
      </c>
      <c r="F2065">
        <v>49.979362488</v>
      </c>
      <c r="G2065">
        <v>1323.5203856999999</v>
      </c>
      <c r="H2065">
        <v>1319.7774658000001</v>
      </c>
      <c r="I2065">
        <v>1344.1101074000001</v>
      </c>
      <c r="J2065">
        <v>1339.9575195</v>
      </c>
      <c r="K2065">
        <v>0</v>
      </c>
      <c r="L2065">
        <v>2400</v>
      </c>
      <c r="M2065">
        <v>2400</v>
      </c>
      <c r="N2065">
        <v>0</v>
      </c>
    </row>
    <row r="2066" spans="1:14" x14ac:dyDescent="0.25">
      <c r="A2066">
        <v>1400</v>
      </c>
      <c r="B2066" s="1">
        <f>DATE(2014,3,1) + TIME(0,0,0)</f>
        <v>41699</v>
      </c>
      <c r="C2066">
        <v>80</v>
      </c>
      <c r="D2066">
        <v>73.220443725999999</v>
      </c>
      <c r="E2066">
        <v>50</v>
      </c>
      <c r="F2066">
        <v>49.979358673</v>
      </c>
      <c r="G2066">
        <v>1323.4432373</v>
      </c>
      <c r="H2066">
        <v>1319.6810303</v>
      </c>
      <c r="I2066">
        <v>1344.1021728999999</v>
      </c>
      <c r="J2066">
        <v>1339.9533690999999</v>
      </c>
      <c r="K2066">
        <v>0</v>
      </c>
      <c r="L2066">
        <v>2400</v>
      </c>
      <c r="M2066">
        <v>2400</v>
      </c>
      <c r="N2066">
        <v>0</v>
      </c>
    </row>
    <row r="2067" spans="1:14" x14ac:dyDescent="0.25">
      <c r="A2067">
        <v>1403.5659029999999</v>
      </c>
      <c r="B2067" s="1">
        <f>DATE(2014,3,4) + TIME(13,34,53)</f>
        <v>41702.565891203703</v>
      </c>
      <c r="C2067">
        <v>80</v>
      </c>
      <c r="D2067">
        <v>73.062873839999995</v>
      </c>
      <c r="E2067">
        <v>50</v>
      </c>
      <c r="F2067">
        <v>49.979377747000001</v>
      </c>
      <c r="G2067">
        <v>1323.4239502</v>
      </c>
      <c r="H2067">
        <v>1319.6422118999999</v>
      </c>
      <c r="I2067">
        <v>1344.1018065999999</v>
      </c>
      <c r="J2067">
        <v>1339.9533690999999</v>
      </c>
      <c r="K2067">
        <v>0</v>
      </c>
      <c r="L2067">
        <v>2400</v>
      </c>
      <c r="M2067">
        <v>2400</v>
      </c>
      <c r="N2067">
        <v>0</v>
      </c>
    </row>
    <row r="2068" spans="1:14" x14ac:dyDescent="0.25">
      <c r="A2068">
        <v>1405.4087050000001</v>
      </c>
      <c r="B2068" s="1">
        <f>DATE(2014,3,6) + TIME(9,48,32)</f>
        <v>41704.408703703702</v>
      </c>
      <c r="C2068">
        <v>80</v>
      </c>
      <c r="D2068">
        <v>72.880355835000003</v>
      </c>
      <c r="E2068">
        <v>50</v>
      </c>
      <c r="F2068">
        <v>49.979377747000001</v>
      </c>
      <c r="G2068">
        <v>1323.3441161999999</v>
      </c>
      <c r="H2068">
        <v>1319.5366211</v>
      </c>
      <c r="I2068">
        <v>1344.0936279</v>
      </c>
      <c r="J2068">
        <v>1339.9490966999999</v>
      </c>
      <c r="K2068">
        <v>0</v>
      </c>
      <c r="L2068">
        <v>2400</v>
      </c>
      <c r="M2068">
        <v>2400</v>
      </c>
      <c r="N2068">
        <v>0</v>
      </c>
    </row>
    <row r="2069" spans="1:14" x14ac:dyDescent="0.25">
      <c r="A2069">
        <v>1408.186573</v>
      </c>
      <c r="B2069" s="1">
        <f>DATE(2014,3,9) + TIME(4,28,39)</f>
        <v>41707.186562499999</v>
      </c>
      <c r="C2069">
        <v>80</v>
      </c>
      <c r="D2069">
        <v>72.738143921000002</v>
      </c>
      <c r="E2069">
        <v>50</v>
      </c>
      <c r="F2069">
        <v>49.979389191000003</v>
      </c>
      <c r="G2069">
        <v>1323.2899170000001</v>
      </c>
      <c r="H2069">
        <v>1319.4570312000001</v>
      </c>
      <c r="I2069">
        <v>1344.0895995999999</v>
      </c>
      <c r="J2069">
        <v>1339.9470214999999</v>
      </c>
      <c r="K2069">
        <v>0</v>
      </c>
      <c r="L2069">
        <v>2400</v>
      </c>
      <c r="M2069">
        <v>2400</v>
      </c>
      <c r="N2069">
        <v>0</v>
      </c>
    </row>
    <row r="2070" spans="1:14" x14ac:dyDescent="0.25">
      <c r="A2070">
        <v>1411.850919</v>
      </c>
      <c r="B2070" s="1">
        <f>DATE(2014,3,12) + TIME(20,25,19)</f>
        <v>41710.850914351853</v>
      </c>
      <c r="C2070">
        <v>80</v>
      </c>
      <c r="D2070">
        <v>72.563446045000006</v>
      </c>
      <c r="E2070">
        <v>50</v>
      </c>
      <c r="F2070">
        <v>49.979408264</v>
      </c>
      <c r="G2070">
        <v>1323.2261963000001</v>
      </c>
      <c r="H2070">
        <v>1319.3701172000001</v>
      </c>
      <c r="I2070">
        <v>1344.0834961</v>
      </c>
      <c r="J2070">
        <v>1339.9437256000001</v>
      </c>
      <c r="K2070">
        <v>0</v>
      </c>
      <c r="L2070">
        <v>2400</v>
      </c>
      <c r="M2070">
        <v>2400</v>
      </c>
      <c r="N2070">
        <v>0</v>
      </c>
    </row>
    <row r="2071" spans="1:14" x14ac:dyDescent="0.25">
      <c r="A2071">
        <v>1415.5452230000001</v>
      </c>
      <c r="B2071" s="1">
        <f>DATE(2014,3,16) + TIME(13,5,7)</f>
        <v>41714.545219907406</v>
      </c>
      <c r="C2071">
        <v>80</v>
      </c>
      <c r="D2071">
        <v>72.339981078999998</v>
      </c>
      <c r="E2071">
        <v>50</v>
      </c>
      <c r="F2071">
        <v>49.979423523000001</v>
      </c>
      <c r="G2071">
        <v>1323.1463623</v>
      </c>
      <c r="H2071">
        <v>1319.2625731999999</v>
      </c>
      <c r="I2071">
        <v>1344.0754394999999</v>
      </c>
      <c r="J2071">
        <v>1339.9395752</v>
      </c>
      <c r="K2071">
        <v>0</v>
      </c>
      <c r="L2071">
        <v>2400</v>
      </c>
      <c r="M2071">
        <v>2400</v>
      </c>
      <c r="N2071">
        <v>0</v>
      </c>
    </row>
    <row r="2072" spans="1:14" x14ac:dyDescent="0.25">
      <c r="A2072">
        <v>1419.3033029999999</v>
      </c>
      <c r="B2072" s="1">
        <f>DATE(2014,3,20) + TIME(7,16,45)</f>
        <v>41718.303298611114</v>
      </c>
      <c r="C2072">
        <v>80</v>
      </c>
      <c r="D2072">
        <v>72.104003906000003</v>
      </c>
      <c r="E2072">
        <v>50</v>
      </c>
      <c r="F2072">
        <v>49.979438782000003</v>
      </c>
      <c r="G2072">
        <v>1323.0626221</v>
      </c>
      <c r="H2072">
        <v>1319.1477050999999</v>
      </c>
      <c r="I2072">
        <v>1344.0673827999999</v>
      </c>
      <c r="J2072">
        <v>1339.9351807</v>
      </c>
      <c r="K2072">
        <v>0</v>
      </c>
      <c r="L2072">
        <v>2400</v>
      </c>
      <c r="M2072">
        <v>2400</v>
      </c>
      <c r="N2072">
        <v>0</v>
      </c>
    </row>
    <row r="2073" spans="1:14" x14ac:dyDescent="0.25">
      <c r="A2073">
        <v>1423.176999</v>
      </c>
      <c r="B2073" s="1">
        <f>DATE(2014,3,24) + TIME(4,14,52)</f>
        <v>41722.176990740743</v>
      </c>
      <c r="C2073">
        <v>80</v>
      </c>
      <c r="D2073">
        <v>71.858680724999999</v>
      </c>
      <c r="E2073">
        <v>50</v>
      </c>
      <c r="F2073">
        <v>49.979454040999997</v>
      </c>
      <c r="G2073">
        <v>1322.9786377</v>
      </c>
      <c r="H2073">
        <v>1319.0321045000001</v>
      </c>
      <c r="I2073">
        <v>1344.0592041</v>
      </c>
      <c r="J2073">
        <v>1339.9307861</v>
      </c>
      <c r="K2073">
        <v>0</v>
      </c>
      <c r="L2073">
        <v>2400</v>
      </c>
      <c r="M2073">
        <v>2400</v>
      </c>
      <c r="N2073">
        <v>0</v>
      </c>
    </row>
    <row r="2074" spans="1:14" x14ac:dyDescent="0.25">
      <c r="A2074">
        <v>1427.2010110000001</v>
      </c>
      <c r="B2074" s="1">
        <f>DATE(2014,3,28) + TIME(4,49,27)</f>
        <v>41726.201006944444</v>
      </c>
      <c r="C2074">
        <v>80</v>
      </c>
      <c r="D2074">
        <v>71.601188660000005</v>
      </c>
      <c r="E2074">
        <v>50</v>
      </c>
      <c r="F2074">
        <v>49.979469299000002</v>
      </c>
      <c r="G2074">
        <v>1322.894043</v>
      </c>
      <c r="H2074">
        <v>1318.9157714999999</v>
      </c>
      <c r="I2074">
        <v>1344.0510254000001</v>
      </c>
      <c r="J2074">
        <v>1339.9262695</v>
      </c>
      <c r="K2074">
        <v>0</v>
      </c>
      <c r="L2074">
        <v>2400</v>
      </c>
      <c r="M2074">
        <v>2400</v>
      </c>
      <c r="N2074">
        <v>0</v>
      </c>
    </row>
    <row r="2075" spans="1:14" x14ac:dyDescent="0.25">
      <c r="A2075">
        <v>1431</v>
      </c>
      <c r="B2075" s="1">
        <f>DATE(2014,4,1) + TIME(0,0,0)</f>
        <v>41730</v>
      </c>
      <c r="C2075">
        <v>80</v>
      </c>
      <c r="D2075">
        <v>71.332473754999995</v>
      </c>
      <c r="E2075">
        <v>50</v>
      </c>
      <c r="F2075">
        <v>49.979484558000003</v>
      </c>
      <c r="G2075">
        <v>1322.8084716999999</v>
      </c>
      <c r="H2075">
        <v>1318.7983397999999</v>
      </c>
      <c r="I2075">
        <v>1344.0424805</v>
      </c>
      <c r="J2075">
        <v>1339.9215088000001</v>
      </c>
      <c r="K2075">
        <v>0</v>
      </c>
      <c r="L2075">
        <v>2400</v>
      </c>
      <c r="M2075">
        <v>2400</v>
      </c>
      <c r="N2075">
        <v>0</v>
      </c>
    </row>
    <row r="2076" spans="1:14" x14ac:dyDescent="0.25">
      <c r="A2076">
        <v>1435.1927109999999</v>
      </c>
      <c r="B2076" s="1">
        <f>DATE(2014,4,5) + TIME(4,37,30)</f>
        <v>41734.192708333336</v>
      </c>
      <c r="C2076">
        <v>80</v>
      </c>
      <c r="D2076">
        <v>71.065948485999996</v>
      </c>
      <c r="E2076">
        <v>50</v>
      </c>
      <c r="F2076">
        <v>49.979503631999997</v>
      </c>
      <c r="G2076">
        <v>1322.7272949000001</v>
      </c>
      <c r="H2076">
        <v>1318.6856689000001</v>
      </c>
      <c r="I2076">
        <v>1344.0345459</v>
      </c>
      <c r="J2076">
        <v>1339.9169922000001</v>
      </c>
      <c r="K2076">
        <v>0</v>
      </c>
      <c r="L2076">
        <v>2400</v>
      </c>
      <c r="M2076">
        <v>2400</v>
      </c>
      <c r="N2076">
        <v>0</v>
      </c>
    </row>
    <row r="2077" spans="1:14" x14ac:dyDescent="0.25">
      <c r="A2077">
        <v>1439.5949889999999</v>
      </c>
      <c r="B2077" s="1">
        <f>DATE(2014,4,9) + TIME(14,16,47)</f>
        <v>41738.594988425924</v>
      </c>
      <c r="C2077">
        <v>80</v>
      </c>
      <c r="D2077">
        <v>70.773750304999993</v>
      </c>
      <c r="E2077">
        <v>50</v>
      </c>
      <c r="F2077">
        <v>49.97952652</v>
      </c>
      <c r="G2077">
        <v>1322.6428223</v>
      </c>
      <c r="H2077">
        <v>1318.5700684000001</v>
      </c>
      <c r="I2077">
        <v>1344.0258789</v>
      </c>
      <c r="J2077">
        <v>1339.9121094</v>
      </c>
      <c r="K2077">
        <v>0</v>
      </c>
      <c r="L2077">
        <v>2400</v>
      </c>
      <c r="M2077">
        <v>2400</v>
      </c>
      <c r="N2077">
        <v>0</v>
      </c>
    </row>
    <row r="2078" spans="1:14" x14ac:dyDescent="0.25">
      <c r="A2078">
        <v>1444.007417</v>
      </c>
      <c r="B2078" s="1">
        <f>DATE(2014,4,14) + TIME(0,10,40)</f>
        <v>41743.007407407407</v>
      </c>
      <c r="C2078">
        <v>80</v>
      </c>
      <c r="D2078">
        <v>70.461257935000006</v>
      </c>
      <c r="E2078">
        <v>50</v>
      </c>
      <c r="F2078">
        <v>49.979545592999997</v>
      </c>
      <c r="G2078">
        <v>1322.5556641000001</v>
      </c>
      <c r="H2078">
        <v>1318.4504394999999</v>
      </c>
      <c r="I2078">
        <v>1344.0167236</v>
      </c>
      <c r="J2078">
        <v>1339.9067382999999</v>
      </c>
      <c r="K2078">
        <v>0</v>
      </c>
      <c r="L2078">
        <v>2400</v>
      </c>
      <c r="M2078">
        <v>2400</v>
      </c>
      <c r="N2078">
        <v>0</v>
      </c>
    </row>
    <row r="2079" spans="1:14" x14ac:dyDescent="0.25">
      <c r="A2079">
        <v>1448.465408</v>
      </c>
      <c r="B2079" s="1">
        <f>DATE(2014,4,18) + TIME(11,10,11)</f>
        <v>41747.465405092589</v>
      </c>
      <c r="C2079">
        <v>80</v>
      </c>
      <c r="D2079">
        <v>70.141654967999997</v>
      </c>
      <c r="E2079">
        <v>50</v>
      </c>
      <c r="F2079">
        <v>49.979564666999998</v>
      </c>
      <c r="G2079">
        <v>1322.4694824000001</v>
      </c>
      <c r="H2079">
        <v>1318.3316649999999</v>
      </c>
      <c r="I2079">
        <v>1344.0076904</v>
      </c>
      <c r="J2079">
        <v>1339.9014893000001</v>
      </c>
      <c r="K2079">
        <v>0</v>
      </c>
      <c r="L2079">
        <v>2400</v>
      </c>
      <c r="M2079">
        <v>2400</v>
      </c>
      <c r="N2079">
        <v>0</v>
      </c>
    </row>
    <row r="2080" spans="1:14" x14ac:dyDescent="0.25">
      <c r="A2080">
        <v>1453.006222</v>
      </c>
      <c r="B2080" s="1">
        <f>DATE(2014,4,23) + TIME(0,8,57)</f>
        <v>41752.006215277775</v>
      </c>
      <c r="C2080">
        <v>80</v>
      </c>
      <c r="D2080">
        <v>69.810157775999997</v>
      </c>
      <c r="E2080">
        <v>50</v>
      </c>
      <c r="F2080">
        <v>49.979583740000002</v>
      </c>
      <c r="G2080">
        <v>1322.3847656</v>
      </c>
      <c r="H2080">
        <v>1318.2145995999999</v>
      </c>
      <c r="I2080">
        <v>1343.9986572</v>
      </c>
      <c r="J2080">
        <v>1339.8961182</v>
      </c>
      <c r="K2080">
        <v>0</v>
      </c>
      <c r="L2080">
        <v>2400</v>
      </c>
      <c r="M2080">
        <v>2400</v>
      </c>
      <c r="N2080">
        <v>0</v>
      </c>
    </row>
    <row r="2081" spans="1:14" x14ac:dyDescent="0.25">
      <c r="A2081">
        <v>1457.716678</v>
      </c>
      <c r="B2081" s="1">
        <f>DATE(2014,4,27) + TIME(17,12,1)</f>
        <v>41756.716678240744</v>
      </c>
      <c r="C2081">
        <v>80</v>
      </c>
      <c r="D2081">
        <v>69.470039368000002</v>
      </c>
      <c r="E2081">
        <v>50</v>
      </c>
      <c r="F2081">
        <v>49.979606627999999</v>
      </c>
      <c r="G2081">
        <v>1322.3009033000001</v>
      </c>
      <c r="H2081">
        <v>1318.0987548999999</v>
      </c>
      <c r="I2081">
        <v>1343.9895019999999</v>
      </c>
      <c r="J2081">
        <v>1339.8905029</v>
      </c>
      <c r="K2081">
        <v>0</v>
      </c>
      <c r="L2081">
        <v>2400</v>
      </c>
      <c r="M2081">
        <v>2400</v>
      </c>
      <c r="N2081">
        <v>0</v>
      </c>
    </row>
    <row r="2082" spans="1:14" x14ac:dyDescent="0.25">
      <c r="A2082">
        <v>1461</v>
      </c>
      <c r="B2082" s="1">
        <f>DATE(2014,5,1) + TIME(0,0,0)</f>
        <v>41760</v>
      </c>
      <c r="C2082">
        <v>80</v>
      </c>
      <c r="D2082">
        <v>69.122093200999998</v>
      </c>
      <c r="E2082">
        <v>50</v>
      </c>
      <c r="F2082">
        <v>49.979618072999997</v>
      </c>
      <c r="G2082">
        <v>1322.2170410000001</v>
      </c>
      <c r="H2082">
        <v>1317.9841309000001</v>
      </c>
      <c r="I2082">
        <v>1343.9799805</v>
      </c>
      <c r="J2082">
        <v>1339.8846435999999</v>
      </c>
      <c r="K2082">
        <v>0</v>
      </c>
      <c r="L2082">
        <v>2400</v>
      </c>
      <c r="M2082">
        <v>2400</v>
      </c>
      <c r="N2082">
        <v>0</v>
      </c>
    </row>
    <row r="2083" spans="1:14" x14ac:dyDescent="0.25">
      <c r="A2083">
        <v>1461.0000010000001</v>
      </c>
      <c r="B2083" s="1">
        <f>DATE(2014,5,1) + TIME(0,0,0)</f>
        <v>41760</v>
      </c>
      <c r="C2083">
        <v>80</v>
      </c>
      <c r="D2083">
        <v>69.122253418</v>
      </c>
      <c r="E2083">
        <v>50</v>
      </c>
      <c r="F2083">
        <v>49.979522705000001</v>
      </c>
      <c r="G2083">
        <v>1327.5496826000001</v>
      </c>
      <c r="H2083">
        <v>1323.2822266000001</v>
      </c>
      <c r="I2083">
        <v>1339.1282959</v>
      </c>
      <c r="J2083">
        <v>1335.5546875</v>
      </c>
      <c r="K2083">
        <v>2400</v>
      </c>
      <c r="L2083">
        <v>0</v>
      </c>
      <c r="M2083">
        <v>0</v>
      </c>
      <c r="N2083">
        <v>2400</v>
      </c>
    </row>
    <row r="2084" spans="1:14" x14ac:dyDescent="0.25">
      <c r="A2084">
        <v>1461.000004</v>
      </c>
      <c r="B2084" s="1">
        <f>DATE(2014,5,1) + TIME(0,0,0)</f>
        <v>41760</v>
      </c>
      <c r="C2084">
        <v>80</v>
      </c>
      <c r="D2084">
        <v>69.122566223000007</v>
      </c>
      <c r="E2084">
        <v>50</v>
      </c>
      <c r="F2084">
        <v>49.979335785000004</v>
      </c>
      <c r="G2084">
        <v>1329.1680908000001</v>
      </c>
      <c r="H2084">
        <v>1325.1295166</v>
      </c>
      <c r="I2084">
        <v>1337.6463623</v>
      </c>
      <c r="J2084">
        <v>1334.0726318</v>
      </c>
      <c r="K2084">
        <v>2400</v>
      </c>
      <c r="L2084">
        <v>0</v>
      </c>
      <c r="M2084">
        <v>0</v>
      </c>
      <c r="N2084">
        <v>2400</v>
      </c>
    </row>
    <row r="2085" spans="1:14" x14ac:dyDescent="0.25">
      <c r="A2085">
        <v>1461.0000130000001</v>
      </c>
      <c r="B2085" s="1">
        <f>DATE(2014,5,1) + TIME(0,0,1)</f>
        <v>41760.000011574077</v>
      </c>
      <c r="C2085">
        <v>80</v>
      </c>
      <c r="D2085">
        <v>69.123046875</v>
      </c>
      <c r="E2085">
        <v>50</v>
      </c>
      <c r="F2085">
        <v>49.979072571000003</v>
      </c>
      <c r="G2085">
        <v>1331.4764404</v>
      </c>
      <c r="H2085">
        <v>1327.4747314000001</v>
      </c>
      <c r="I2085">
        <v>1335.5657959</v>
      </c>
      <c r="J2085">
        <v>1331.9924315999999</v>
      </c>
      <c r="K2085">
        <v>2400</v>
      </c>
      <c r="L2085">
        <v>0</v>
      </c>
      <c r="M2085">
        <v>0</v>
      </c>
      <c r="N2085">
        <v>2400</v>
      </c>
    </row>
    <row r="2086" spans="1:14" x14ac:dyDescent="0.25">
      <c r="A2086">
        <v>1461.0000399999999</v>
      </c>
      <c r="B2086" s="1">
        <f>DATE(2014,5,1) + TIME(0,0,3)</f>
        <v>41760.000034722223</v>
      </c>
      <c r="C2086">
        <v>80</v>
      </c>
      <c r="D2086">
        <v>69.123893738000007</v>
      </c>
      <c r="E2086">
        <v>50</v>
      </c>
      <c r="F2086">
        <v>49.978790283000002</v>
      </c>
      <c r="G2086">
        <v>1334.0289307</v>
      </c>
      <c r="H2086">
        <v>1329.9447021000001</v>
      </c>
      <c r="I2086">
        <v>1333.3242187999999</v>
      </c>
      <c r="J2086">
        <v>1329.7519531</v>
      </c>
      <c r="K2086">
        <v>2400</v>
      </c>
      <c r="L2086">
        <v>0</v>
      </c>
      <c r="M2086">
        <v>0</v>
      </c>
      <c r="N2086">
        <v>2400</v>
      </c>
    </row>
    <row r="2087" spans="1:14" x14ac:dyDescent="0.25">
      <c r="A2087">
        <v>1461.000121</v>
      </c>
      <c r="B2087" s="1">
        <f>DATE(2014,5,1) + TIME(0,0,10)</f>
        <v>41760.000115740739</v>
      </c>
      <c r="C2087">
        <v>80</v>
      </c>
      <c r="D2087">
        <v>69.125770568999997</v>
      </c>
      <c r="E2087">
        <v>50</v>
      </c>
      <c r="F2087">
        <v>49.978504180999998</v>
      </c>
      <c r="G2087">
        <v>1336.5865478999999</v>
      </c>
      <c r="H2087">
        <v>1332.4112548999999</v>
      </c>
      <c r="I2087">
        <v>1331.1065673999999</v>
      </c>
      <c r="J2087">
        <v>1327.5349120999999</v>
      </c>
      <c r="K2087">
        <v>2400</v>
      </c>
      <c r="L2087">
        <v>0</v>
      </c>
      <c r="M2087">
        <v>0</v>
      </c>
      <c r="N2087">
        <v>2400</v>
      </c>
    </row>
    <row r="2088" spans="1:14" x14ac:dyDescent="0.25">
      <c r="A2088">
        <v>1461.000364</v>
      </c>
      <c r="B2088" s="1">
        <f>DATE(2014,5,1) + TIME(0,0,31)</f>
        <v>41760.000358796293</v>
      </c>
      <c r="C2088">
        <v>80</v>
      </c>
      <c r="D2088">
        <v>69.130851746000005</v>
      </c>
      <c r="E2088">
        <v>50</v>
      </c>
      <c r="F2088">
        <v>49.97820282</v>
      </c>
      <c r="G2088">
        <v>1339.1370850000001</v>
      </c>
      <c r="H2088">
        <v>1334.8696289</v>
      </c>
      <c r="I2088">
        <v>1328.8936768000001</v>
      </c>
      <c r="J2088">
        <v>1325.3116454999999</v>
      </c>
      <c r="K2088">
        <v>2400</v>
      </c>
      <c r="L2088">
        <v>0</v>
      </c>
      <c r="M2088">
        <v>0</v>
      </c>
      <c r="N2088">
        <v>2400</v>
      </c>
    </row>
    <row r="2089" spans="1:14" x14ac:dyDescent="0.25">
      <c r="A2089">
        <v>1461.0010930000001</v>
      </c>
      <c r="B2089" s="1">
        <f>DATE(2014,5,1) + TIME(0,1,34)</f>
        <v>41760.001087962963</v>
      </c>
      <c r="C2089">
        <v>80</v>
      </c>
      <c r="D2089">
        <v>69.145706176999994</v>
      </c>
      <c r="E2089">
        <v>50</v>
      </c>
      <c r="F2089">
        <v>49.977855681999998</v>
      </c>
      <c r="G2089">
        <v>1341.6264647999999</v>
      </c>
      <c r="H2089">
        <v>1337.2611084</v>
      </c>
      <c r="I2089">
        <v>1326.6713867000001</v>
      </c>
      <c r="J2089">
        <v>1323.0498047000001</v>
      </c>
      <c r="K2089">
        <v>2400</v>
      </c>
      <c r="L2089">
        <v>0</v>
      </c>
      <c r="M2089">
        <v>0</v>
      </c>
      <c r="N2089">
        <v>2400</v>
      </c>
    </row>
    <row r="2090" spans="1:14" x14ac:dyDescent="0.25">
      <c r="A2090">
        <v>1461.0032799999999</v>
      </c>
      <c r="B2090" s="1">
        <f>DATE(2014,5,1) + TIME(0,4,43)</f>
        <v>41760.003275462965</v>
      </c>
      <c r="C2090">
        <v>80</v>
      </c>
      <c r="D2090">
        <v>69.190208435000002</v>
      </c>
      <c r="E2090">
        <v>50</v>
      </c>
      <c r="F2090">
        <v>49.977394103999998</v>
      </c>
      <c r="G2090">
        <v>1343.7292480000001</v>
      </c>
      <c r="H2090">
        <v>1339.2833252</v>
      </c>
      <c r="I2090">
        <v>1324.6557617000001</v>
      </c>
      <c r="J2090">
        <v>1320.9851074000001</v>
      </c>
      <c r="K2090">
        <v>2400</v>
      </c>
      <c r="L2090">
        <v>0</v>
      </c>
      <c r="M2090">
        <v>0</v>
      </c>
      <c r="N2090">
        <v>2400</v>
      </c>
    </row>
    <row r="2091" spans="1:14" x14ac:dyDescent="0.25">
      <c r="A2091">
        <v>1461.0098410000001</v>
      </c>
      <c r="B2091" s="1">
        <f>DATE(2014,5,1) + TIME(0,14,10)</f>
        <v>41760.009837962964</v>
      </c>
      <c r="C2091">
        <v>80</v>
      </c>
      <c r="D2091">
        <v>69.322608947999996</v>
      </c>
      <c r="E2091">
        <v>50</v>
      </c>
      <c r="F2091">
        <v>49.976615905999999</v>
      </c>
      <c r="G2091">
        <v>1344.9967041</v>
      </c>
      <c r="H2091">
        <v>1340.5192870999999</v>
      </c>
      <c r="I2091">
        <v>1323.3629149999999</v>
      </c>
      <c r="J2091">
        <v>1319.6661377</v>
      </c>
      <c r="K2091">
        <v>2400</v>
      </c>
      <c r="L2091">
        <v>0</v>
      </c>
      <c r="M2091">
        <v>0</v>
      </c>
      <c r="N2091">
        <v>2400</v>
      </c>
    </row>
    <row r="2092" spans="1:14" x14ac:dyDescent="0.25">
      <c r="A2092">
        <v>1461.029524</v>
      </c>
      <c r="B2092" s="1">
        <f>DATE(2014,5,1) + TIME(0,42,30)</f>
        <v>41760.029513888891</v>
      </c>
      <c r="C2092">
        <v>80</v>
      </c>
      <c r="D2092">
        <v>69.705131531000006</v>
      </c>
      <c r="E2092">
        <v>50</v>
      </c>
      <c r="F2092">
        <v>49.974739075000002</v>
      </c>
      <c r="G2092">
        <v>1345.3771973</v>
      </c>
      <c r="H2092">
        <v>1340.9227295000001</v>
      </c>
      <c r="I2092">
        <v>1322.9490966999999</v>
      </c>
      <c r="J2092">
        <v>1319.2453613</v>
      </c>
      <c r="K2092">
        <v>2400</v>
      </c>
      <c r="L2092">
        <v>0</v>
      </c>
      <c r="M2092">
        <v>0</v>
      </c>
      <c r="N2092">
        <v>2400</v>
      </c>
    </row>
    <row r="2093" spans="1:14" x14ac:dyDescent="0.25">
      <c r="A2093">
        <v>1461.0520730000001</v>
      </c>
      <c r="B2093" s="1">
        <f>DATE(2014,5,1) + TIME(1,14,59)</f>
        <v>41760.052071759259</v>
      </c>
      <c r="C2093">
        <v>80</v>
      </c>
      <c r="D2093">
        <v>70.125450134000005</v>
      </c>
      <c r="E2093">
        <v>50</v>
      </c>
      <c r="F2093">
        <v>49.972667694000002</v>
      </c>
      <c r="G2093">
        <v>1345.4011230000001</v>
      </c>
      <c r="H2093">
        <v>1340.9704589999999</v>
      </c>
      <c r="I2093">
        <v>1322.9038086</v>
      </c>
      <c r="J2093">
        <v>1319.1993408000001</v>
      </c>
      <c r="K2093">
        <v>2400</v>
      </c>
      <c r="L2093">
        <v>0</v>
      </c>
      <c r="M2093">
        <v>0</v>
      </c>
      <c r="N2093">
        <v>2400</v>
      </c>
    </row>
    <row r="2094" spans="1:14" x14ac:dyDescent="0.25">
      <c r="A2094">
        <v>1461.0750720000001</v>
      </c>
      <c r="B2094" s="1">
        <f>DATE(2014,5,1) + TIME(1,48,6)</f>
        <v>41760.075069444443</v>
      </c>
      <c r="C2094">
        <v>80</v>
      </c>
      <c r="D2094">
        <v>70.536392211999996</v>
      </c>
      <c r="E2094">
        <v>50</v>
      </c>
      <c r="F2094">
        <v>49.970573424999998</v>
      </c>
      <c r="G2094">
        <v>1345.3795166</v>
      </c>
      <c r="H2094">
        <v>1340.9702147999999</v>
      </c>
      <c r="I2094">
        <v>1322.9003906</v>
      </c>
      <c r="J2094">
        <v>1319.1958007999999</v>
      </c>
      <c r="K2094">
        <v>2400</v>
      </c>
      <c r="L2094">
        <v>0</v>
      </c>
      <c r="M2094">
        <v>0</v>
      </c>
      <c r="N2094">
        <v>2400</v>
      </c>
    </row>
    <row r="2095" spans="1:14" x14ac:dyDescent="0.25">
      <c r="A2095">
        <v>1461.0985439999999</v>
      </c>
      <c r="B2095" s="1">
        <f>DATE(2014,5,1) + TIME(2,21,54)</f>
        <v>41760.098541666666</v>
      </c>
      <c r="C2095">
        <v>80</v>
      </c>
      <c r="D2095">
        <v>70.938293457</v>
      </c>
      <c r="E2095">
        <v>50</v>
      </c>
      <c r="F2095">
        <v>49.968460082999997</v>
      </c>
      <c r="G2095">
        <v>1345.3530272999999</v>
      </c>
      <c r="H2095">
        <v>1340.9637451000001</v>
      </c>
      <c r="I2095">
        <v>1322.9005127</v>
      </c>
      <c r="J2095">
        <v>1319.1958007999999</v>
      </c>
      <c r="K2095">
        <v>2400</v>
      </c>
      <c r="L2095">
        <v>0</v>
      </c>
      <c r="M2095">
        <v>0</v>
      </c>
      <c r="N2095">
        <v>2400</v>
      </c>
    </row>
    <row r="2096" spans="1:14" x14ac:dyDescent="0.25">
      <c r="A2096">
        <v>1461.122513</v>
      </c>
      <c r="B2096" s="1">
        <f>DATE(2014,5,1) + TIME(2,56,25)</f>
        <v>41760.122511574074</v>
      </c>
      <c r="C2096">
        <v>80</v>
      </c>
      <c r="D2096">
        <v>71.331253051999994</v>
      </c>
      <c r="E2096">
        <v>50</v>
      </c>
      <c r="F2096">
        <v>49.966316223</v>
      </c>
      <c r="G2096">
        <v>1345.3276367000001</v>
      </c>
      <c r="H2096">
        <v>1340.9572754000001</v>
      </c>
      <c r="I2096">
        <v>1322.9006348</v>
      </c>
      <c r="J2096">
        <v>1319.1959228999999</v>
      </c>
      <c r="K2096">
        <v>2400</v>
      </c>
      <c r="L2096">
        <v>0</v>
      </c>
      <c r="M2096">
        <v>0</v>
      </c>
      <c r="N2096">
        <v>2400</v>
      </c>
    </row>
    <row r="2097" spans="1:14" x14ac:dyDescent="0.25">
      <c r="A2097">
        <v>1461.1470039999999</v>
      </c>
      <c r="B2097" s="1">
        <f>DATE(2014,5,1) + TIME(3,31,41)</f>
        <v>41760.147002314814</v>
      </c>
      <c r="C2097">
        <v>80</v>
      </c>
      <c r="D2097">
        <v>71.715362549000005</v>
      </c>
      <c r="E2097">
        <v>50</v>
      </c>
      <c r="F2097">
        <v>49.96414566</v>
      </c>
      <c r="G2097">
        <v>1345.3045654</v>
      </c>
      <c r="H2097">
        <v>1340.9519043</v>
      </c>
      <c r="I2097">
        <v>1322.9007568</v>
      </c>
      <c r="J2097">
        <v>1319.1959228999999</v>
      </c>
      <c r="K2097">
        <v>2400</v>
      </c>
      <c r="L2097">
        <v>0</v>
      </c>
      <c r="M2097">
        <v>0</v>
      </c>
      <c r="N2097">
        <v>2400</v>
      </c>
    </row>
    <row r="2098" spans="1:14" x14ac:dyDescent="0.25">
      <c r="A2098">
        <v>1461.172045</v>
      </c>
      <c r="B2098" s="1">
        <f>DATE(2014,5,1) + TIME(4,7,44)</f>
        <v>41760.172037037039</v>
      </c>
      <c r="C2098">
        <v>80</v>
      </c>
      <c r="D2098">
        <v>72.090713500999996</v>
      </c>
      <c r="E2098">
        <v>50</v>
      </c>
      <c r="F2098">
        <v>49.961948395</v>
      </c>
      <c r="G2098">
        <v>1345.2836914</v>
      </c>
      <c r="H2098">
        <v>1340.9475098</v>
      </c>
      <c r="I2098">
        <v>1322.9008789</v>
      </c>
      <c r="J2098">
        <v>1319.1959228999999</v>
      </c>
      <c r="K2098">
        <v>2400</v>
      </c>
      <c r="L2098">
        <v>0</v>
      </c>
      <c r="M2098">
        <v>0</v>
      </c>
      <c r="N2098">
        <v>2400</v>
      </c>
    </row>
    <row r="2099" spans="1:14" x14ac:dyDescent="0.25">
      <c r="A2099">
        <v>1461.19766</v>
      </c>
      <c r="B2099" s="1">
        <f>DATE(2014,5,1) + TIME(4,44,37)</f>
        <v>41760.197650462964</v>
      </c>
      <c r="C2099">
        <v>80</v>
      </c>
      <c r="D2099">
        <v>72.457305907999995</v>
      </c>
      <c r="E2099">
        <v>50</v>
      </c>
      <c r="F2099">
        <v>49.959716796999999</v>
      </c>
      <c r="G2099">
        <v>1345.2650146000001</v>
      </c>
      <c r="H2099">
        <v>1340.9443358999999</v>
      </c>
      <c r="I2099">
        <v>1322.9008789</v>
      </c>
      <c r="J2099">
        <v>1319.1959228999999</v>
      </c>
      <c r="K2099">
        <v>2400</v>
      </c>
      <c r="L2099">
        <v>0</v>
      </c>
      <c r="M2099">
        <v>0</v>
      </c>
      <c r="N2099">
        <v>2400</v>
      </c>
    </row>
    <row r="2100" spans="1:14" x14ac:dyDescent="0.25">
      <c r="A2100">
        <v>1461.2238139999999</v>
      </c>
      <c r="B2100" s="1">
        <f>DATE(2014,5,1) + TIME(5,22,17)</f>
        <v>41760.223807870374</v>
      </c>
      <c r="C2100">
        <v>80</v>
      </c>
      <c r="D2100">
        <v>72.814353943</v>
      </c>
      <c r="E2100">
        <v>50</v>
      </c>
      <c r="F2100">
        <v>49.957458496000001</v>
      </c>
      <c r="G2100">
        <v>1345.2486572</v>
      </c>
      <c r="H2100">
        <v>1340.9421387</v>
      </c>
      <c r="I2100">
        <v>1322.9008789</v>
      </c>
      <c r="J2100">
        <v>1319.1959228999999</v>
      </c>
      <c r="K2100">
        <v>2400</v>
      </c>
      <c r="L2100">
        <v>0</v>
      </c>
      <c r="M2100">
        <v>0</v>
      </c>
      <c r="N2100">
        <v>2400</v>
      </c>
    </row>
    <row r="2101" spans="1:14" x14ac:dyDescent="0.25">
      <c r="A2101">
        <v>1461.250532</v>
      </c>
      <c r="B2101" s="1">
        <f>DATE(2014,5,1) + TIME(6,0,45)</f>
        <v>41760.250520833331</v>
      </c>
      <c r="C2101">
        <v>80</v>
      </c>
      <c r="D2101">
        <v>73.161926269999995</v>
      </c>
      <c r="E2101">
        <v>50</v>
      </c>
      <c r="F2101">
        <v>49.955173492</v>
      </c>
      <c r="G2101">
        <v>1345.2342529</v>
      </c>
      <c r="H2101">
        <v>1340.9410399999999</v>
      </c>
      <c r="I2101">
        <v>1322.9008789</v>
      </c>
      <c r="J2101">
        <v>1319.1958007999999</v>
      </c>
      <c r="K2101">
        <v>2400</v>
      </c>
      <c r="L2101">
        <v>0</v>
      </c>
      <c r="M2101">
        <v>0</v>
      </c>
      <c r="N2101">
        <v>2400</v>
      </c>
    </row>
    <row r="2102" spans="1:14" x14ac:dyDescent="0.25">
      <c r="A2102">
        <v>1461.2778430000001</v>
      </c>
      <c r="B2102" s="1">
        <f>DATE(2014,5,1) + TIME(6,40,5)</f>
        <v>41760.27783564815</v>
      </c>
      <c r="C2102">
        <v>80</v>
      </c>
      <c r="D2102">
        <v>73.500122070000003</v>
      </c>
      <c r="E2102">
        <v>50</v>
      </c>
      <c r="F2102">
        <v>49.952857971</v>
      </c>
      <c r="G2102">
        <v>1345.2218018000001</v>
      </c>
      <c r="H2102">
        <v>1340.9407959</v>
      </c>
      <c r="I2102">
        <v>1322.9008789</v>
      </c>
      <c r="J2102">
        <v>1319.1956786999999</v>
      </c>
      <c r="K2102">
        <v>2400</v>
      </c>
      <c r="L2102">
        <v>0</v>
      </c>
      <c r="M2102">
        <v>0</v>
      </c>
      <c r="N2102">
        <v>2400</v>
      </c>
    </row>
    <row r="2103" spans="1:14" x14ac:dyDescent="0.25">
      <c r="A2103">
        <v>1461.3057779999999</v>
      </c>
      <c r="B2103" s="1">
        <f>DATE(2014,5,1) + TIME(7,20,19)</f>
        <v>41760.305775462963</v>
      </c>
      <c r="C2103">
        <v>80</v>
      </c>
      <c r="D2103">
        <v>73.829032897999994</v>
      </c>
      <c r="E2103">
        <v>50</v>
      </c>
      <c r="F2103">
        <v>49.950508118000002</v>
      </c>
      <c r="G2103">
        <v>1345.2113036999999</v>
      </c>
      <c r="H2103">
        <v>1340.9414062000001</v>
      </c>
      <c r="I2103">
        <v>1322.9008789</v>
      </c>
      <c r="J2103">
        <v>1319.1955565999999</v>
      </c>
      <c r="K2103">
        <v>2400</v>
      </c>
      <c r="L2103">
        <v>0</v>
      </c>
      <c r="M2103">
        <v>0</v>
      </c>
      <c r="N2103">
        <v>2400</v>
      </c>
    </row>
    <row r="2104" spans="1:14" x14ac:dyDescent="0.25">
      <c r="A2104">
        <v>1461.33437</v>
      </c>
      <c r="B2104" s="1">
        <f>DATE(2014,5,1) + TIME(8,1,29)</f>
        <v>41760.334363425929</v>
      </c>
      <c r="C2104">
        <v>80</v>
      </c>
      <c r="D2104">
        <v>74.148735045999999</v>
      </c>
      <c r="E2104">
        <v>50</v>
      </c>
      <c r="F2104">
        <v>49.948127747000001</v>
      </c>
      <c r="G2104">
        <v>1345.2025146000001</v>
      </c>
      <c r="H2104">
        <v>1340.9429932</v>
      </c>
      <c r="I2104">
        <v>1322.9008789</v>
      </c>
      <c r="J2104">
        <v>1319.1954346</v>
      </c>
      <c r="K2104">
        <v>2400</v>
      </c>
      <c r="L2104">
        <v>0</v>
      </c>
      <c r="M2104">
        <v>0</v>
      </c>
      <c r="N2104">
        <v>2400</v>
      </c>
    </row>
    <row r="2105" spans="1:14" x14ac:dyDescent="0.25">
      <c r="A2105">
        <v>1461.3636550000001</v>
      </c>
      <c r="B2105" s="1">
        <f>DATE(2014,5,1) + TIME(8,43,39)</f>
        <v>41760.363645833335</v>
      </c>
      <c r="C2105">
        <v>80</v>
      </c>
      <c r="D2105">
        <v>74.459289550999998</v>
      </c>
      <c r="E2105">
        <v>50</v>
      </c>
      <c r="F2105">
        <v>49.945709229000002</v>
      </c>
      <c r="G2105">
        <v>1345.1953125</v>
      </c>
      <c r="H2105">
        <v>1340.9453125</v>
      </c>
      <c r="I2105">
        <v>1322.9008789</v>
      </c>
      <c r="J2105">
        <v>1319.1953125</v>
      </c>
      <c r="K2105">
        <v>2400</v>
      </c>
      <c r="L2105">
        <v>0</v>
      </c>
      <c r="M2105">
        <v>0</v>
      </c>
      <c r="N2105">
        <v>2400</v>
      </c>
    </row>
    <row r="2106" spans="1:14" x14ac:dyDescent="0.25">
      <c r="A2106">
        <v>1461.3936619999999</v>
      </c>
      <c r="B2106" s="1">
        <f>DATE(2014,5,1) + TIME(9,26,52)</f>
        <v>41760.393657407411</v>
      </c>
      <c r="C2106">
        <v>80</v>
      </c>
      <c r="D2106">
        <v>74.760681152000004</v>
      </c>
      <c r="E2106">
        <v>50</v>
      </c>
      <c r="F2106">
        <v>49.943256378000001</v>
      </c>
      <c r="G2106">
        <v>1345.1898193</v>
      </c>
      <c r="H2106">
        <v>1340.9483643000001</v>
      </c>
      <c r="I2106">
        <v>1322.9007568</v>
      </c>
      <c r="J2106">
        <v>1319.1951904</v>
      </c>
      <c r="K2106">
        <v>2400</v>
      </c>
      <c r="L2106">
        <v>0</v>
      </c>
      <c r="M2106">
        <v>0</v>
      </c>
      <c r="N2106">
        <v>2400</v>
      </c>
    </row>
    <row r="2107" spans="1:14" x14ac:dyDescent="0.25">
      <c r="A2107">
        <v>1461.4244389999999</v>
      </c>
      <c r="B2107" s="1">
        <f>DATE(2014,5,1) + TIME(10,11,11)</f>
        <v>41760.424432870372</v>
      </c>
      <c r="C2107">
        <v>80</v>
      </c>
      <c r="D2107">
        <v>75.053001404</v>
      </c>
      <c r="E2107">
        <v>50</v>
      </c>
      <c r="F2107">
        <v>49.940761565999999</v>
      </c>
      <c r="G2107">
        <v>1345.1856689000001</v>
      </c>
      <c r="H2107">
        <v>1340.9521483999999</v>
      </c>
      <c r="I2107">
        <v>1322.9007568</v>
      </c>
      <c r="J2107">
        <v>1319.1950684000001</v>
      </c>
      <c r="K2107">
        <v>2400</v>
      </c>
      <c r="L2107">
        <v>0</v>
      </c>
      <c r="M2107">
        <v>0</v>
      </c>
      <c r="N2107">
        <v>2400</v>
      </c>
    </row>
    <row r="2108" spans="1:14" x14ac:dyDescent="0.25">
      <c r="A2108">
        <v>1461.4560289999999</v>
      </c>
      <c r="B2108" s="1">
        <f>DATE(2014,5,1) + TIME(10,56,40)</f>
        <v>41760.456018518518</v>
      </c>
      <c r="C2108">
        <v>80</v>
      </c>
      <c r="D2108">
        <v>75.336143493999998</v>
      </c>
      <c r="E2108">
        <v>50</v>
      </c>
      <c r="F2108">
        <v>49.938220977999997</v>
      </c>
      <c r="G2108">
        <v>1345.1831055</v>
      </c>
      <c r="H2108">
        <v>1340.956543</v>
      </c>
      <c r="I2108">
        <v>1322.9006348</v>
      </c>
      <c r="J2108">
        <v>1319.1948242000001</v>
      </c>
      <c r="K2108">
        <v>2400</v>
      </c>
      <c r="L2108">
        <v>0</v>
      </c>
      <c r="M2108">
        <v>0</v>
      </c>
      <c r="N2108">
        <v>2400</v>
      </c>
    </row>
    <row r="2109" spans="1:14" x14ac:dyDescent="0.25">
      <c r="A2109">
        <v>1461.4884770000001</v>
      </c>
      <c r="B2109" s="1">
        <f>DATE(2014,5,1) + TIME(11,43,24)</f>
        <v>41760.48847222222</v>
      </c>
      <c r="C2109">
        <v>80</v>
      </c>
      <c r="D2109">
        <v>75.610321045000006</v>
      </c>
      <c r="E2109">
        <v>50</v>
      </c>
      <c r="F2109">
        <v>49.935638427999997</v>
      </c>
      <c r="G2109">
        <v>1345.1817627</v>
      </c>
      <c r="H2109">
        <v>1340.9616699000001</v>
      </c>
      <c r="I2109">
        <v>1322.9005127</v>
      </c>
      <c r="J2109">
        <v>1319.1947021000001</v>
      </c>
      <c r="K2109">
        <v>2400</v>
      </c>
      <c r="L2109">
        <v>0</v>
      </c>
      <c r="M2109">
        <v>0</v>
      </c>
      <c r="N2109">
        <v>2400</v>
      </c>
    </row>
    <row r="2110" spans="1:14" x14ac:dyDescent="0.25">
      <c r="A2110">
        <v>1461.5218339999999</v>
      </c>
      <c r="B2110" s="1">
        <f>DATE(2014,5,1) + TIME(12,31,26)</f>
        <v>41760.521828703706</v>
      </c>
      <c r="C2110">
        <v>80</v>
      </c>
      <c r="D2110">
        <v>75.875556946000003</v>
      </c>
      <c r="E2110">
        <v>50</v>
      </c>
      <c r="F2110">
        <v>49.933006286999998</v>
      </c>
      <c r="G2110">
        <v>1345.1816406</v>
      </c>
      <c r="H2110">
        <v>1340.9672852000001</v>
      </c>
      <c r="I2110">
        <v>1322.9003906</v>
      </c>
      <c r="J2110">
        <v>1319.1944579999999</v>
      </c>
      <c r="K2110">
        <v>2400</v>
      </c>
      <c r="L2110">
        <v>0</v>
      </c>
      <c r="M2110">
        <v>0</v>
      </c>
      <c r="N2110">
        <v>2400</v>
      </c>
    </row>
    <row r="2111" spans="1:14" x14ac:dyDescent="0.25">
      <c r="A2111">
        <v>1461.5561540000001</v>
      </c>
      <c r="B2111" s="1">
        <f>DATE(2014,5,1) + TIME(13,20,51)</f>
        <v>41760.556145833332</v>
      </c>
      <c r="C2111">
        <v>80</v>
      </c>
      <c r="D2111">
        <v>76.131881714000002</v>
      </c>
      <c r="E2111">
        <v>50</v>
      </c>
      <c r="F2111">
        <v>49.930324554000002</v>
      </c>
      <c r="G2111">
        <v>1345.1827393000001</v>
      </c>
      <c r="H2111">
        <v>1340.9733887</v>
      </c>
      <c r="I2111">
        <v>1322.9002685999999</v>
      </c>
      <c r="J2111">
        <v>1319.1942139</v>
      </c>
      <c r="K2111">
        <v>2400</v>
      </c>
      <c r="L2111">
        <v>0</v>
      </c>
      <c r="M2111">
        <v>0</v>
      </c>
      <c r="N2111">
        <v>2400</v>
      </c>
    </row>
    <row r="2112" spans="1:14" x14ac:dyDescent="0.25">
      <c r="A2112">
        <v>1461.591494</v>
      </c>
      <c r="B2112" s="1">
        <f>DATE(2014,5,1) + TIME(14,11,45)</f>
        <v>41760.591493055559</v>
      </c>
      <c r="C2112">
        <v>80</v>
      </c>
      <c r="D2112">
        <v>76.379318237000007</v>
      </c>
      <c r="E2112">
        <v>50</v>
      </c>
      <c r="F2112">
        <v>49.927589417</v>
      </c>
      <c r="G2112">
        <v>1345.1849365</v>
      </c>
      <c r="H2112">
        <v>1340.9801024999999</v>
      </c>
      <c r="I2112">
        <v>1322.9001464999999</v>
      </c>
      <c r="J2112">
        <v>1319.1939697</v>
      </c>
      <c r="K2112">
        <v>2400</v>
      </c>
      <c r="L2112">
        <v>0</v>
      </c>
      <c r="M2112">
        <v>0</v>
      </c>
      <c r="N2112">
        <v>2400</v>
      </c>
    </row>
    <row r="2113" spans="1:14" x14ac:dyDescent="0.25">
      <c r="A2113">
        <v>1461.6279179999999</v>
      </c>
      <c r="B2113" s="1">
        <f>DATE(2014,5,1) + TIME(15,4,12)</f>
        <v>41760.627916666665</v>
      </c>
      <c r="C2113">
        <v>80</v>
      </c>
      <c r="D2113">
        <v>76.617889403999996</v>
      </c>
      <c r="E2113">
        <v>50</v>
      </c>
      <c r="F2113">
        <v>49.924797058000003</v>
      </c>
      <c r="G2113">
        <v>1345.1881103999999</v>
      </c>
      <c r="H2113">
        <v>1340.9871826000001</v>
      </c>
      <c r="I2113">
        <v>1322.9000243999999</v>
      </c>
      <c r="J2113">
        <v>1319.1937256000001</v>
      </c>
      <c r="K2113">
        <v>2400</v>
      </c>
      <c r="L2113">
        <v>0</v>
      </c>
      <c r="M2113">
        <v>0</v>
      </c>
      <c r="N2113">
        <v>2400</v>
      </c>
    </row>
    <row r="2114" spans="1:14" x14ac:dyDescent="0.25">
      <c r="A2114">
        <v>1461.665469</v>
      </c>
      <c r="B2114" s="1">
        <f>DATE(2014,5,1) + TIME(15,58,16)</f>
        <v>41760.665462962963</v>
      </c>
      <c r="C2114">
        <v>80</v>
      </c>
      <c r="D2114">
        <v>76.847473144999995</v>
      </c>
      <c r="E2114">
        <v>50</v>
      </c>
      <c r="F2114">
        <v>49.921943665000001</v>
      </c>
      <c r="G2114">
        <v>1345.1923827999999</v>
      </c>
      <c r="H2114">
        <v>1340.9946289</v>
      </c>
      <c r="I2114">
        <v>1322.8999022999999</v>
      </c>
      <c r="J2114">
        <v>1319.1934814000001</v>
      </c>
      <c r="K2114">
        <v>2400</v>
      </c>
      <c r="L2114">
        <v>0</v>
      </c>
      <c r="M2114">
        <v>0</v>
      </c>
      <c r="N2114">
        <v>2400</v>
      </c>
    </row>
    <row r="2115" spans="1:14" x14ac:dyDescent="0.25">
      <c r="A2115">
        <v>1461.7041730000001</v>
      </c>
      <c r="B2115" s="1">
        <f>DATE(2014,5,1) + TIME(16,54,0)</f>
        <v>41760.70416666667</v>
      </c>
      <c r="C2115">
        <v>80</v>
      </c>
      <c r="D2115">
        <v>77.067863463999998</v>
      </c>
      <c r="E2115">
        <v>50</v>
      </c>
      <c r="F2115">
        <v>49.919029236</v>
      </c>
      <c r="G2115">
        <v>1345.1975098</v>
      </c>
      <c r="H2115">
        <v>1341.0025635</v>
      </c>
      <c r="I2115">
        <v>1322.8997803</v>
      </c>
      <c r="J2115">
        <v>1319.1932373</v>
      </c>
      <c r="K2115">
        <v>2400</v>
      </c>
      <c r="L2115">
        <v>0</v>
      </c>
      <c r="M2115">
        <v>0</v>
      </c>
      <c r="N2115">
        <v>2400</v>
      </c>
    </row>
    <row r="2116" spans="1:14" x14ac:dyDescent="0.25">
      <c r="A2116">
        <v>1461.744101</v>
      </c>
      <c r="B2116" s="1">
        <f>DATE(2014,5,1) + TIME(17,51,30)</f>
        <v>41760.744097222225</v>
      </c>
      <c r="C2116">
        <v>80</v>
      </c>
      <c r="D2116">
        <v>77.279098511000001</v>
      </c>
      <c r="E2116">
        <v>50</v>
      </c>
      <c r="F2116">
        <v>49.916053771999998</v>
      </c>
      <c r="G2116">
        <v>1345.2034911999999</v>
      </c>
      <c r="H2116">
        <v>1341.0107422000001</v>
      </c>
      <c r="I2116">
        <v>1322.8995361</v>
      </c>
      <c r="J2116">
        <v>1319.1928711</v>
      </c>
      <c r="K2116">
        <v>2400</v>
      </c>
      <c r="L2116">
        <v>0</v>
      </c>
      <c r="M2116">
        <v>0</v>
      </c>
      <c r="N2116">
        <v>2400</v>
      </c>
    </row>
    <row r="2117" spans="1:14" x14ac:dyDescent="0.25">
      <c r="A2117">
        <v>1461.7853299999999</v>
      </c>
      <c r="B2117" s="1">
        <f>DATE(2014,5,1) + TIME(18,50,52)</f>
        <v>41760.785324074073</v>
      </c>
      <c r="C2117">
        <v>80</v>
      </c>
      <c r="D2117">
        <v>77.481246948000006</v>
      </c>
      <c r="E2117">
        <v>50</v>
      </c>
      <c r="F2117">
        <v>49.913009643999999</v>
      </c>
      <c r="G2117">
        <v>1345.2100829999999</v>
      </c>
      <c r="H2117">
        <v>1341.0191649999999</v>
      </c>
      <c r="I2117">
        <v>1322.8994141000001</v>
      </c>
      <c r="J2117">
        <v>1319.1926269999999</v>
      </c>
      <c r="K2117">
        <v>2400</v>
      </c>
      <c r="L2117">
        <v>0</v>
      </c>
      <c r="M2117">
        <v>0</v>
      </c>
      <c r="N2117">
        <v>2400</v>
      </c>
    </row>
    <row r="2118" spans="1:14" x14ac:dyDescent="0.25">
      <c r="A2118">
        <v>1461.827941</v>
      </c>
      <c r="B2118" s="1">
        <f>DATE(2014,5,1) + TIME(19,52,14)</f>
        <v>41760.827939814815</v>
      </c>
      <c r="C2118">
        <v>80</v>
      </c>
      <c r="D2118">
        <v>77.674346924000005</v>
      </c>
      <c r="E2118">
        <v>50</v>
      </c>
      <c r="F2118">
        <v>49.909893036</v>
      </c>
      <c r="G2118">
        <v>1345.2174072</v>
      </c>
      <c r="H2118">
        <v>1341.027832</v>
      </c>
      <c r="I2118">
        <v>1322.8991699000001</v>
      </c>
      <c r="J2118">
        <v>1319.1922606999999</v>
      </c>
      <c r="K2118">
        <v>2400</v>
      </c>
      <c r="L2118">
        <v>0</v>
      </c>
      <c r="M2118">
        <v>0</v>
      </c>
      <c r="N2118">
        <v>2400</v>
      </c>
    </row>
    <row r="2119" spans="1:14" x14ac:dyDescent="0.25">
      <c r="A2119">
        <v>1461.872024</v>
      </c>
      <c r="B2119" s="1">
        <f>DATE(2014,5,1) + TIME(20,55,42)</f>
        <v>41760.872013888889</v>
      </c>
      <c r="C2119">
        <v>80</v>
      </c>
      <c r="D2119">
        <v>77.858459472999996</v>
      </c>
      <c r="E2119">
        <v>50</v>
      </c>
      <c r="F2119">
        <v>49.906700133999998</v>
      </c>
      <c r="G2119">
        <v>1345.2252197</v>
      </c>
      <c r="H2119">
        <v>1341.0366211</v>
      </c>
      <c r="I2119">
        <v>1322.8990478999999</v>
      </c>
      <c r="J2119">
        <v>1319.1920166</v>
      </c>
      <c r="K2119">
        <v>2400</v>
      </c>
      <c r="L2119">
        <v>0</v>
      </c>
      <c r="M2119">
        <v>0</v>
      </c>
      <c r="N2119">
        <v>2400</v>
      </c>
    </row>
    <row r="2120" spans="1:14" x14ac:dyDescent="0.25">
      <c r="A2120">
        <v>1461.917678</v>
      </c>
      <c r="B2120" s="1">
        <f>DATE(2014,5,1) + TIME(22,1,27)</f>
        <v>41760.917673611111</v>
      </c>
      <c r="C2120">
        <v>80</v>
      </c>
      <c r="D2120">
        <v>78.033660889000004</v>
      </c>
      <c r="E2120">
        <v>50</v>
      </c>
      <c r="F2120">
        <v>49.903427123999997</v>
      </c>
      <c r="G2120">
        <v>1345.2336425999999</v>
      </c>
      <c r="H2120">
        <v>1341.0456543</v>
      </c>
      <c r="I2120">
        <v>1322.8988036999999</v>
      </c>
      <c r="J2120">
        <v>1319.1916504000001</v>
      </c>
      <c r="K2120">
        <v>2400</v>
      </c>
      <c r="L2120">
        <v>0</v>
      </c>
      <c r="M2120">
        <v>0</v>
      </c>
      <c r="N2120">
        <v>2400</v>
      </c>
    </row>
    <row r="2121" spans="1:14" x14ac:dyDescent="0.25">
      <c r="A2121">
        <v>1461.965013</v>
      </c>
      <c r="B2121" s="1">
        <f>DATE(2014,5,1) + TIME(23,9,37)</f>
        <v>41760.965011574073</v>
      </c>
      <c r="C2121">
        <v>80</v>
      </c>
      <c r="D2121">
        <v>78.200019835999996</v>
      </c>
      <c r="E2121">
        <v>50</v>
      </c>
      <c r="F2121">
        <v>49.900062560999999</v>
      </c>
      <c r="G2121">
        <v>1345.2424315999999</v>
      </c>
      <c r="H2121">
        <v>1341.0546875</v>
      </c>
      <c r="I2121">
        <v>1322.8985596</v>
      </c>
      <c r="J2121">
        <v>1319.1912841999999</v>
      </c>
      <c r="K2121">
        <v>2400</v>
      </c>
      <c r="L2121">
        <v>0</v>
      </c>
      <c r="M2121">
        <v>0</v>
      </c>
      <c r="N2121">
        <v>2400</v>
      </c>
    </row>
    <row r="2122" spans="1:14" x14ac:dyDescent="0.25">
      <c r="A2122">
        <v>1462.0141599999999</v>
      </c>
      <c r="B2122" s="1">
        <f>DATE(2014,5,2) + TIME(0,20,23)</f>
        <v>41761.014155092591</v>
      </c>
      <c r="C2122">
        <v>80</v>
      </c>
      <c r="D2122">
        <v>78.357658385999997</v>
      </c>
      <c r="E2122">
        <v>50</v>
      </c>
      <c r="F2122">
        <v>49.896606445000003</v>
      </c>
      <c r="G2122">
        <v>1345.2515868999999</v>
      </c>
      <c r="H2122">
        <v>1341.0638428</v>
      </c>
      <c r="I2122">
        <v>1322.8983154</v>
      </c>
      <c r="J2122">
        <v>1319.190918</v>
      </c>
      <c r="K2122">
        <v>2400</v>
      </c>
      <c r="L2122">
        <v>0</v>
      </c>
      <c r="M2122">
        <v>0</v>
      </c>
      <c r="N2122">
        <v>2400</v>
      </c>
    </row>
    <row r="2123" spans="1:14" x14ac:dyDescent="0.25">
      <c r="A2123">
        <v>1462.065231</v>
      </c>
      <c r="B2123" s="1">
        <f>DATE(2014,5,2) + TIME(1,33,55)</f>
        <v>41761.06521990741</v>
      </c>
      <c r="C2123">
        <v>80</v>
      </c>
      <c r="D2123">
        <v>78.506607056000007</v>
      </c>
      <c r="E2123">
        <v>50</v>
      </c>
      <c r="F2123">
        <v>49.893051147000001</v>
      </c>
      <c r="G2123">
        <v>1345.2609863</v>
      </c>
      <c r="H2123">
        <v>1341.072876</v>
      </c>
      <c r="I2123">
        <v>1322.8980713000001</v>
      </c>
      <c r="J2123">
        <v>1319.1905518000001</v>
      </c>
      <c r="K2123">
        <v>2400</v>
      </c>
      <c r="L2123">
        <v>0</v>
      </c>
      <c r="M2123">
        <v>0</v>
      </c>
      <c r="N2123">
        <v>2400</v>
      </c>
    </row>
    <row r="2124" spans="1:14" x14ac:dyDescent="0.25">
      <c r="A2124">
        <v>1462.1183679999999</v>
      </c>
      <c r="B2124" s="1">
        <f>DATE(2014,5,2) + TIME(2,50,26)</f>
        <v>41761.118356481478</v>
      </c>
      <c r="C2124">
        <v>80</v>
      </c>
      <c r="D2124">
        <v>78.646965026999993</v>
      </c>
      <c r="E2124">
        <v>50</v>
      </c>
      <c r="F2124">
        <v>49.889385222999998</v>
      </c>
      <c r="G2124">
        <v>1345.2706298999999</v>
      </c>
      <c r="H2124">
        <v>1341.0820312000001</v>
      </c>
      <c r="I2124">
        <v>1322.8978271000001</v>
      </c>
      <c r="J2124">
        <v>1319.1901855000001</v>
      </c>
      <c r="K2124">
        <v>2400</v>
      </c>
      <c r="L2124">
        <v>0</v>
      </c>
      <c r="M2124">
        <v>0</v>
      </c>
      <c r="N2124">
        <v>2400</v>
      </c>
    </row>
    <row r="2125" spans="1:14" x14ac:dyDescent="0.25">
      <c r="A2125">
        <v>1462.173726</v>
      </c>
      <c r="B2125" s="1">
        <f>DATE(2014,5,2) + TIME(4,10,9)</f>
        <v>41761.173715277779</v>
      </c>
      <c r="C2125">
        <v>80</v>
      </c>
      <c r="D2125">
        <v>78.778846740999995</v>
      </c>
      <c r="E2125">
        <v>50</v>
      </c>
      <c r="F2125">
        <v>49.885608673</v>
      </c>
      <c r="G2125">
        <v>1345.2803954999999</v>
      </c>
      <c r="H2125">
        <v>1341.0910644999999</v>
      </c>
      <c r="I2125">
        <v>1322.8975829999999</v>
      </c>
      <c r="J2125">
        <v>1319.1896973</v>
      </c>
      <c r="K2125">
        <v>2400</v>
      </c>
      <c r="L2125">
        <v>0</v>
      </c>
      <c r="M2125">
        <v>0</v>
      </c>
      <c r="N2125">
        <v>2400</v>
      </c>
    </row>
    <row r="2126" spans="1:14" x14ac:dyDescent="0.25">
      <c r="A2126">
        <v>1462.2314779999999</v>
      </c>
      <c r="B2126" s="1">
        <f>DATE(2014,5,2) + TIME(5,33,19)</f>
        <v>41761.231469907405</v>
      </c>
      <c r="C2126">
        <v>80</v>
      </c>
      <c r="D2126">
        <v>78.902366638000004</v>
      </c>
      <c r="E2126">
        <v>50</v>
      </c>
      <c r="F2126">
        <v>49.881706238</v>
      </c>
      <c r="G2126">
        <v>1345.2902832</v>
      </c>
      <c r="H2126">
        <v>1341.0998535000001</v>
      </c>
      <c r="I2126">
        <v>1322.8973389</v>
      </c>
      <c r="J2126">
        <v>1319.1893310999999</v>
      </c>
      <c r="K2126">
        <v>2400</v>
      </c>
      <c r="L2126">
        <v>0</v>
      </c>
      <c r="M2126">
        <v>0</v>
      </c>
      <c r="N2126">
        <v>2400</v>
      </c>
    </row>
    <row r="2127" spans="1:14" x14ac:dyDescent="0.25">
      <c r="A2127">
        <v>1462.291817</v>
      </c>
      <c r="B2127" s="1">
        <f>DATE(2014,5,2) + TIME(7,0,12)</f>
        <v>41761.291805555556</v>
      </c>
      <c r="C2127">
        <v>80</v>
      </c>
      <c r="D2127">
        <v>79.017662048000005</v>
      </c>
      <c r="E2127">
        <v>50</v>
      </c>
      <c r="F2127">
        <v>49.877670287999997</v>
      </c>
      <c r="G2127">
        <v>1345.3000488</v>
      </c>
      <c r="H2127">
        <v>1341.1086425999999</v>
      </c>
      <c r="I2127">
        <v>1322.8969727000001</v>
      </c>
      <c r="J2127">
        <v>1319.1888428</v>
      </c>
      <c r="K2127">
        <v>2400</v>
      </c>
      <c r="L2127">
        <v>0</v>
      </c>
      <c r="M2127">
        <v>0</v>
      </c>
      <c r="N2127">
        <v>2400</v>
      </c>
    </row>
    <row r="2128" spans="1:14" x14ac:dyDescent="0.25">
      <c r="A2128">
        <v>1462.3549559999999</v>
      </c>
      <c r="B2128" s="1">
        <f>DATE(2014,5,2) + TIME(8,31,8)</f>
        <v>41761.354953703703</v>
      </c>
      <c r="C2128">
        <v>80</v>
      </c>
      <c r="D2128">
        <v>79.124900818</v>
      </c>
      <c r="E2128">
        <v>50</v>
      </c>
      <c r="F2128">
        <v>49.873493195000002</v>
      </c>
      <c r="G2128">
        <v>1345.3098144999999</v>
      </c>
      <c r="H2128">
        <v>1341.1171875</v>
      </c>
      <c r="I2128">
        <v>1322.8967285000001</v>
      </c>
      <c r="J2128">
        <v>1319.1883545000001</v>
      </c>
      <c r="K2128">
        <v>2400</v>
      </c>
      <c r="L2128">
        <v>0</v>
      </c>
      <c r="M2128">
        <v>0</v>
      </c>
      <c r="N2128">
        <v>2400</v>
      </c>
    </row>
    <row r="2129" spans="1:14" x14ac:dyDescent="0.25">
      <c r="A2129">
        <v>1462.4211379999999</v>
      </c>
      <c r="B2129" s="1">
        <f>DATE(2014,5,2) + TIME(10,6,26)</f>
        <v>41761.421134259261</v>
      </c>
      <c r="C2129">
        <v>80</v>
      </c>
      <c r="D2129">
        <v>79.224235535000005</v>
      </c>
      <c r="E2129">
        <v>50</v>
      </c>
      <c r="F2129">
        <v>49.869155884000001</v>
      </c>
      <c r="G2129">
        <v>1345.3194579999999</v>
      </c>
      <c r="H2129">
        <v>1341.1253661999999</v>
      </c>
      <c r="I2129">
        <v>1322.8963623</v>
      </c>
      <c r="J2129">
        <v>1319.1878661999999</v>
      </c>
      <c r="K2129">
        <v>2400</v>
      </c>
      <c r="L2129">
        <v>0</v>
      </c>
      <c r="M2129">
        <v>0</v>
      </c>
      <c r="N2129">
        <v>2400</v>
      </c>
    </row>
    <row r="2130" spans="1:14" x14ac:dyDescent="0.25">
      <c r="A2130">
        <v>1462.490632</v>
      </c>
      <c r="B2130" s="1">
        <f>DATE(2014,5,2) + TIME(11,46,30)</f>
        <v>41761.490624999999</v>
      </c>
      <c r="C2130">
        <v>80</v>
      </c>
      <c r="D2130">
        <v>79.315864563000005</v>
      </c>
      <c r="E2130">
        <v>50</v>
      </c>
      <c r="F2130">
        <v>49.864650726000001</v>
      </c>
      <c r="G2130">
        <v>1345.3288574000001</v>
      </c>
      <c r="H2130">
        <v>1341.1334228999999</v>
      </c>
      <c r="I2130">
        <v>1322.8959961</v>
      </c>
      <c r="J2130">
        <v>1319.1873779</v>
      </c>
      <c r="K2130">
        <v>2400</v>
      </c>
      <c r="L2130">
        <v>0</v>
      </c>
      <c r="M2130">
        <v>0</v>
      </c>
      <c r="N2130">
        <v>2400</v>
      </c>
    </row>
    <row r="2131" spans="1:14" x14ac:dyDescent="0.25">
      <c r="A2131">
        <v>1462.563748</v>
      </c>
      <c r="B2131" s="1">
        <f>DATE(2014,5,2) + TIME(13,31,47)</f>
        <v>41761.563738425924</v>
      </c>
      <c r="C2131">
        <v>80</v>
      </c>
      <c r="D2131">
        <v>79.399993895999998</v>
      </c>
      <c r="E2131">
        <v>50</v>
      </c>
      <c r="F2131">
        <v>49.859962463000002</v>
      </c>
      <c r="G2131">
        <v>1345.3378906</v>
      </c>
      <c r="H2131">
        <v>1341.1409911999999</v>
      </c>
      <c r="I2131">
        <v>1322.8957519999999</v>
      </c>
      <c r="J2131">
        <v>1319.1868896000001</v>
      </c>
      <c r="K2131">
        <v>2400</v>
      </c>
      <c r="L2131">
        <v>0</v>
      </c>
      <c r="M2131">
        <v>0</v>
      </c>
      <c r="N2131">
        <v>2400</v>
      </c>
    </row>
    <row r="2132" spans="1:14" x14ac:dyDescent="0.25">
      <c r="A2132">
        <v>1462.6408779999999</v>
      </c>
      <c r="B2132" s="1">
        <f>DATE(2014,5,2) + TIME(15,22,51)</f>
        <v>41761.640868055554</v>
      </c>
      <c r="C2132">
        <v>80</v>
      </c>
      <c r="D2132">
        <v>79.476882935000006</v>
      </c>
      <c r="E2132">
        <v>50</v>
      </c>
      <c r="F2132">
        <v>49.855068207000002</v>
      </c>
      <c r="G2132">
        <v>1345.3465576000001</v>
      </c>
      <c r="H2132">
        <v>1341.1483154</v>
      </c>
      <c r="I2132">
        <v>1322.8953856999999</v>
      </c>
      <c r="J2132">
        <v>1319.1864014</v>
      </c>
      <c r="K2132">
        <v>2400</v>
      </c>
      <c r="L2132">
        <v>0</v>
      </c>
      <c r="M2132">
        <v>0</v>
      </c>
      <c r="N2132">
        <v>2400</v>
      </c>
    </row>
    <row r="2133" spans="1:14" x14ac:dyDescent="0.25">
      <c r="A2133">
        <v>1462.722401</v>
      </c>
      <c r="B2133" s="1">
        <f>DATE(2014,5,2) + TIME(17,20,15)</f>
        <v>41761.722395833334</v>
      </c>
      <c r="C2133">
        <v>80</v>
      </c>
      <c r="D2133">
        <v>79.546745299999998</v>
      </c>
      <c r="E2133">
        <v>50</v>
      </c>
      <c r="F2133">
        <v>49.849948883000003</v>
      </c>
      <c r="G2133">
        <v>1345.3547363</v>
      </c>
      <c r="H2133">
        <v>1341.1551514</v>
      </c>
      <c r="I2133">
        <v>1322.8948975000001</v>
      </c>
      <c r="J2133">
        <v>1319.1857910000001</v>
      </c>
      <c r="K2133">
        <v>2400</v>
      </c>
      <c r="L2133">
        <v>0</v>
      </c>
      <c r="M2133">
        <v>0</v>
      </c>
      <c r="N2133">
        <v>2400</v>
      </c>
    </row>
    <row r="2134" spans="1:14" x14ac:dyDescent="0.25">
      <c r="A2134">
        <v>1462.8087720000001</v>
      </c>
      <c r="B2134" s="1">
        <f>DATE(2014,5,2) + TIME(19,24,37)</f>
        <v>41761.808761574073</v>
      </c>
      <c r="C2134">
        <v>80</v>
      </c>
      <c r="D2134">
        <v>79.609825134000005</v>
      </c>
      <c r="E2134">
        <v>50</v>
      </c>
      <c r="F2134">
        <v>49.844589233000001</v>
      </c>
      <c r="G2134">
        <v>1345.3623047000001</v>
      </c>
      <c r="H2134">
        <v>1341.161499</v>
      </c>
      <c r="I2134">
        <v>1322.8945312000001</v>
      </c>
      <c r="J2134">
        <v>1319.1851807</v>
      </c>
      <c r="K2134">
        <v>2400</v>
      </c>
      <c r="L2134">
        <v>0</v>
      </c>
      <c r="M2134">
        <v>0</v>
      </c>
      <c r="N2134">
        <v>2400</v>
      </c>
    </row>
    <row r="2135" spans="1:14" x14ac:dyDescent="0.25">
      <c r="A2135">
        <v>1462.900529</v>
      </c>
      <c r="B2135" s="1">
        <f>DATE(2014,5,2) + TIME(21,36,45)</f>
        <v>41761.900520833333</v>
      </c>
      <c r="C2135">
        <v>80</v>
      </c>
      <c r="D2135">
        <v>79.666404724000003</v>
      </c>
      <c r="E2135">
        <v>50</v>
      </c>
      <c r="F2135">
        <v>49.838958740000002</v>
      </c>
      <c r="G2135">
        <v>1345.3693848</v>
      </c>
      <c r="H2135">
        <v>1341.1673584</v>
      </c>
      <c r="I2135">
        <v>1322.894043</v>
      </c>
      <c r="J2135">
        <v>1319.1845702999999</v>
      </c>
      <c r="K2135">
        <v>2400</v>
      </c>
      <c r="L2135">
        <v>0</v>
      </c>
      <c r="M2135">
        <v>0</v>
      </c>
      <c r="N2135">
        <v>2400</v>
      </c>
    </row>
    <row r="2136" spans="1:14" x14ac:dyDescent="0.25">
      <c r="A2136">
        <v>1462.9979089999999</v>
      </c>
      <c r="B2136" s="1">
        <f>DATE(2014,5,2) + TIME(23,56,59)</f>
        <v>41761.99790509259</v>
      </c>
      <c r="C2136">
        <v>80</v>
      </c>
      <c r="D2136">
        <v>79.716621399000005</v>
      </c>
      <c r="E2136">
        <v>50</v>
      </c>
      <c r="F2136">
        <v>49.833045959000003</v>
      </c>
      <c r="G2136">
        <v>1345.3757324000001</v>
      </c>
      <c r="H2136">
        <v>1341.1727295000001</v>
      </c>
      <c r="I2136">
        <v>1322.8936768000001</v>
      </c>
      <c r="J2136">
        <v>1319.1839600000001</v>
      </c>
      <c r="K2136">
        <v>2400</v>
      </c>
      <c r="L2136">
        <v>0</v>
      </c>
      <c r="M2136">
        <v>0</v>
      </c>
      <c r="N2136">
        <v>2400</v>
      </c>
    </row>
    <row r="2137" spans="1:14" x14ac:dyDescent="0.25">
      <c r="A2137">
        <v>1463.0959909999999</v>
      </c>
      <c r="B2137" s="1">
        <f>DATE(2014,5,3) + TIME(2,18,13)</f>
        <v>41762.095983796295</v>
      </c>
      <c r="C2137">
        <v>80</v>
      </c>
      <c r="D2137">
        <v>79.758865356000001</v>
      </c>
      <c r="E2137">
        <v>50</v>
      </c>
      <c r="F2137">
        <v>49.827125549000002</v>
      </c>
      <c r="G2137">
        <v>1345.3820800999999</v>
      </c>
      <c r="H2137">
        <v>1341.1779785000001</v>
      </c>
      <c r="I2137">
        <v>1322.8931885</v>
      </c>
      <c r="J2137">
        <v>1319.1832274999999</v>
      </c>
      <c r="K2137">
        <v>2400</v>
      </c>
      <c r="L2137">
        <v>0</v>
      </c>
      <c r="M2137">
        <v>0</v>
      </c>
      <c r="N2137">
        <v>2400</v>
      </c>
    </row>
    <row r="2138" spans="1:14" x14ac:dyDescent="0.25">
      <c r="A2138">
        <v>1463.195205</v>
      </c>
      <c r="B2138" s="1">
        <f>DATE(2014,5,3) + TIME(4,41,5)</f>
        <v>41762.195196759261</v>
      </c>
      <c r="C2138">
        <v>80</v>
      </c>
      <c r="D2138">
        <v>79.794487000000004</v>
      </c>
      <c r="E2138">
        <v>50</v>
      </c>
      <c r="F2138">
        <v>49.821170807000001</v>
      </c>
      <c r="G2138">
        <v>1345.387207</v>
      </c>
      <c r="H2138">
        <v>1341.182251</v>
      </c>
      <c r="I2138">
        <v>1322.8927002</v>
      </c>
      <c r="J2138">
        <v>1319.1826172000001</v>
      </c>
      <c r="K2138">
        <v>2400</v>
      </c>
      <c r="L2138">
        <v>0</v>
      </c>
      <c r="M2138">
        <v>0</v>
      </c>
      <c r="N2138">
        <v>2400</v>
      </c>
    </row>
    <row r="2139" spans="1:14" x14ac:dyDescent="0.25">
      <c r="A2139">
        <v>1463.295842</v>
      </c>
      <c r="B2139" s="1">
        <f>DATE(2014,5,3) + TIME(7,6,0)</f>
        <v>41762.29583333333</v>
      </c>
      <c r="C2139">
        <v>80</v>
      </c>
      <c r="D2139">
        <v>79.824531554999993</v>
      </c>
      <c r="E2139">
        <v>50</v>
      </c>
      <c r="F2139">
        <v>49.815170287999997</v>
      </c>
      <c r="G2139">
        <v>1345.3911132999999</v>
      </c>
      <c r="H2139">
        <v>1341.1856689000001</v>
      </c>
      <c r="I2139">
        <v>1322.8922118999999</v>
      </c>
      <c r="J2139">
        <v>1319.1818848</v>
      </c>
      <c r="K2139">
        <v>2400</v>
      </c>
      <c r="L2139">
        <v>0</v>
      </c>
      <c r="M2139">
        <v>0</v>
      </c>
      <c r="N2139">
        <v>2400</v>
      </c>
    </row>
    <row r="2140" spans="1:14" x14ac:dyDescent="0.25">
      <c r="A2140">
        <v>1463.3981349999999</v>
      </c>
      <c r="B2140" s="1">
        <f>DATE(2014,5,3) + TIME(9,33,18)</f>
        <v>41762.398125</v>
      </c>
      <c r="C2140">
        <v>80</v>
      </c>
      <c r="D2140">
        <v>79.849853515999996</v>
      </c>
      <c r="E2140">
        <v>50</v>
      </c>
      <c r="F2140">
        <v>49.809104918999999</v>
      </c>
      <c r="G2140">
        <v>1345.3939209</v>
      </c>
      <c r="H2140">
        <v>1341.1883545000001</v>
      </c>
      <c r="I2140">
        <v>1322.8916016000001</v>
      </c>
      <c r="J2140">
        <v>1319.1811522999999</v>
      </c>
      <c r="K2140">
        <v>2400</v>
      </c>
      <c r="L2140">
        <v>0</v>
      </c>
      <c r="M2140">
        <v>0</v>
      </c>
      <c r="N2140">
        <v>2400</v>
      </c>
    </row>
    <row r="2141" spans="1:14" x14ac:dyDescent="0.25">
      <c r="A2141">
        <v>1463.5023249999999</v>
      </c>
      <c r="B2141" s="1">
        <f>DATE(2014,5,3) + TIME(12,3,20)</f>
        <v>41762.502314814818</v>
      </c>
      <c r="C2141">
        <v>80</v>
      </c>
      <c r="D2141">
        <v>79.871177673000005</v>
      </c>
      <c r="E2141">
        <v>50</v>
      </c>
      <c r="F2141">
        <v>49.802963257000002</v>
      </c>
      <c r="G2141">
        <v>1345.395874</v>
      </c>
      <c r="H2141">
        <v>1341.1903076000001</v>
      </c>
      <c r="I2141">
        <v>1322.8911132999999</v>
      </c>
      <c r="J2141">
        <v>1319.1805420000001</v>
      </c>
      <c r="K2141">
        <v>2400</v>
      </c>
      <c r="L2141">
        <v>0</v>
      </c>
      <c r="M2141">
        <v>0</v>
      </c>
      <c r="N2141">
        <v>2400</v>
      </c>
    </row>
    <row r="2142" spans="1:14" x14ac:dyDescent="0.25">
      <c r="A2142">
        <v>1463.60868</v>
      </c>
      <c r="B2142" s="1">
        <f>DATE(2014,5,3) + TIME(14,36,29)</f>
        <v>41762.608668981484</v>
      </c>
      <c r="C2142">
        <v>80</v>
      </c>
      <c r="D2142">
        <v>79.889114379999995</v>
      </c>
      <c r="E2142">
        <v>50</v>
      </c>
      <c r="F2142">
        <v>49.796733856000003</v>
      </c>
      <c r="G2142">
        <v>1345.3967285000001</v>
      </c>
      <c r="H2142">
        <v>1341.1916504000001</v>
      </c>
      <c r="I2142">
        <v>1322.890625</v>
      </c>
      <c r="J2142">
        <v>1319.1798096</v>
      </c>
      <c r="K2142">
        <v>2400</v>
      </c>
      <c r="L2142">
        <v>0</v>
      </c>
      <c r="M2142">
        <v>0</v>
      </c>
      <c r="N2142">
        <v>2400</v>
      </c>
    </row>
    <row r="2143" spans="1:14" x14ac:dyDescent="0.25">
      <c r="A2143">
        <v>1463.71748</v>
      </c>
      <c r="B2143" s="1">
        <f>DATE(2014,5,3) + TIME(17,13,10)</f>
        <v>41762.717476851853</v>
      </c>
      <c r="C2143">
        <v>80</v>
      </c>
      <c r="D2143">
        <v>79.904174804999997</v>
      </c>
      <c r="E2143">
        <v>50</v>
      </c>
      <c r="F2143">
        <v>49.790405272999998</v>
      </c>
      <c r="G2143">
        <v>1345.3968506000001</v>
      </c>
      <c r="H2143">
        <v>1341.1925048999999</v>
      </c>
      <c r="I2143">
        <v>1322.8901367000001</v>
      </c>
      <c r="J2143">
        <v>1319.1790771000001</v>
      </c>
      <c r="K2143">
        <v>2400</v>
      </c>
      <c r="L2143">
        <v>0</v>
      </c>
      <c r="M2143">
        <v>0</v>
      </c>
      <c r="N2143">
        <v>2400</v>
      </c>
    </row>
    <row r="2144" spans="1:14" x14ac:dyDescent="0.25">
      <c r="A2144">
        <v>1463.8290280000001</v>
      </c>
      <c r="B2144" s="1">
        <f>DATE(2014,5,3) + TIME(19,53,47)</f>
        <v>41762.829016203701</v>
      </c>
      <c r="C2144">
        <v>80</v>
      </c>
      <c r="D2144">
        <v>79.916786193999997</v>
      </c>
      <c r="E2144">
        <v>50</v>
      </c>
      <c r="F2144">
        <v>49.783954620000003</v>
      </c>
      <c r="G2144">
        <v>1345.3959961</v>
      </c>
      <c r="H2144">
        <v>1341.1926269999999</v>
      </c>
      <c r="I2144">
        <v>1322.8895264</v>
      </c>
      <c r="J2144">
        <v>1319.1783447</v>
      </c>
      <c r="K2144">
        <v>2400</v>
      </c>
      <c r="L2144">
        <v>0</v>
      </c>
      <c r="M2144">
        <v>0</v>
      </c>
      <c r="N2144">
        <v>2400</v>
      </c>
    </row>
    <row r="2145" spans="1:14" x14ac:dyDescent="0.25">
      <c r="A2145">
        <v>1463.942562</v>
      </c>
      <c r="B2145" s="1">
        <f>DATE(2014,5,3) + TIME(22,37,17)</f>
        <v>41762.942557870374</v>
      </c>
      <c r="C2145">
        <v>80</v>
      </c>
      <c r="D2145">
        <v>79.927253723000007</v>
      </c>
      <c r="E2145">
        <v>50</v>
      </c>
      <c r="F2145">
        <v>49.777423859000002</v>
      </c>
      <c r="G2145">
        <v>1345.3944091999999</v>
      </c>
      <c r="H2145">
        <v>1341.1923827999999</v>
      </c>
      <c r="I2145">
        <v>1322.8890381000001</v>
      </c>
      <c r="J2145">
        <v>1319.1776123</v>
      </c>
      <c r="K2145">
        <v>2400</v>
      </c>
      <c r="L2145">
        <v>0</v>
      </c>
      <c r="M2145">
        <v>0</v>
      </c>
      <c r="N2145">
        <v>2400</v>
      </c>
    </row>
    <row r="2146" spans="1:14" x14ac:dyDescent="0.25">
      <c r="A2146">
        <v>1464.0579379999999</v>
      </c>
      <c r="B2146" s="1">
        <f>DATE(2014,5,4) + TIME(1,23,25)</f>
        <v>41763.057928240742</v>
      </c>
      <c r="C2146">
        <v>80</v>
      </c>
      <c r="D2146">
        <v>79.935905457000004</v>
      </c>
      <c r="E2146">
        <v>50</v>
      </c>
      <c r="F2146">
        <v>49.770824431999998</v>
      </c>
      <c r="G2146">
        <v>1345.3922118999999</v>
      </c>
      <c r="H2146">
        <v>1341.1915283000001</v>
      </c>
      <c r="I2146">
        <v>1322.8884277</v>
      </c>
      <c r="J2146">
        <v>1319.1768798999999</v>
      </c>
      <c r="K2146">
        <v>2400</v>
      </c>
      <c r="L2146">
        <v>0</v>
      </c>
      <c r="M2146">
        <v>0</v>
      </c>
      <c r="N2146">
        <v>2400</v>
      </c>
    </row>
    <row r="2147" spans="1:14" x14ac:dyDescent="0.25">
      <c r="A2147">
        <v>1464.1753759999999</v>
      </c>
      <c r="B2147" s="1">
        <f>DATE(2014,5,4) + TIME(4,12,32)</f>
        <v>41763.175370370373</v>
      </c>
      <c r="C2147">
        <v>80</v>
      </c>
      <c r="D2147">
        <v>79.943038939999994</v>
      </c>
      <c r="E2147">
        <v>50</v>
      </c>
      <c r="F2147">
        <v>49.764141082999998</v>
      </c>
      <c r="G2147">
        <v>1345.3891602000001</v>
      </c>
      <c r="H2147">
        <v>1341.1903076000001</v>
      </c>
      <c r="I2147">
        <v>1322.8878173999999</v>
      </c>
      <c r="J2147">
        <v>1319.1760254000001</v>
      </c>
      <c r="K2147">
        <v>2400</v>
      </c>
      <c r="L2147">
        <v>0</v>
      </c>
      <c r="M2147">
        <v>0</v>
      </c>
      <c r="N2147">
        <v>2400</v>
      </c>
    </row>
    <row r="2148" spans="1:14" x14ac:dyDescent="0.25">
      <c r="A2148">
        <v>1464.2951330000001</v>
      </c>
      <c r="B2148" s="1">
        <f>DATE(2014,5,4) + TIME(7,4,59)</f>
        <v>41763.295127314814</v>
      </c>
      <c r="C2148">
        <v>80</v>
      </c>
      <c r="D2148">
        <v>79.948921204000001</v>
      </c>
      <c r="E2148">
        <v>50</v>
      </c>
      <c r="F2148">
        <v>49.757366179999998</v>
      </c>
      <c r="G2148">
        <v>1345.3856201000001</v>
      </c>
      <c r="H2148">
        <v>1341.1885986</v>
      </c>
      <c r="I2148">
        <v>1322.887207</v>
      </c>
      <c r="J2148">
        <v>1319.175293</v>
      </c>
      <c r="K2148">
        <v>2400</v>
      </c>
      <c r="L2148">
        <v>0</v>
      </c>
      <c r="M2148">
        <v>0</v>
      </c>
      <c r="N2148">
        <v>2400</v>
      </c>
    </row>
    <row r="2149" spans="1:14" x14ac:dyDescent="0.25">
      <c r="A2149">
        <v>1464.41743</v>
      </c>
      <c r="B2149" s="1">
        <f>DATE(2014,5,4) + TIME(10,1,5)</f>
        <v>41763.41741898148</v>
      </c>
      <c r="C2149">
        <v>80</v>
      </c>
      <c r="D2149">
        <v>79.953765868999994</v>
      </c>
      <c r="E2149">
        <v>50</v>
      </c>
      <c r="F2149">
        <v>49.750480652</v>
      </c>
      <c r="G2149">
        <v>1345.3813477000001</v>
      </c>
      <c r="H2149">
        <v>1341.1866454999999</v>
      </c>
      <c r="I2149">
        <v>1322.8865966999999</v>
      </c>
      <c r="J2149">
        <v>1319.1745605000001</v>
      </c>
      <c r="K2149">
        <v>2400</v>
      </c>
      <c r="L2149">
        <v>0</v>
      </c>
      <c r="M2149">
        <v>0</v>
      </c>
      <c r="N2149">
        <v>2400</v>
      </c>
    </row>
    <row r="2150" spans="1:14" x14ac:dyDescent="0.25">
      <c r="A2150">
        <v>1464.542504</v>
      </c>
      <c r="B2150" s="1">
        <f>DATE(2014,5,4) + TIME(13,1,12)</f>
        <v>41763.542500000003</v>
      </c>
      <c r="C2150">
        <v>80</v>
      </c>
      <c r="D2150">
        <v>79.957740783999995</v>
      </c>
      <c r="E2150">
        <v>50</v>
      </c>
      <c r="F2150">
        <v>49.743480681999998</v>
      </c>
      <c r="G2150">
        <v>1345.3765868999999</v>
      </c>
      <c r="H2150">
        <v>1341.1842041</v>
      </c>
      <c r="I2150">
        <v>1322.8859863</v>
      </c>
      <c r="J2150">
        <v>1319.1737060999999</v>
      </c>
      <c r="K2150">
        <v>2400</v>
      </c>
      <c r="L2150">
        <v>0</v>
      </c>
      <c r="M2150">
        <v>0</v>
      </c>
      <c r="N2150">
        <v>2400</v>
      </c>
    </row>
    <row r="2151" spans="1:14" x14ac:dyDescent="0.25">
      <c r="A2151">
        <v>1464.6706389999999</v>
      </c>
      <c r="B2151" s="1">
        <f>DATE(2014,5,4) + TIME(16,5,43)</f>
        <v>41763.670636574076</v>
      </c>
      <c r="C2151">
        <v>80</v>
      </c>
      <c r="D2151">
        <v>79.960998535000002</v>
      </c>
      <c r="E2151">
        <v>50</v>
      </c>
      <c r="F2151">
        <v>49.736351012999997</v>
      </c>
      <c r="G2151">
        <v>1345.3713379000001</v>
      </c>
      <c r="H2151">
        <v>1341.1815185999999</v>
      </c>
      <c r="I2151">
        <v>1322.885376</v>
      </c>
      <c r="J2151">
        <v>1319.1728516000001</v>
      </c>
      <c r="K2151">
        <v>2400</v>
      </c>
      <c r="L2151">
        <v>0</v>
      </c>
      <c r="M2151">
        <v>0</v>
      </c>
      <c r="N2151">
        <v>2400</v>
      </c>
    </row>
    <row r="2152" spans="1:14" x14ac:dyDescent="0.25">
      <c r="A2152">
        <v>1464.8022269999999</v>
      </c>
      <c r="B2152" s="1">
        <f>DATE(2014,5,4) + TIME(19,15,12)</f>
        <v>41763.802222222221</v>
      </c>
      <c r="C2152">
        <v>80</v>
      </c>
      <c r="D2152">
        <v>79.963661193999997</v>
      </c>
      <c r="E2152">
        <v>50</v>
      </c>
      <c r="F2152">
        <v>49.729068755999997</v>
      </c>
      <c r="G2152">
        <v>1345.3654785000001</v>
      </c>
      <c r="H2152">
        <v>1341.1784668</v>
      </c>
      <c r="I2152">
        <v>1322.8847656</v>
      </c>
      <c r="J2152">
        <v>1319.1719971</v>
      </c>
      <c r="K2152">
        <v>2400</v>
      </c>
      <c r="L2152">
        <v>0</v>
      </c>
      <c r="M2152">
        <v>0</v>
      </c>
      <c r="N2152">
        <v>2400</v>
      </c>
    </row>
    <row r="2153" spans="1:14" x14ac:dyDescent="0.25">
      <c r="A2153">
        <v>1464.9376119999999</v>
      </c>
      <c r="B2153" s="1">
        <f>DATE(2014,5,4) + TIME(22,30,9)</f>
        <v>41763.937604166669</v>
      </c>
      <c r="C2153">
        <v>80</v>
      </c>
      <c r="D2153">
        <v>79.965835571</v>
      </c>
      <c r="E2153">
        <v>50</v>
      </c>
      <c r="F2153">
        <v>49.721626282000003</v>
      </c>
      <c r="G2153">
        <v>1345.3591309000001</v>
      </c>
      <c r="H2153">
        <v>1341.1750488</v>
      </c>
      <c r="I2153">
        <v>1322.8840332</v>
      </c>
      <c r="J2153">
        <v>1319.1711425999999</v>
      </c>
      <c r="K2153">
        <v>2400</v>
      </c>
      <c r="L2153">
        <v>0</v>
      </c>
      <c r="M2153">
        <v>0</v>
      </c>
      <c r="N2153">
        <v>2400</v>
      </c>
    </row>
    <row r="2154" spans="1:14" x14ac:dyDescent="0.25">
      <c r="A2154">
        <v>1465.077178</v>
      </c>
      <c r="B2154" s="1">
        <f>DATE(2014,5,5) + TIME(1,51,8)</f>
        <v>41764.077175925922</v>
      </c>
      <c r="C2154">
        <v>80</v>
      </c>
      <c r="D2154">
        <v>79.967605590999995</v>
      </c>
      <c r="E2154">
        <v>50</v>
      </c>
      <c r="F2154">
        <v>49.714000702</v>
      </c>
      <c r="G2154">
        <v>1345.3524170000001</v>
      </c>
      <c r="H2154">
        <v>1341.1715088000001</v>
      </c>
      <c r="I2154">
        <v>1322.8834228999999</v>
      </c>
      <c r="J2154">
        <v>1319.1702881000001</v>
      </c>
      <c r="K2154">
        <v>2400</v>
      </c>
      <c r="L2154">
        <v>0</v>
      </c>
      <c r="M2154">
        <v>0</v>
      </c>
      <c r="N2154">
        <v>2400</v>
      </c>
    </row>
    <row r="2155" spans="1:14" x14ac:dyDescent="0.25">
      <c r="A2155">
        <v>1465.221352</v>
      </c>
      <c r="B2155" s="1">
        <f>DATE(2014,5,5) + TIME(5,18,44)</f>
        <v>41764.221342592595</v>
      </c>
      <c r="C2155">
        <v>80</v>
      </c>
      <c r="D2155">
        <v>79.969039917000003</v>
      </c>
      <c r="E2155">
        <v>50</v>
      </c>
      <c r="F2155">
        <v>49.706172942999999</v>
      </c>
      <c r="G2155">
        <v>1345.3450928</v>
      </c>
      <c r="H2155">
        <v>1341.1676024999999</v>
      </c>
      <c r="I2155">
        <v>1322.8826904</v>
      </c>
      <c r="J2155">
        <v>1319.1693115</v>
      </c>
      <c r="K2155">
        <v>2400</v>
      </c>
      <c r="L2155">
        <v>0</v>
      </c>
      <c r="M2155">
        <v>0</v>
      </c>
      <c r="N2155">
        <v>2400</v>
      </c>
    </row>
    <row r="2156" spans="1:14" x14ac:dyDescent="0.25">
      <c r="A2156">
        <v>1465.3706119999999</v>
      </c>
      <c r="B2156" s="1">
        <f>DATE(2014,5,5) + TIME(8,53,40)</f>
        <v>41764.37060185185</v>
      </c>
      <c r="C2156">
        <v>80</v>
      </c>
      <c r="D2156">
        <v>79.970207213999998</v>
      </c>
      <c r="E2156">
        <v>50</v>
      </c>
      <c r="F2156">
        <v>49.698123932000001</v>
      </c>
      <c r="G2156">
        <v>1345.3372803</v>
      </c>
      <c r="H2156">
        <v>1341.1633300999999</v>
      </c>
      <c r="I2156">
        <v>1322.8819579999999</v>
      </c>
      <c r="J2156">
        <v>1319.1683350000001</v>
      </c>
      <c r="K2156">
        <v>2400</v>
      </c>
      <c r="L2156">
        <v>0</v>
      </c>
      <c r="M2156">
        <v>0</v>
      </c>
      <c r="N2156">
        <v>2400</v>
      </c>
    </row>
    <row r="2157" spans="1:14" x14ac:dyDescent="0.25">
      <c r="A2157">
        <v>1465.5253230000001</v>
      </c>
      <c r="B2157" s="1">
        <f>DATE(2014,5,5) + TIME(12,36,27)</f>
        <v>41764.525312500002</v>
      </c>
      <c r="C2157">
        <v>80</v>
      </c>
      <c r="D2157">
        <v>79.971145629999995</v>
      </c>
      <c r="E2157">
        <v>50</v>
      </c>
      <c r="F2157">
        <v>49.689834595000001</v>
      </c>
      <c r="G2157">
        <v>1345.3291016000001</v>
      </c>
      <c r="H2157">
        <v>1341.1589355000001</v>
      </c>
      <c r="I2157">
        <v>1322.8812256000001</v>
      </c>
      <c r="J2157">
        <v>1319.1673584</v>
      </c>
      <c r="K2157">
        <v>2400</v>
      </c>
      <c r="L2157">
        <v>0</v>
      </c>
      <c r="M2157">
        <v>0</v>
      </c>
      <c r="N2157">
        <v>2400</v>
      </c>
    </row>
    <row r="2158" spans="1:14" x14ac:dyDescent="0.25">
      <c r="A2158">
        <v>1465.6836699999999</v>
      </c>
      <c r="B2158" s="1">
        <f>DATE(2014,5,5) + TIME(16,24,29)</f>
        <v>41764.683668981481</v>
      </c>
      <c r="C2158">
        <v>80</v>
      </c>
      <c r="D2158">
        <v>79.971885681000003</v>
      </c>
      <c r="E2158">
        <v>50</v>
      </c>
      <c r="F2158">
        <v>49.681388855000002</v>
      </c>
      <c r="G2158">
        <v>1345.3205565999999</v>
      </c>
      <c r="H2158">
        <v>1341.1542969</v>
      </c>
      <c r="I2158">
        <v>1322.8803711</v>
      </c>
      <c r="J2158">
        <v>1319.1663818</v>
      </c>
      <c r="K2158">
        <v>2400</v>
      </c>
      <c r="L2158">
        <v>0</v>
      </c>
      <c r="M2158">
        <v>0</v>
      </c>
      <c r="N2158">
        <v>2400</v>
      </c>
    </row>
    <row r="2159" spans="1:14" x14ac:dyDescent="0.25">
      <c r="A2159">
        <v>1465.846008</v>
      </c>
      <c r="B2159" s="1">
        <f>DATE(2014,5,5) + TIME(20,18,15)</f>
        <v>41764.846006944441</v>
      </c>
      <c r="C2159">
        <v>80</v>
      </c>
      <c r="D2159">
        <v>79.972480774000005</v>
      </c>
      <c r="E2159">
        <v>50</v>
      </c>
      <c r="F2159">
        <v>49.672775268999999</v>
      </c>
      <c r="G2159">
        <v>1345.3115233999999</v>
      </c>
      <c r="H2159">
        <v>1341.1494141000001</v>
      </c>
      <c r="I2159">
        <v>1322.8796387</v>
      </c>
      <c r="J2159">
        <v>1319.1652832</v>
      </c>
      <c r="K2159">
        <v>2400</v>
      </c>
      <c r="L2159">
        <v>0</v>
      </c>
      <c r="M2159">
        <v>0</v>
      </c>
      <c r="N2159">
        <v>2400</v>
      </c>
    </row>
    <row r="2160" spans="1:14" x14ac:dyDescent="0.25">
      <c r="A2160">
        <v>1466.0126720000001</v>
      </c>
      <c r="B2160" s="1">
        <f>DATE(2014,5,6) + TIME(0,18,14)</f>
        <v>41765.012662037036</v>
      </c>
      <c r="C2160">
        <v>80</v>
      </c>
      <c r="D2160">
        <v>79.972946167000003</v>
      </c>
      <c r="E2160">
        <v>50</v>
      </c>
      <c r="F2160">
        <v>49.663974762000002</v>
      </c>
      <c r="G2160">
        <v>1345.3022461</v>
      </c>
      <c r="H2160">
        <v>1341.1444091999999</v>
      </c>
      <c r="I2160">
        <v>1322.8787841999999</v>
      </c>
      <c r="J2160">
        <v>1319.1641846</v>
      </c>
      <c r="K2160">
        <v>2400</v>
      </c>
      <c r="L2160">
        <v>0</v>
      </c>
      <c r="M2160">
        <v>0</v>
      </c>
      <c r="N2160">
        <v>2400</v>
      </c>
    </row>
    <row r="2161" spans="1:14" x14ac:dyDescent="0.25">
      <c r="A2161">
        <v>1466.184027</v>
      </c>
      <c r="B2161" s="1">
        <f>DATE(2014,5,6) + TIME(4,24,59)</f>
        <v>41765.184016203704</v>
      </c>
      <c r="C2161">
        <v>80</v>
      </c>
      <c r="D2161">
        <v>79.973312378000003</v>
      </c>
      <c r="E2161">
        <v>50</v>
      </c>
      <c r="F2161">
        <v>49.654975890999999</v>
      </c>
      <c r="G2161">
        <v>1345.2927245999999</v>
      </c>
      <c r="H2161">
        <v>1341.1391602000001</v>
      </c>
      <c r="I2161">
        <v>1322.8779297000001</v>
      </c>
      <c r="J2161">
        <v>1319.1630858999999</v>
      </c>
      <c r="K2161">
        <v>2400</v>
      </c>
      <c r="L2161">
        <v>0</v>
      </c>
      <c r="M2161">
        <v>0</v>
      </c>
      <c r="N2161">
        <v>2400</v>
      </c>
    </row>
    <row r="2162" spans="1:14" x14ac:dyDescent="0.25">
      <c r="A2162">
        <v>1466.3605520000001</v>
      </c>
      <c r="B2162" s="1">
        <f>DATE(2014,5,6) + TIME(8,39,11)</f>
        <v>41765.360543981478</v>
      </c>
      <c r="C2162">
        <v>80</v>
      </c>
      <c r="D2162">
        <v>79.973609924000002</v>
      </c>
      <c r="E2162">
        <v>50</v>
      </c>
      <c r="F2162">
        <v>49.645755768000001</v>
      </c>
      <c r="G2162">
        <v>1345.2828368999999</v>
      </c>
      <c r="H2162">
        <v>1341.1337891000001</v>
      </c>
      <c r="I2162">
        <v>1322.8770752</v>
      </c>
      <c r="J2162">
        <v>1319.1619873</v>
      </c>
      <c r="K2162">
        <v>2400</v>
      </c>
      <c r="L2162">
        <v>0</v>
      </c>
      <c r="M2162">
        <v>0</v>
      </c>
      <c r="N2162">
        <v>2400</v>
      </c>
    </row>
    <row r="2163" spans="1:14" x14ac:dyDescent="0.25">
      <c r="A2163">
        <v>1466.542878</v>
      </c>
      <c r="B2163" s="1">
        <f>DATE(2014,5,6) + TIME(13,1,44)</f>
        <v>41765.542870370373</v>
      </c>
      <c r="C2163">
        <v>80</v>
      </c>
      <c r="D2163">
        <v>79.973838806000003</v>
      </c>
      <c r="E2163">
        <v>50</v>
      </c>
      <c r="F2163">
        <v>49.636291503999999</v>
      </c>
      <c r="G2163">
        <v>1345.2727050999999</v>
      </c>
      <c r="H2163">
        <v>1341.1282959</v>
      </c>
      <c r="I2163">
        <v>1322.8760986</v>
      </c>
      <c r="J2163">
        <v>1319.1607666</v>
      </c>
      <c r="K2163">
        <v>2400</v>
      </c>
      <c r="L2163">
        <v>0</v>
      </c>
      <c r="M2163">
        <v>0</v>
      </c>
      <c r="N2163">
        <v>2400</v>
      </c>
    </row>
    <row r="2164" spans="1:14" x14ac:dyDescent="0.25">
      <c r="A2164">
        <v>1466.7315630000001</v>
      </c>
      <c r="B2164" s="1">
        <f>DATE(2014,5,6) + TIME(17,33,27)</f>
        <v>41765.731562499997</v>
      </c>
      <c r="C2164">
        <v>80</v>
      </c>
      <c r="D2164">
        <v>79.974014281999999</v>
      </c>
      <c r="E2164">
        <v>50</v>
      </c>
      <c r="F2164">
        <v>49.626560210999997</v>
      </c>
      <c r="G2164">
        <v>1345.262207</v>
      </c>
      <c r="H2164">
        <v>1341.1226807</v>
      </c>
      <c r="I2164">
        <v>1322.8751221</v>
      </c>
      <c r="J2164">
        <v>1319.1595459</v>
      </c>
      <c r="K2164">
        <v>2400</v>
      </c>
      <c r="L2164">
        <v>0</v>
      </c>
      <c r="M2164">
        <v>0</v>
      </c>
      <c r="N2164">
        <v>2400</v>
      </c>
    </row>
    <row r="2165" spans="1:14" x14ac:dyDescent="0.25">
      <c r="A2165">
        <v>1466.927238</v>
      </c>
      <c r="B2165" s="1">
        <f>DATE(2014,5,6) + TIME(22,15,13)</f>
        <v>41765.927233796298</v>
      </c>
      <c r="C2165">
        <v>80</v>
      </c>
      <c r="D2165">
        <v>79.974159240999995</v>
      </c>
      <c r="E2165">
        <v>50</v>
      </c>
      <c r="F2165">
        <v>49.616535186999997</v>
      </c>
      <c r="G2165">
        <v>1345.2513428</v>
      </c>
      <c r="H2165">
        <v>1341.1168213000001</v>
      </c>
      <c r="I2165">
        <v>1322.8741454999999</v>
      </c>
      <c r="J2165">
        <v>1319.1583252</v>
      </c>
      <c r="K2165">
        <v>2400</v>
      </c>
      <c r="L2165">
        <v>0</v>
      </c>
      <c r="M2165">
        <v>0</v>
      </c>
      <c r="N2165">
        <v>2400</v>
      </c>
    </row>
    <row r="2166" spans="1:14" x14ac:dyDescent="0.25">
      <c r="A2166">
        <v>1467.1306219999999</v>
      </c>
      <c r="B2166" s="1">
        <f>DATE(2014,5,7) + TIME(3,8,5)</f>
        <v>41766.130613425928</v>
      </c>
      <c r="C2166">
        <v>80</v>
      </c>
      <c r="D2166">
        <v>79.974266052000004</v>
      </c>
      <c r="E2166">
        <v>50</v>
      </c>
      <c r="F2166">
        <v>49.606189727999997</v>
      </c>
      <c r="G2166">
        <v>1345.2402344</v>
      </c>
      <c r="H2166">
        <v>1341.1108397999999</v>
      </c>
      <c r="I2166">
        <v>1322.8731689000001</v>
      </c>
      <c r="J2166">
        <v>1319.1569824000001</v>
      </c>
      <c r="K2166">
        <v>2400</v>
      </c>
      <c r="L2166">
        <v>0</v>
      </c>
      <c r="M2166">
        <v>0</v>
      </c>
      <c r="N2166">
        <v>2400</v>
      </c>
    </row>
    <row r="2167" spans="1:14" x14ac:dyDescent="0.25">
      <c r="A2167">
        <v>1467.3411120000001</v>
      </c>
      <c r="B2167" s="1">
        <f>DATE(2014,5,7) + TIME(8,11,12)</f>
        <v>41766.341111111113</v>
      </c>
      <c r="C2167">
        <v>80</v>
      </c>
      <c r="D2167">
        <v>79.974349975999999</v>
      </c>
      <c r="E2167">
        <v>50</v>
      </c>
      <c r="F2167">
        <v>49.595542907999999</v>
      </c>
      <c r="G2167">
        <v>1345.2287598</v>
      </c>
      <c r="H2167">
        <v>1341.1047363</v>
      </c>
      <c r="I2167">
        <v>1322.8720702999999</v>
      </c>
      <c r="J2167">
        <v>1319.1556396000001</v>
      </c>
      <c r="K2167">
        <v>2400</v>
      </c>
      <c r="L2167">
        <v>0</v>
      </c>
      <c r="M2167">
        <v>0</v>
      </c>
      <c r="N2167">
        <v>2400</v>
      </c>
    </row>
    <row r="2168" spans="1:14" x14ac:dyDescent="0.25">
      <c r="A2168">
        <v>1467.556538</v>
      </c>
      <c r="B2168" s="1">
        <f>DATE(2014,5,7) + TIME(13,21,24)</f>
        <v>41766.556527777779</v>
      </c>
      <c r="C2168">
        <v>80</v>
      </c>
      <c r="D2168">
        <v>79.974411011000001</v>
      </c>
      <c r="E2168">
        <v>50</v>
      </c>
      <c r="F2168">
        <v>49.584686279000003</v>
      </c>
      <c r="G2168">
        <v>1345.2170410000001</v>
      </c>
      <c r="H2168">
        <v>1341.0983887</v>
      </c>
      <c r="I2168">
        <v>1322.8709716999999</v>
      </c>
      <c r="J2168">
        <v>1319.1541748</v>
      </c>
      <c r="K2168">
        <v>2400</v>
      </c>
      <c r="L2168">
        <v>0</v>
      </c>
      <c r="M2168">
        <v>0</v>
      </c>
      <c r="N2168">
        <v>2400</v>
      </c>
    </row>
    <row r="2169" spans="1:14" x14ac:dyDescent="0.25">
      <c r="A2169">
        <v>1467.7730220000001</v>
      </c>
      <c r="B2169" s="1">
        <f>DATE(2014,5,7) + TIME(18,33,9)</f>
        <v>41766.773020833331</v>
      </c>
      <c r="C2169">
        <v>80</v>
      </c>
      <c r="D2169">
        <v>79.974449157999999</v>
      </c>
      <c r="E2169">
        <v>50</v>
      </c>
      <c r="F2169">
        <v>49.573780059999997</v>
      </c>
      <c r="G2169">
        <v>1345.2052002</v>
      </c>
      <c r="H2169">
        <v>1341.0920410000001</v>
      </c>
      <c r="I2169">
        <v>1322.8698730000001</v>
      </c>
      <c r="J2169">
        <v>1319.1527100000001</v>
      </c>
      <c r="K2169">
        <v>2400</v>
      </c>
      <c r="L2169">
        <v>0</v>
      </c>
      <c r="M2169">
        <v>0</v>
      </c>
      <c r="N2169">
        <v>2400</v>
      </c>
    </row>
    <row r="2170" spans="1:14" x14ac:dyDescent="0.25">
      <c r="A2170">
        <v>1467.991066</v>
      </c>
      <c r="B2170" s="1">
        <f>DATE(2014,5,7) + TIME(23,47,8)</f>
        <v>41766.991064814814</v>
      </c>
      <c r="C2170">
        <v>80</v>
      </c>
      <c r="D2170">
        <v>79.974479674999998</v>
      </c>
      <c r="E2170">
        <v>50</v>
      </c>
      <c r="F2170">
        <v>49.56281662</v>
      </c>
      <c r="G2170">
        <v>1345.1934814000001</v>
      </c>
      <c r="H2170">
        <v>1341.0858154</v>
      </c>
      <c r="I2170">
        <v>1322.8686522999999</v>
      </c>
      <c r="J2170">
        <v>1319.1512451000001</v>
      </c>
      <c r="K2170">
        <v>2400</v>
      </c>
      <c r="L2170">
        <v>0</v>
      </c>
      <c r="M2170">
        <v>0</v>
      </c>
      <c r="N2170">
        <v>2400</v>
      </c>
    </row>
    <row r="2171" spans="1:14" x14ac:dyDescent="0.25">
      <c r="A2171">
        <v>1468.211151</v>
      </c>
      <c r="B2171" s="1">
        <f>DATE(2014,5,8) + TIME(5,4,3)</f>
        <v>41767.211145833331</v>
      </c>
      <c r="C2171">
        <v>80</v>
      </c>
      <c r="D2171">
        <v>79.974502563000001</v>
      </c>
      <c r="E2171">
        <v>50</v>
      </c>
      <c r="F2171">
        <v>49.551780700999998</v>
      </c>
      <c r="G2171">
        <v>1345.1817627</v>
      </c>
      <c r="H2171">
        <v>1341.0795897999999</v>
      </c>
      <c r="I2171">
        <v>1322.8675536999999</v>
      </c>
      <c r="J2171">
        <v>1319.1497803</v>
      </c>
      <c r="K2171">
        <v>2400</v>
      </c>
      <c r="L2171">
        <v>0</v>
      </c>
      <c r="M2171">
        <v>0</v>
      </c>
      <c r="N2171">
        <v>2400</v>
      </c>
    </row>
    <row r="2172" spans="1:14" x14ac:dyDescent="0.25">
      <c r="A2172">
        <v>1468.433843</v>
      </c>
      <c r="B2172" s="1">
        <f>DATE(2014,5,8) + TIME(10,24,44)</f>
        <v>41767.433842592596</v>
      </c>
      <c r="C2172">
        <v>80</v>
      </c>
      <c r="D2172">
        <v>79.974510193</v>
      </c>
      <c r="E2172">
        <v>50</v>
      </c>
      <c r="F2172">
        <v>49.540657043000003</v>
      </c>
      <c r="G2172">
        <v>1345.1701660000001</v>
      </c>
      <c r="H2172">
        <v>1341.0734863</v>
      </c>
      <c r="I2172">
        <v>1322.8663329999999</v>
      </c>
      <c r="J2172">
        <v>1319.1483154</v>
      </c>
      <c r="K2172">
        <v>2400</v>
      </c>
      <c r="L2172">
        <v>0</v>
      </c>
      <c r="M2172">
        <v>0</v>
      </c>
      <c r="N2172">
        <v>2400</v>
      </c>
    </row>
    <row r="2173" spans="1:14" x14ac:dyDescent="0.25">
      <c r="A2173">
        <v>1468.6595480000001</v>
      </c>
      <c r="B2173" s="1">
        <f>DATE(2014,5,8) + TIME(15,49,44)</f>
        <v>41767.659537037034</v>
      </c>
      <c r="C2173">
        <v>80</v>
      </c>
      <c r="D2173">
        <v>79.974510193</v>
      </c>
      <c r="E2173">
        <v>50</v>
      </c>
      <c r="F2173">
        <v>49.529430388999998</v>
      </c>
      <c r="G2173">
        <v>1345.1585693</v>
      </c>
      <c r="H2173">
        <v>1341.0672606999999</v>
      </c>
      <c r="I2173">
        <v>1322.8651123</v>
      </c>
      <c r="J2173">
        <v>1319.1467285000001</v>
      </c>
      <c r="K2173">
        <v>2400</v>
      </c>
      <c r="L2173">
        <v>0</v>
      </c>
      <c r="M2173">
        <v>0</v>
      </c>
      <c r="N2173">
        <v>2400</v>
      </c>
    </row>
    <row r="2174" spans="1:14" x14ac:dyDescent="0.25">
      <c r="A2174">
        <v>1468.8887609999999</v>
      </c>
      <c r="B2174" s="1">
        <f>DATE(2014,5,8) + TIME(21,19,48)</f>
        <v>41767.888749999998</v>
      </c>
      <c r="C2174">
        <v>80</v>
      </c>
      <c r="D2174">
        <v>79.974510193</v>
      </c>
      <c r="E2174">
        <v>50</v>
      </c>
      <c r="F2174">
        <v>49.518089293999999</v>
      </c>
      <c r="G2174">
        <v>1345.1469727000001</v>
      </c>
      <c r="H2174">
        <v>1341.0612793</v>
      </c>
      <c r="I2174">
        <v>1322.8638916</v>
      </c>
      <c r="J2174">
        <v>1319.1451416</v>
      </c>
      <c r="K2174">
        <v>2400</v>
      </c>
      <c r="L2174">
        <v>0</v>
      </c>
      <c r="M2174">
        <v>0</v>
      </c>
      <c r="N2174">
        <v>2400</v>
      </c>
    </row>
    <row r="2175" spans="1:14" x14ac:dyDescent="0.25">
      <c r="A2175">
        <v>1469.1224119999999</v>
      </c>
      <c r="B2175" s="1">
        <f>DATE(2014,5,9) + TIME(2,56,16)</f>
        <v>41768.122407407405</v>
      </c>
      <c r="C2175">
        <v>80</v>
      </c>
      <c r="D2175">
        <v>79.974502563000001</v>
      </c>
      <c r="E2175">
        <v>50</v>
      </c>
      <c r="F2175">
        <v>49.506595611999998</v>
      </c>
      <c r="G2175">
        <v>1345.1354980000001</v>
      </c>
      <c r="H2175">
        <v>1341.0551757999999</v>
      </c>
      <c r="I2175">
        <v>1322.8626709</v>
      </c>
      <c r="J2175">
        <v>1319.1435547000001</v>
      </c>
      <c r="K2175">
        <v>2400</v>
      </c>
      <c r="L2175">
        <v>0</v>
      </c>
      <c r="M2175">
        <v>0</v>
      </c>
      <c r="N2175">
        <v>2400</v>
      </c>
    </row>
    <row r="2176" spans="1:14" x14ac:dyDescent="0.25">
      <c r="A2176">
        <v>1469.361124</v>
      </c>
      <c r="B2176" s="1">
        <f>DATE(2014,5,9) + TIME(8,40,1)</f>
        <v>41768.361122685186</v>
      </c>
      <c r="C2176">
        <v>80</v>
      </c>
      <c r="D2176">
        <v>79.974487304999997</v>
      </c>
      <c r="E2176">
        <v>50</v>
      </c>
      <c r="F2176">
        <v>49.494922637999998</v>
      </c>
      <c r="G2176">
        <v>1345.1239014</v>
      </c>
      <c r="H2176">
        <v>1341.0490723</v>
      </c>
      <c r="I2176">
        <v>1322.8614502</v>
      </c>
      <c r="J2176">
        <v>1319.1419678</v>
      </c>
      <c r="K2176">
        <v>2400</v>
      </c>
      <c r="L2176">
        <v>0</v>
      </c>
      <c r="M2176">
        <v>0</v>
      </c>
      <c r="N2176">
        <v>2400</v>
      </c>
    </row>
    <row r="2177" spans="1:14" x14ac:dyDescent="0.25">
      <c r="A2177">
        <v>1469.605558</v>
      </c>
      <c r="B2177" s="1">
        <f>DATE(2014,5,9) + TIME(14,32,0)</f>
        <v>41768.605555555558</v>
      </c>
      <c r="C2177">
        <v>80</v>
      </c>
      <c r="D2177">
        <v>79.974472046000002</v>
      </c>
      <c r="E2177">
        <v>50</v>
      </c>
      <c r="F2177">
        <v>49.4830513</v>
      </c>
      <c r="G2177">
        <v>1345.1123047000001</v>
      </c>
      <c r="H2177">
        <v>1341.0429687999999</v>
      </c>
      <c r="I2177">
        <v>1322.8601074000001</v>
      </c>
      <c r="J2177">
        <v>1319.1402588000001</v>
      </c>
      <c r="K2177">
        <v>2400</v>
      </c>
      <c r="L2177">
        <v>0</v>
      </c>
      <c r="M2177">
        <v>0</v>
      </c>
      <c r="N2177">
        <v>2400</v>
      </c>
    </row>
    <row r="2178" spans="1:14" x14ac:dyDescent="0.25">
      <c r="A2178">
        <v>1469.856432</v>
      </c>
      <c r="B2178" s="1">
        <f>DATE(2014,5,9) + TIME(20,33,15)</f>
        <v>41768.856423611112</v>
      </c>
      <c r="C2178">
        <v>80</v>
      </c>
      <c r="D2178">
        <v>79.974456786999994</v>
      </c>
      <c r="E2178">
        <v>50</v>
      </c>
      <c r="F2178">
        <v>49.470951079999999</v>
      </c>
      <c r="G2178">
        <v>1345.1005858999999</v>
      </c>
      <c r="H2178">
        <v>1341.0369873</v>
      </c>
      <c r="I2178">
        <v>1322.8587646000001</v>
      </c>
      <c r="J2178">
        <v>1319.1385498</v>
      </c>
      <c r="K2178">
        <v>2400</v>
      </c>
      <c r="L2178">
        <v>0</v>
      </c>
      <c r="M2178">
        <v>0</v>
      </c>
      <c r="N2178">
        <v>2400</v>
      </c>
    </row>
    <row r="2179" spans="1:14" x14ac:dyDescent="0.25">
      <c r="A2179">
        <v>1470.11454</v>
      </c>
      <c r="B2179" s="1">
        <f>DATE(2014,5,10) + TIME(2,44,56)</f>
        <v>41769.114537037036</v>
      </c>
      <c r="C2179">
        <v>80</v>
      </c>
      <c r="D2179">
        <v>79.974433899000005</v>
      </c>
      <c r="E2179">
        <v>50</v>
      </c>
      <c r="F2179">
        <v>49.458591460999997</v>
      </c>
      <c r="G2179">
        <v>1345.0887451000001</v>
      </c>
      <c r="H2179">
        <v>1341.0307617000001</v>
      </c>
      <c r="I2179">
        <v>1322.8574219</v>
      </c>
      <c r="J2179">
        <v>1319.1368408000001</v>
      </c>
      <c r="K2179">
        <v>2400</v>
      </c>
      <c r="L2179">
        <v>0</v>
      </c>
      <c r="M2179">
        <v>0</v>
      </c>
      <c r="N2179">
        <v>2400</v>
      </c>
    </row>
    <row r="2180" spans="1:14" x14ac:dyDescent="0.25">
      <c r="A2180">
        <v>1470.377493</v>
      </c>
      <c r="B2180" s="1">
        <f>DATE(2014,5,10) + TIME(9,3,35)</f>
        <v>41769.377488425926</v>
      </c>
      <c r="C2180">
        <v>80</v>
      </c>
      <c r="D2180">
        <v>79.974418639999996</v>
      </c>
      <c r="E2180">
        <v>50</v>
      </c>
      <c r="F2180">
        <v>49.446056366000001</v>
      </c>
      <c r="G2180">
        <v>1345.0767822</v>
      </c>
      <c r="H2180">
        <v>1341.0246582</v>
      </c>
      <c r="I2180">
        <v>1322.855957</v>
      </c>
      <c r="J2180">
        <v>1319.1350098</v>
      </c>
      <c r="K2180">
        <v>2400</v>
      </c>
      <c r="L2180">
        <v>0</v>
      </c>
      <c r="M2180">
        <v>0</v>
      </c>
      <c r="N2180">
        <v>2400</v>
      </c>
    </row>
    <row r="2181" spans="1:14" x14ac:dyDescent="0.25">
      <c r="A2181">
        <v>1470.644798</v>
      </c>
      <c r="B2181" s="1">
        <f>DATE(2014,5,10) + TIME(15,28,30)</f>
        <v>41769.644791666666</v>
      </c>
      <c r="C2181">
        <v>80</v>
      </c>
      <c r="D2181">
        <v>79.974388122999997</v>
      </c>
      <c r="E2181">
        <v>50</v>
      </c>
      <c r="F2181">
        <v>49.433368682999998</v>
      </c>
      <c r="G2181">
        <v>1345.0649414</v>
      </c>
      <c r="H2181">
        <v>1341.0184326000001</v>
      </c>
      <c r="I2181">
        <v>1322.8544922000001</v>
      </c>
      <c r="J2181">
        <v>1319.1330565999999</v>
      </c>
      <c r="K2181">
        <v>2400</v>
      </c>
      <c r="L2181">
        <v>0</v>
      </c>
      <c r="M2181">
        <v>0</v>
      </c>
      <c r="N2181">
        <v>2400</v>
      </c>
    </row>
    <row r="2182" spans="1:14" x14ac:dyDescent="0.25">
      <c r="A2182">
        <v>1470.9170140000001</v>
      </c>
      <c r="B2182" s="1">
        <f>DATE(2014,5,10) + TIME(22,0,29)</f>
        <v>41769.917002314818</v>
      </c>
      <c r="C2182">
        <v>80</v>
      </c>
      <c r="D2182">
        <v>79.974365234000004</v>
      </c>
      <c r="E2182">
        <v>50</v>
      </c>
      <c r="F2182">
        <v>49.420513153000002</v>
      </c>
      <c r="G2182">
        <v>1345.0529785000001</v>
      </c>
      <c r="H2182">
        <v>1341.0123291</v>
      </c>
      <c r="I2182">
        <v>1322.8530272999999</v>
      </c>
      <c r="J2182">
        <v>1319.1311035000001</v>
      </c>
      <c r="K2182">
        <v>2400</v>
      </c>
      <c r="L2182">
        <v>0</v>
      </c>
      <c r="M2182">
        <v>0</v>
      </c>
      <c r="N2182">
        <v>2400</v>
      </c>
    </row>
    <row r="2183" spans="1:14" x14ac:dyDescent="0.25">
      <c r="A2183">
        <v>1471.193066</v>
      </c>
      <c r="B2183" s="1">
        <f>DATE(2014,5,11) + TIME(4,38,0)</f>
        <v>41770.193055555559</v>
      </c>
      <c r="C2183">
        <v>80</v>
      </c>
      <c r="D2183">
        <v>79.974334717000005</v>
      </c>
      <c r="E2183">
        <v>50</v>
      </c>
      <c r="F2183">
        <v>49.407527924</v>
      </c>
      <c r="G2183">
        <v>1345.0410156</v>
      </c>
      <c r="H2183">
        <v>1341.0062256000001</v>
      </c>
      <c r="I2183">
        <v>1322.8514404</v>
      </c>
      <c r="J2183">
        <v>1319.1291504000001</v>
      </c>
      <c r="K2183">
        <v>2400</v>
      </c>
      <c r="L2183">
        <v>0</v>
      </c>
      <c r="M2183">
        <v>0</v>
      </c>
      <c r="N2183">
        <v>2400</v>
      </c>
    </row>
    <row r="2184" spans="1:14" x14ac:dyDescent="0.25">
      <c r="A2184">
        <v>1471.4734599999999</v>
      </c>
      <c r="B2184" s="1">
        <f>DATE(2014,5,11) + TIME(11,21,46)</f>
        <v>41770.473449074074</v>
      </c>
      <c r="C2184">
        <v>80</v>
      </c>
      <c r="D2184">
        <v>79.974311829000001</v>
      </c>
      <c r="E2184">
        <v>50</v>
      </c>
      <c r="F2184">
        <v>49.394405364999997</v>
      </c>
      <c r="G2184">
        <v>1345.0291748</v>
      </c>
      <c r="H2184">
        <v>1341.0002440999999</v>
      </c>
      <c r="I2184">
        <v>1322.8498535000001</v>
      </c>
      <c r="J2184">
        <v>1319.1271973</v>
      </c>
      <c r="K2184">
        <v>2400</v>
      </c>
      <c r="L2184">
        <v>0</v>
      </c>
      <c r="M2184">
        <v>0</v>
      </c>
      <c r="N2184">
        <v>2400</v>
      </c>
    </row>
    <row r="2185" spans="1:14" x14ac:dyDescent="0.25">
      <c r="A2185">
        <v>1471.7586779999999</v>
      </c>
      <c r="B2185" s="1">
        <f>DATE(2014,5,11) + TIME(18,12,29)</f>
        <v>41770.758668981478</v>
      </c>
      <c r="C2185">
        <v>80</v>
      </c>
      <c r="D2185">
        <v>79.974281310999999</v>
      </c>
      <c r="E2185">
        <v>50</v>
      </c>
      <c r="F2185">
        <v>49.381126404</v>
      </c>
      <c r="G2185">
        <v>1345.0174560999999</v>
      </c>
      <c r="H2185">
        <v>1340.9941406</v>
      </c>
      <c r="I2185">
        <v>1322.8482666</v>
      </c>
      <c r="J2185">
        <v>1319.1251221</v>
      </c>
      <c r="K2185">
        <v>2400</v>
      </c>
      <c r="L2185">
        <v>0</v>
      </c>
      <c r="M2185">
        <v>0</v>
      </c>
      <c r="N2185">
        <v>2400</v>
      </c>
    </row>
    <row r="2186" spans="1:14" x14ac:dyDescent="0.25">
      <c r="A2186">
        <v>1472.0493100000001</v>
      </c>
      <c r="B2186" s="1">
        <f>DATE(2014,5,12) + TIME(1,11,0)</f>
        <v>41771.049305555556</v>
      </c>
      <c r="C2186">
        <v>80</v>
      </c>
      <c r="D2186">
        <v>79.974250792999996</v>
      </c>
      <c r="E2186">
        <v>50</v>
      </c>
      <c r="F2186">
        <v>49.367675781000003</v>
      </c>
      <c r="G2186">
        <v>1345.0056152</v>
      </c>
      <c r="H2186">
        <v>1340.9881591999999</v>
      </c>
      <c r="I2186">
        <v>1322.8466797000001</v>
      </c>
      <c r="J2186">
        <v>1319.1230469</v>
      </c>
      <c r="K2186">
        <v>2400</v>
      </c>
      <c r="L2186">
        <v>0</v>
      </c>
      <c r="M2186">
        <v>0</v>
      </c>
      <c r="N2186">
        <v>2400</v>
      </c>
    </row>
    <row r="2187" spans="1:14" x14ac:dyDescent="0.25">
      <c r="A2187">
        <v>1472.3465639999999</v>
      </c>
      <c r="B2187" s="1">
        <f>DATE(2014,5,12) + TIME(8,19,3)</f>
        <v>41771.346562500003</v>
      </c>
      <c r="C2187">
        <v>80</v>
      </c>
      <c r="D2187">
        <v>79.974220275999997</v>
      </c>
      <c r="E2187">
        <v>50</v>
      </c>
      <c r="F2187">
        <v>49.354011536000002</v>
      </c>
      <c r="G2187">
        <v>1344.9938964999999</v>
      </c>
      <c r="H2187">
        <v>1340.9822998</v>
      </c>
      <c r="I2187">
        <v>1322.8449707</v>
      </c>
      <c r="J2187">
        <v>1319.1208495999999</v>
      </c>
      <c r="K2187">
        <v>2400</v>
      </c>
      <c r="L2187">
        <v>0</v>
      </c>
      <c r="M2187">
        <v>0</v>
      </c>
      <c r="N2187">
        <v>2400</v>
      </c>
    </row>
    <row r="2188" spans="1:14" x14ac:dyDescent="0.25">
      <c r="A2188">
        <v>1472.651423</v>
      </c>
      <c r="B2188" s="1">
        <f>DATE(2014,5,12) + TIME(15,38,2)</f>
        <v>41771.651412037034</v>
      </c>
      <c r="C2188">
        <v>80</v>
      </c>
      <c r="D2188">
        <v>79.974189757999994</v>
      </c>
      <c r="E2188">
        <v>50</v>
      </c>
      <c r="F2188">
        <v>49.340099334999998</v>
      </c>
      <c r="G2188">
        <v>1344.9820557</v>
      </c>
      <c r="H2188">
        <v>1340.9763184000001</v>
      </c>
      <c r="I2188">
        <v>1322.8432617000001</v>
      </c>
      <c r="J2188">
        <v>1319.1186522999999</v>
      </c>
      <c r="K2188">
        <v>2400</v>
      </c>
      <c r="L2188">
        <v>0</v>
      </c>
      <c r="M2188">
        <v>0</v>
      </c>
      <c r="N2188">
        <v>2400</v>
      </c>
    </row>
    <row r="2189" spans="1:14" x14ac:dyDescent="0.25">
      <c r="A2189">
        <v>1472.9647809999999</v>
      </c>
      <c r="B2189" s="1">
        <f>DATE(2014,5,12) + TIME(23,9,17)</f>
        <v>41771.964780092596</v>
      </c>
      <c r="C2189">
        <v>80</v>
      </c>
      <c r="D2189">
        <v>79.974151610999996</v>
      </c>
      <c r="E2189">
        <v>50</v>
      </c>
      <c r="F2189">
        <v>49.325904846</v>
      </c>
      <c r="G2189">
        <v>1344.9700928</v>
      </c>
      <c r="H2189">
        <v>1340.9703368999999</v>
      </c>
      <c r="I2189">
        <v>1322.8415527</v>
      </c>
      <c r="J2189">
        <v>1319.1163329999999</v>
      </c>
      <c r="K2189">
        <v>2400</v>
      </c>
      <c r="L2189">
        <v>0</v>
      </c>
      <c r="M2189">
        <v>0</v>
      </c>
      <c r="N2189">
        <v>2400</v>
      </c>
    </row>
    <row r="2190" spans="1:14" x14ac:dyDescent="0.25">
      <c r="A2190">
        <v>1473.2876429999999</v>
      </c>
      <c r="B2190" s="1">
        <f>DATE(2014,5,13) + TIME(6,54,12)</f>
        <v>41772.287638888891</v>
      </c>
      <c r="C2190">
        <v>80</v>
      </c>
      <c r="D2190">
        <v>79.974121093999997</v>
      </c>
      <c r="E2190">
        <v>50</v>
      </c>
      <c r="F2190">
        <v>49.311393738</v>
      </c>
      <c r="G2190">
        <v>1344.9581298999999</v>
      </c>
      <c r="H2190">
        <v>1340.9642334</v>
      </c>
      <c r="I2190">
        <v>1322.8397216999999</v>
      </c>
      <c r="J2190">
        <v>1319.1138916</v>
      </c>
      <c r="K2190">
        <v>2400</v>
      </c>
      <c r="L2190">
        <v>0</v>
      </c>
      <c r="M2190">
        <v>0</v>
      </c>
      <c r="N2190">
        <v>2400</v>
      </c>
    </row>
    <row r="2191" spans="1:14" x14ac:dyDescent="0.25">
      <c r="A2191">
        <v>1473.6211330000001</v>
      </c>
      <c r="B2191" s="1">
        <f>DATE(2014,5,13) + TIME(14,54,25)</f>
        <v>41772.621122685188</v>
      </c>
      <c r="C2191">
        <v>80</v>
      </c>
      <c r="D2191">
        <v>79.974090575999995</v>
      </c>
      <c r="E2191">
        <v>50</v>
      </c>
      <c r="F2191">
        <v>49.296527863000001</v>
      </c>
      <c r="G2191">
        <v>1344.9460449000001</v>
      </c>
      <c r="H2191">
        <v>1340.9581298999999</v>
      </c>
      <c r="I2191">
        <v>1322.8377685999999</v>
      </c>
      <c r="J2191">
        <v>1319.1114502</v>
      </c>
      <c r="K2191">
        <v>2400</v>
      </c>
      <c r="L2191">
        <v>0</v>
      </c>
      <c r="M2191">
        <v>0</v>
      </c>
      <c r="N2191">
        <v>2400</v>
      </c>
    </row>
    <row r="2192" spans="1:14" x14ac:dyDescent="0.25">
      <c r="A2192">
        <v>1473.964401</v>
      </c>
      <c r="B2192" s="1">
        <f>DATE(2014,5,13) + TIME(23,8,44)</f>
        <v>41772.964398148149</v>
      </c>
      <c r="C2192">
        <v>80</v>
      </c>
      <c r="D2192">
        <v>79.974052428999997</v>
      </c>
      <c r="E2192">
        <v>50</v>
      </c>
      <c r="F2192">
        <v>49.281326294000003</v>
      </c>
      <c r="G2192">
        <v>1344.9337158000001</v>
      </c>
      <c r="H2192">
        <v>1340.9520264</v>
      </c>
      <c r="I2192">
        <v>1322.8358154</v>
      </c>
      <c r="J2192">
        <v>1319.1088867000001</v>
      </c>
      <c r="K2192">
        <v>2400</v>
      </c>
      <c r="L2192">
        <v>0</v>
      </c>
      <c r="M2192">
        <v>0</v>
      </c>
      <c r="N2192">
        <v>2400</v>
      </c>
    </row>
    <row r="2193" spans="1:14" x14ac:dyDescent="0.25">
      <c r="A2193">
        <v>1474.3118959999999</v>
      </c>
      <c r="B2193" s="1">
        <f>DATE(2014,5,14) + TIME(7,29,7)</f>
        <v>41773.311886574076</v>
      </c>
      <c r="C2193">
        <v>80</v>
      </c>
      <c r="D2193">
        <v>79.974021911999998</v>
      </c>
      <c r="E2193">
        <v>50</v>
      </c>
      <c r="F2193">
        <v>49.265968323000003</v>
      </c>
      <c r="G2193">
        <v>1344.9212646000001</v>
      </c>
      <c r="H2193">
        <v>1340.9459228999999</v>
      </c>
      <c r="I2193">
        <v>1322.8337402</v>
      </c>
      <c r="J2193">
        <v>1319.1062012</v>
      </c>
      <c r="K2193">
        <v>2400</v>
      </c>
      <c r="L2193">
        <v>0</v>
      </c>
      <c r="M2193">
        <v>0</v>
      </c>
      <c r="N2193">
        <v>2400</v>
      </c>
    </row>
    <row r="2194" spans="1:14" x14ac:dyDescent="0.25">
      <c r="A2194">
        <v>1474.6632790000001</v>
      </c>
      <c r="B2194" s="1">
        <f>DATE(2014,5,14) + TIME(15,55,7)</f>
        <v>41773.663275462961</v>
      </c>
      <c r="C2194">
        <v>80</v>
      </c>
      <c r="D2194">
        <v>79.973983765</v>
      </c>
      <c r="E2194">
        <v>50</v>
      </c>
      <c r="F2194">
        <v>49.250476837000001</v>
      </c>
      <c r="G2194">
        <v>1344.9090576000001</v>
      </c>
      <c r="H2194">
        <v>1340.9398193</v>
      </c>
      <c r="I2194">
        <v>1322.8316649999999</v>
      </c>
      <c r="J2194">
        <v>1319.1035156</v>
      </c>
      <c r="K2194">
        <v>2400</v>
      </c>
      <c r="L2194">
        <v>0</v>
      </c>
      <c r="M2194">
        <v>0</v>
      </c>
      <c r="N2194">
        <v>2400</v>
      </c>
    </row>
    <row r="2195" spans="1:14" x14ac:dyDescent="0.25">
      <c r="A2195">
        <v>1475.019742</v>
      </c>
      <c r="B2195" s="1">
        <f>DATE(2014,5,15) + TIME(0,28,25)</f>
        <v>41774.019733796296</v>
      </c>
      <c r="C2195">
        <v>80</v>
      </c>
      <c r="D2195">
        <v>79.973945618000002</v>
      </c>
      <c r="E2195">
        <v>50</v>
      </c>
      <c r="F2195">
        <v>49.234836577999999</v>
      </c>
      <c r="G2195">
        <v>1344.8968506000001</v>
      </c>
      <c r="H2195">
        <v>1340.9337158000001</v>
      </c>
      <c r="I2195">
        <v>1322.8294678</v>
      </c>
      <c r="J2195">
        <v>1319.1007079999999</v>
      </c>
      <c r="K2195">
        <v>2400</v>
      </c>
      <c r="L2195">
        <v>0</v>
      </c>
      <c r="M2195">
        <v>0</v>
      </c>
      <c r="N2195">
        <v>2400</v>
      </c>
    </row>
    <row r="2196" spans="1:14" x14ac:dyDescent="0.25">
      <c r="A2196">
        <v>1475.382085</v>
      </c>
      <c r="B2196" s="1">
        <f>DATE(2014,5,15) + TIME(9,10,12)</f>
        <v>41774.38208333333</v>
      </c>
      <c r="C2196">
        <v>80</v>
      </c>
      <c r="D2196">
        <v>79.973915099999999</v>
      </c>
      <c r="E2196">
        <v>50</v>
      </c>
      <c r="F2196">
        <v>49.219028473000002</v>
      </c>
      <c r="G2196">
        <v>1344.8846435999999</v>
      </c>
      <c r="H2196">
        <v>1340.9277344</v>
      </c>
      <c r="I2196">
        <v>1322.8272704999999</v>
      </c>
      <c r="J2196">
        <v>1319.0979004000001</v>
      </c>
      <c r="K2196">
        <v>2400</v>
      </c>
      <c r="L2196">
        <v>0</v>
      </c>
      <c r="M2196">
        <v>0</v>
      </c>
      <c r="N2196">
        <v>2400</v>
      </c>
    </row>
    <row r="2197" spans="1:14" x14ac:dyDescent="0.25">
      <c r="A2197">
        <v>1475.7512859999999</v>
      </c>
      <c r="B2197" s="1">
        <f>DATE(2014,5,15) + TIME(18,1,51)</f>
        <v>41774.751284722224</v>
      </c>
      <c r="C2197">
        <v>80</v>
      </c>
      <c r="D2197">
        <v>79.973876953000001</v>
      </c>
      <c r="E2197">
        <v>50</v>
      </c>
      <c r="F2197">
        <v>49.203025818</v>
      </c>
      <c r="G2197">
        <v>1344.8725586</v>
      </c>
      <c r="H2197">
        <v>1340.9217529</v>
      </c>
      <c r="I2197">
        <v>1322.8250731999999</v>
      </c>
      <c r="J2197">
        <v>1319.0949707</v>
      </c>
      <c r="K2197">
        <v>2400</v>
      </c>
      <c r="L2197">
        <v>0</v>
      </c>
      <c r="M2197">
        <v>0</v>
      </c>
      <c r="N2197">
        <v>2400</v>
      </c>
    </row>
    <row r="2198" spans="1:14" x14ac:dyDescent="0.25">
      <c r="A2198">
        <v>1476.1283739999999</v>
      </c>
      <c r="B2198" s="1">
        <f>DATE(2014,5,16) + TIME(3,4,51)</f>
        <v>41775.128368055557</v>
      </c>
      <c r="C2198">
        <v>80</v>
      </c>
      <c r="D2198">
        <v>79.973838806000003</v>
      </c>
      <c r="E2198">
        <v>50</v>
      </c>
      <c r="F2198">
        <v>49.186798095999997</v>
      </c>
      <c r="G2198">
        <v>1344.8604736</v>
      </c>
      <c r="H2198">
        <v>1340.9157714999999</v>
      </c>
      <c r="I2198">
        <v>1322.8227539</v>
      </c>
      <c r="J2198">
        <v>1319.0919189000001</v>
      </c>
      <c r="K2198">
        <v>2400</v>
      </c>
      <c r="L2198">
        <v>0</v>
      </c>
      <c r="M2198">
        <v>0</v>
      </c>
      <c r="N2198">
        <v>2400</v>
      </c>
    </row>
    <row r="2199" spans="1:14" x14ac:dyDescent="0.25">
      <c r="A2199">
        <v>1476.514506</v>
      </c>
      <c r="B2199" s="1">
        <f>DATE(2014,5,16) + TIME(12,20,53)</f>
        <v>41775.514502314814</v>
      </c>
      <c r="C2199">
        <v>80</v>
      </c>
      <c r="D2199">
        <v>79.973808289000004</v>
      </c>
      <c r="E2199">
        <v>50</v>
      </c>
      <c r="F2199">
        <v>49.170310974000003</v>
      </c>
      <c r="G2199">
        <v>1344.8483887</v>
      </c>
      <c r="H2199">
        <v>1340.9099120999999</v>
      </c>
      <c r="I2199">
        <v>1322.8204346</v>
      </c>
      <c r="J2199">
        <v>1319.0888672000001</v>
      </c>
      <c r="K2199">
        <v>2400</v>
      </c>
      <c r="L2199">
        <v>0</v>
      </c>
      <c r="M2199">
        <v>0</v>
      </c>
      <c r="N2199">
        <v>2400</v>
      </c>
    </row>
    <row r="2200" spans="1:14" x14ac:dyDescent="0.25">
      <c r="A2200">
        <v>1476.9109060000001</v>
      </c>
      <c r="B2200" s="1">
        <f>DATE(2014,5,16) + TIME(21,51,42)</f>
        <v>41775.910902777781</v>
      </c>
      <c r="C2200">
        <v>80</v>
      </c>
      <c r="D2200">
        <v>79.973770142000006</v>
      </c>
      <c r="E2200">
        <v>50</v>
      </c>
      <c r="F2200">
        <v>49.153522490999997</v>
      </c>
      <c r="G2200">
        <v>1344.8361815999999</v>
      </c>
      <c r="H2200">
        <v>1340.9039307</v>
      </c>
      <c r="I2200">
        <v>1322.8179932</v>
      </c>
      <c r="J2200">
        <v>1319.0855713000001</v>
      </c>
      <c r="K2200">
        <v>2400</v>
      </c>
      <c r="L2200">
        <v>0</v>
      </c>
      <c r="M2200">
        <v>0</v>
      </c>
      <c r="N2200">
        <v>2400</v>
      </c>
    </row>
    <row r="2201" spans="1:14" x14ac:dyDescent="0.25">
      <c r="A2201">
        <v>1477.314795</v>
      </c>
      <c r="B2201" s="1">
        <f>DATE(2014,5,17) + TIME(7,33,18)</f>
        <v>41776.314791666664</v>
      </c>
      <c r="C2201">
        <v>80</v>
      </c>
      <c r="D2201">
        <v>79.973731994999994</v>
      </c>
      <c r="E2201">
        <v>50</v>
      </c>
      <c r="F2201">
        <v>49.136512756000002</v>
      </c>
      <c r="G2201">
        <v>1344.8238524999999</v>
      </c>
      <c r="H2201">
        <v>1340.8979492000001</v>
      </c>
      <c r="I2201">
        <v>1322.8154297000001</v>
      </c>
      <c r="J2201">
        <v>1319.0822754000001</v>
      </c>
      <c r="K2201">
        <v>2400</v>
      </c>
      <c r="L2201">
        <v>0</v>
      </c>
      <c r="M2201">
        <v>0</v>
      </c>
      <c r="N2201">
        <v>2400</v>
      </c>
    </row>
    <row r="2202" spans="1:14" x14ac:dyDescent="0.25">
      <c r="A2202">
        <v>1477.721131</v>
      </c>
      <c r="B2202" s="1">
        <f>DATE(2014,5,17) + TIME(17,18,25)</f>
        <v>41776.721122685187</v>
      </c>
      <c r="C2202">
        <v>80</v>
      </c>
      <c r="D2202">
        <v>79.973693847999996</v>
      </c>
      <c r="E2202">
        <v>50</v>
      </c>
      <c r="F2202">
        <v>49.119426726999997</v>
      </c>
      <c r="G2202">
        <v>1344.8116454999999</v>
      </c>
      <c r="H2202">
        <v>1340.8919678</v>
      </c>
      <c r="I2202">
        <v>1322.8128661999999</v>
      </c>
      <c r="J2202">
        <v>1319.0788574000001</v>
      </c>
      <c r="K2202">
        <v>2400</v>
      </c>
      <c r="L2202">
        <v>0</v>
      </c>
      <c r="M2202">
        <v>0</v>
      </c>
      <c r="N2202">
        <v>2400</v>
      </c>
    </row>
    <row r="2203" spans="1:14" x14ac:dyDescent="0.25">
      <c r="A2203">
        <v>1478.1307899999999</v>
      </c>
      <c r="B2203" s="1">
        <f>DATE(2014,5,18) + TIME(3,8,20)</f>
        <v>41777.130787037036</v>
      </c>
      <c r="C2203">
        <v>80</v>
      </c>
      <c r="D2203">
        <v>79.973663329999994</v>
      </c>
      <c r="E2203">
        <v>50</v>
      </c>
      <c r="F2203">
        <v>49.102272034000002</v>
      </c>
      <c r="G2203">
        <v>1344.7995605000001</v>
      </c>
      <c r="H2203">
        <v>1340.8861084</v>
      </c>
      <c r="I2203">
        <v>1322.8101807</v>
      </c>
      <c r="J2203">
        <v>1319.0753173999999</v>
      </c>
      <c r="K2203">
        <v>2400</v>
      </c>
      <c r="L2203">
        <v>0</v>
      </c>
      <c r="M2203">
        <v>0</v>
      </c>
      <c r="N2203">
        <v>2400</v>
      </c>
    </row>
    <row r="2204" spans="1:14" x14ac:dyDescent="0.25">
      <c r="A2204">
        <v>1478.5446360000001</v>
      </c>
      <c r="B2204" s="1">
        <f>DATE(2014,5,18) + TIME(13,4,16)</f>
        <v>41777.544629629629</v>
      </c>
      <c r="C2204">
        <v>80</v>
      </c>
      <c r="D2204">
        <v>79.973625182999996</v>
      </c>
      <c r="E2204">
        <v>50</v>
      </c>
      <c r="F2204">
        <v>49.085033416999998</v>
      </c>
      <c r="G2204">
        <v>1344.7874756000001</v>
      </c>
      <c r="H2204">
        <v>1340.880249</v>
      </c>
      <c r="I2204">
        <v>1322.8074951000001</v>
      </c>
      <c r="J2204">
        <v>1319.0717772999999</v>
      </c>
      <c r="K2204">
        <v>2400</v>
      </c>
      <c r="L2204">
        <v>0</v>
      </c>
      <c r="M2204">
        <v>0</v>
      </c>
      <c r="N2204">
        <v>2400</v>
      </c>
    </row>
    <row r="2205" spans="1:14" x14ac:dyDescent="0.25">
      <c r="A2205">
        <v>1478.964383</v>
      </c>
      <c r="B2205" s="1">
        <f>DATE(2014,5,18) + TIME(23,8,42)</f>
        <v>41777.964375000003</v>
      </c>
      <c r="C2205">
        <v>80</v>
      </c>
      <c r="D2205">
        <v>79.973587035999998</v>
      </c>
      <c r="E2205">
        <v>50</v>
      </c>
      <c r="F2205">
        <v>49.067672729000002</v>
      </c>
      <c r="G2205">
        <v>1344.7756348</v>
      </c>
      <c r="H2205">
        <v>1340.8745117000001</v>
      </c>
      <c r="I2205">
        <v>1322.8046875</v>
      </c>
      <c r="J2205">
        <v>1319.0681152</v>
      </c>
      <c r="K2205">
        <v>2400</v>
      </c>
      <c r="L2205">
        <v>0</v>
      </c>
      <c r="M2205">
        <v>0</v>
      </c>
      <c r="N2205">
        <v>2400</v>
      </c>
    </row>
    <row r="2206" spans="1:14" x14ac:dyDescent="0.25">
      <c r="A2206">
        <v>1479.3916360000001</v>
      </c>
      <c r="B2206" s="1">
        <f>DATE(2014,5,19) + TIME(9,23,57)</f>
        <v>41778.391631944447</v>
      </c>
      <c r="C2206">
        <v>80</v>
      </c>
      <c r="D2206">
        <v>79.973548889</v>
      </c>
      <c r="E2206">
        <v>50</v>
      </c>
      <c r="F2206">
        <v>49.050148010000001</v>
      </c>
      <c r="G2206">
        <v>1344.7637939000001</v>
      </c>
      <c r="H2206">
        <v>1340.8687743999999</v>
      </c>
      <c r="I2206">
        <v>1322.8018798999999</v>
      </c>
      <c r="J2206">
        <v>1319.0644531</v>
      </c>
      <c r="K2206">
        <v>2400</v>
      </c>
      <c r="L2206">
        <v>0</v>
      </c>
      <c r="M2206">
        <v>0</v>
      </c>
      <c r="N2206">
        <v>2400</v>
      </c>
    </row>
    <row r="2207" spans="1:14" x14ac:dyDescent="0.25">
      <c r="A2207">
        <v>1479.8275020000001</v>
      </c>
      <c r="B2207" s="1">
        <f>DATE(2014,5,19) + TIME(19,51,36)</f>
        <v>41778.827499999999</v>
      </c>
      <c r="C2207">
        <v>80</v>
      </c>
      <c r="D2207">
        <v>79.973518372000001</v>
      </c>
      <c r="E2207">
        <v>50</v>
      </c>
      <c r="F2207">
        <v>49.032417297000002</v>
      </c>
      <c r="G2207">
        <v>1344.7519531</v>
      </c>
      <c r="H2207">
        <v>1340.8630370999999</v>
      </c>
      <c r="I2207">
        <v>1322.7990723</v>
      </c>
      <c r="J2207">
        <v>1319.0605469</v>
      </c>
      <c r="K2207">
        <v>2400</v>
      </c>
      <c r="L2207">
        <v>0</v>
      </c>
      <c r="M2207">
        <v>0</v>
      </c>
      <c r="N2207">
        <v>2400</v>
      </c>
    </row>
    <row r="2208" spans="1:14" x14ac:dyDescent="0.25">
      <c r="A2208">
        <v>1480.272377</v>
      </c>
      <c r="B2208" s="1">
        <f>DATE(2014,5,20) + TIME(6,32,13)</f>
        <v>41779.272372685184</v>
      </c>
      <c r="C2208">
        <v>80</v>
      </c>
      <c r="D2208">
        <v>79.973480225000003</v>
      </c>
      <c r="E2208">
        <v>50</v>
      </c>
      <c r="F2208">
        <v>49.014469147</v>
      </c>
      <c r="G2208">
        <v>1344.7401123</v>
      </c>
      <c r="H2208">
        <v>1340.8574219</v>
      </c>
      <c r="I2208">
        <v>1322.7960204999999</v>
      </c>
      <c r="J2208">
        <v>1319.0566406</v>
      </c>
      <c r="K2208">
        <v>2400</v>
      </c>
      <c r="L2208">
        <v>0</v>
      </c>
      <c r="M2208">
        <v>0</v>
      </c>
      <c r="N2208">
        <v>2400</v>
      </c>
    </row>
    <row r="2209" spans="1:14" x14ac:dyDescent="0.25">
      <c r="A2209">
        <v>1480.726181</v>
      </c>
      <c r="B2209" s="1">
        <f>DATE(2014,5,20) + TIME(17,25,42)</f>
        <v>41779.726180555554</v>
      </c>
      <c r="C2209">
        <v>80</v>
      </c>
      <c r="D2209">
        <v>79.973442078000005</v>
      </c>
      <c r="E2209">
        <v>50</v>
      </c>
      <c r="F2209">
        <v>48.996295928999999</v>
      </c>
      <c r="G2209">
        <v>1344.7282714999999</v>
      </c>
      <c r="H2209">
        <v>1340.8516846</v>
      </c>
      <c r="I2209">
        <v>1322.7929687999999</v>
      </c>
      <c r="J2209">
        <v>1319.0524902</v>
      </c>
      <c r="K2209">
        <v>2400</v>
      </c>
      <c r="L2209">
        <v>0</v>
      </c>
      <c r="M2209">
        <v>0</v>
      </c>
      <c r="N2209">
        <v>2400</v>
      </c>
    </row>
    <row r="2210" spans="1:14" x14ac:dyDescent="0.25">
      <c r="A2210">
        <v>1481.190167</v>
      </c>
      <c r="B2210" s="1">
        <f>DATE(2014,5,21) + TIME(4,33,50)</f>
        <v>41780.190162037034</v>
      </c>
      <c r="C2210">
        <v>80</v>
      </c>
      <c r="D2210">
        <v>79.973411560000002</v>
      </c>
      <c r="E2210">
        <v>50</v>
      </c>
      <c r="F2210">
        <v>48.977867126</v>
      </c>
      <c r="G2210">
        <v>1344.7164307</v>
      </c>
      <c r="H2210">
        <v>1340.8459473</v>
      </c>
      <c r="I2210">
        <v>1322.7897949000001</v>
      </c>
      <c r="J2210">
        <v>1319.0482178</v>
      </c>
      <c r="K2210">
        <v>2400</v>
      </c>
      <c r="L2210">
        <v>0</v>
      </c>
      <c r="M2210">
        <v>0</v>
      </c>
      <c r="N2210">
        <v>2400</v>
      </c>
    </row>
    <row r="2211" spans="1:14" x14ac:dyDescent="0.25">
      <c r="A2211">
        <v>1481.6657</v>
      </c>
      <c r="B2211" s="1">
        <f>DATE(2014,5,21) + TIME(15,58,36)</f>
        <v>41780.665694444448</v>
      </c>
      <c r="C2211">
        <v>80</v>
      </c>
      <c r="D2211">
        <v>79.973373413000004</v>
      </c>
      <c r="E2211">
        <v>50</v>
      </c>
      <c r="F2211">
        <v>48.959140777999998</v>
      </c>
      <c r="G2211">
        <v>1344.7044678</v>
      </c>
      <c r="H2211">
        <v>1340.8402100000001</v>
      </c>
      <c r="I2211">
        <v>1322.786499</v>
      </c>
      <c r="J2211">
        <v>1319.0438231999999</v>
      </c>
      <c r="K2211">
        <v>2400</v>
      </c>
      <c r="L2211">
        <v>0</v>
      </c>
      <c r="M2211">
        <v>0</v>
      </c>
      <c r="N2211">
        <v>2400</v>
      </c>
    </row>
    <row r="2212" spans="1:14" x14ac:dyDescent="0.25">
      <c r="A2212">
        <v>1482.150163</v>
      </c>
      <c r="B2212" s="1">
        <f>DATE(2014,5,22) + TIME(3,36,14)</f>
        <v>41781.15016203704</v>
      </c>
      <c r="C2212">
        <v>80</v>
      </c>
      <c r="D2212">
        <v>79.973335266000007</v>
      </c>
      <c r="E2212">
        <v>50</v>
      </c>
      <c r="F2212">
        <v>48.940181731999999</v>
      </c>
      <c r="G2212">
        <v>1344.6923827999999</v>
      </c>
      <c r="H2212">
        <v>1340.8344727000001</v>
      </c>
      <c r="I2212">
        <v>1322.7830810999999</v>
      </c>
      <c r="J2212">
        <v>1319.0393065999999</v>
      </c>
      <c r="K2212">
        <v>2400</v>
      </c>
      <c r="L2212">
        <v>0</v>
      </c>
      <c r="M2212">
        <v>0</v>
      </c>
      <c r="N2212">
        <v>2400</v>
      </c>
    </row>
    <row r="2213" spans="1:14" x14ac:dyDescent="0.25">
      <c r="A2213">
        <v>1482.642507</v>
      </c>
      <c r="B2213" s="1">
        <f>DATE(2014,5,22) + TIME(15,25,12)</f>
        <v>41781.642500000002</v>
      </c>
      <c r="C2213">
        <v>80</v>
      </c>
      <c r="D2213">
        <v>79.973297118999994</v>
      </c>
      <c r="E2213">
        <v>50</v>
      </c>
      <c r="F2213">
        <v>48.921020507999998</v>
      </c>
      <c r="G2213">
        <v>1344.6804199000001</v>
      </c>
      <c r="H2213">
        <v>1340.8287353999999</v>
      </c>
      <c r="I2213">
        <v>1322.7796631000001</v>
      </c>
      <c r="J2213">
        <v>1319.0345459</v>
      </c>
      <c r="K2213">
        <v>2400</v>
      </c>
      <c r="L2213">
        <v>0</v>
      </c>
      <c r="M2213">
        <v>0</v>
      </c>
      <c r="N2213">
        <v>2400</v>
      </c>
    </row>
    <row r="2214" spans="1:14" x14ac:dyDescent="0.25">
      <c r="A2214">
        <v>1483.144268</v>
      </c>
      <c r="B2214" s="1">
        <f>DATE(2014,5,23) + TIME(3,27,44)</f>
        <v>41782.144259259258</v>
      </c>
      <c r="C2214">
        <v>80</v>
      </c>
      <c r="D2214">
        <v>79.973266601999995</v>
      </c>
      <c r="E2214">
        <v>50</v>
      </c>
      <c r="F2214">
        <v>48.901634215999998</v>
      </c>
      <c r="G2214">
        <v>1344.6683350000001</v>
      </c>
      <c r="H2214">
        <v>1340.822876</v>
      </c>
      <c r="I2214">
        <v>1322.776001</v>
      </c>
      <c r="J2214">
        <v>1319.0297852000001</v>
      </c>
      <c r="K2214">
        <v>2400</v>
      </c>
      <c r="L2214">
        <v>0</v>
      </c>
      <c r="M2214">
        <v>0</v>
      </c>
      <c r="N2214">
        <v>2400</v>
      </c>
    </row>
    <row r="2215" spans="1:14" x14ac:dyDescent="0.25">
      <c r="A2215">
        <v>1483.6570340000001</v>
      </c>
      <c r="B2215" s="1">
        <f>DATE(2014,5,23) + TIME(15,46,7)</f>
        <v>41782.657025462962</v>
      </c>
      <c r="C2215">
        <v>80</v>
      </c>
      <c r="D2215">
        <v>79.973228454999997</v>
      </c>
      <c r="E2215">
        <v>50</v>
      </c>
      <c r="F2215">
        <v>48.881988524999997</v>
      </c>
      <c r="G2215">
        <v>1344.6563721</v>
      </c>
      <c r="H2215">
        <v>1340.8171387</v>
      </c>
      <c r="I2215">
        <v>1322.7723389</v>
      </c>
      <c r="J2215">
        <v>1319.0246582</v>
      </c>
      <c r="K2215">
        <v>2400</v>
      </c>
      <c r="L2215">
        <v>0</v>
      </c>
      <c r="M2215">
        <v>0</v>
      </c>
      <c r="N2215">
        <v>2400</v>
      </c>
    </row>
    <row r="2216" spans="1:14" x14ac:dyDescent="0.25">
      <c r="A2216">
        <v>1484.182528</v>
      </c>
      <c r="B2216" s="1">
        <f>DATE(2014,5,24) + TIME(4,22,50)</f>
        <v>41783.182523148149</v>
      </c>
      <c r="C2216">
        <v>80</v>
      </c>
      <c r="D2216">
        <v>79.973190308</v>
      </c>
      <c r="E2216">
        <v>50</v>
      </c>
      <c r="F2216">
        <v>48.862037659000002</v>
      </c>
      <c r="G2216">
        <v>1344.6442870999999</v>
      </c>
      <c r="H2216">
        <v>1340.8114014</v>
      </c>
      <c r="I2216">
        <v>1322.7684326000001</v>
      </c>
      <c r="J2216">
        <v>1319.0195312000001</v>
      </c>
      <c r="K2216">
        <v>2400</v>
      </c>
      <c r="L2216">
        <v>0</v>
      </c>
      <c r="M2216">
        <v>0</v>
      </c>
      <c r="N2216">
        <v>2400</v>
      </c>
    </row>
    <row r="2217" spans="1:14" x14ac:dyDescent="0.25">
      <c r="A2217">
        <v>1484.7226430000001</v>
      </c>
      <c r="B2217" s="1">
        <f>DATE(2014,5,24) + TIME(17,20,36)</f>
        <v>41783.722638888888</v>
      </c>
      <c r="C2217">
        <v>80</v>
      </c>
      <c r="D2217">
        <v>79.973152161000002</v>
      </c>
      <c r="E2217">
        <v>50</v>
      </c>
      <c r="F2217">
        <v>48.841728209999999</v>
      </c>
      <c r="G2217">
        <v>1344.6320800999999</v>
      </c>
      <c r="H2217">
        <v>1340.8056641000001</v>
      </c>
      <c r="I2217">
        <v>1322.7645264</v>
      </c>
      <c r="J2217">
        <v>1319.0140381000001</v>
      </c>
      <c r="K2217">
        <v>2400</v>
      </c>
      <c r="L2217">
        <v>0</v>
      </c>
      <c r="M2217">
        <v>0</v>
      </c>
      <c r="N2217">
        <v>2400</v>
      </c>
    </row>
    <row r="2218" spans="1:14" x14ac:dyDescent="0.25">
      <c r="A2218">
        <v>1485.2794919999999</v>
      </c>
      <c r="B2218" s="1">
        <f>DATE(2014,5,25) + TIME(6,42,28)</f>
        <v>41784.279490740744</v>
      </c>
      <c r="C2218">
        <v>80</v>
      </c>
      <c r="D2218">
        <v>79.973114014000004</v>
      </c>
      <c r="E2218">
        <v>50</v>
      </c>
      <c r="F2218">
        <v>48.821006775000001</v>
      </c>
      <c r="G2218">
        <v>1344.6198730000001</v>
      </c>
      <c r="H2218">
        <v>1340.7998047000001</v>
      </c>
      <c r="I2218">
        <v>1322.760376</v>
      </c>
      <c r="J2218">
        <v>1319.0084228999999</v>
      </c>
      <c r="K2218">
        <v>2400</v>
      </c>
      <c r="L2218">
        <v>0</v>
      </c>
      <c r="M2218">
        <v>0</v>
      </c>
      <c r="N2218">
        <v>2400</v>
      </c>
    </row>
    <row r="2219" spans="1:14" x14ac:dyDescent="0.25">
      <c r="A2219">
        <v>1485.8450250000001</v>
      </c>
      <c r="B2219" s="1">
        <f>DATE(2014,5,25) + TIME(20,16,50)</f>
        <v>41784.845023148147</v>
      </c>
      <c r="C2219">
        <v>80</v>
      </c>
      <c r="D2219">
        <v>79.973075867000006</v>
      </c>
      <c r="E2219">
        <v>50</v>
      </c>
      <c r="F2219">
        <v>48.800033569</v>
      </c>
      <c r="G2219">
        <v>1344.6074219</v>
      </c>
      <c r="H2219">
        <v>1340.7938231999999</v>
      </c>
      <c r="I2219">
        <v>1322.7561035000001</v>
      </c>
      <c r="J2219">
        <v>1319.0025635</v>
      </c>
      <c r="K2219">
        <v>2400</v>
      </c>
      <c r="L2219">
        <v>0</v>
      </c>
      <c r="M2219">
        <v>0</v>
      </c>
      <c r="N2219">
        <v>2400</v>
      </c>
    </row>
    <row r="2220" spans="1:14" x14ac:dyDescent="0.25">
      <c r="A2220">
        <v>1486.411936</v>
      </c>
      <c r="B2220" s="1">
        <f>DATE(2014,5,26) + TIME(9,53,11)</f>
        <v>41785.411932870367</v>
      </c>
      <c r="C2220">
        <v>80</v>
      </c>
      <c r="D2220">
        <v>79.973037719999994</v>
      </c>
      <c r="E2220">
        <v>50</v>
      </c>
      <c r="F2220">
        <v>48.779010773000003</v>
      </c>
      <c r="G2220">
        <v>1344.5949707</v>
      </c>
      <c r="H2220">
        <v>1340.7879639</v>
      </c>
      <c r="I2220">
        <v>1322.7515868999999</v>
      </c>
      <c r="J2220">
        <v>1318.9964600000001</v>
      </c>
      <c r="K2220">
        <v>2400</v>
      </c>
      <c r="L2220">
        <v>0</v>
      </c>
      <c r="M2220">
        <v>0</v>
      </c>
      <c r="N2220">
        <v>2400</v>
      </c>
    </row>
    <row r="2221" spans="1:14" x14ac:dyDescent="0.25">
      <c r="A2221">
        <v>1486.979971</v>
      </c>
      <c r="B2221" s="1">
        <f>DATE(2014,5,26) + TIME(23,31,9)</f>
        <v>41785.97996527778</v>
      </c>
      <c r="C2221">
        <v>80</v>
      </c>
      <c r="D2221">
        <v>79.973007202000005</v>
      </c>
      <c r="E2221">
        <v>50</v>
      </c>
      <c r="F2221">
        <v>48.758010863999999</v>
      </c>
      <c r="G2221">
        <v>1344.5827637</v>
      </c>
      <c r="H2221">
        <v>1340.7821045000001</v>
      </c>
      <c r="I2221">
        <v>1322.7470702999999</v>
      </c>
      <c r="J2221">
        <v>1318.9902344</v>
      </c>
      <c r="K2221">
        <v>2400</v>
      </c>
      <c r="L2221">
        <v>0</v>
      </c>
      <c r="M2221">
        <v>0</v>
      </c>
      <c r="N2221">
        <v>2400</v>
      </c>
    </row>
    <row r="2222" spans="1:14" x14ac:dyDescent="0.25">
      <c r="A2222">
        <v>1487.550461</v>
      </c>
      <c r="B2222" s="1">
        <f>DATE(2014,5,27) + TIME(13,12,39)</f>
        <v>41786.550451388888</v>
      </c>
      <c r="C2222">
        <v>80</v>
      </c>
      <c r="D2222">
        <v>79.972969054999993</v>
      </c>
      <c r="E2222">
        <v>50</v>
      </c>
      <c r="F2222">
        <v>48.737041472999998</v>
      </c>
      <c r="G2222">
        <v>1344.5708007999999</v>
      </c>
      <c r="H2222">
        <v>1340.7763672000001</v>
      </c>
      <c r="I2222">
        <v>1322.7424315999999</v>
      </c>
      <c r="J2222">
        <v>1318.9840088000001</v>
      </c>
      <c r="K2222">
        <v>2400</v>
      </c>
      <c r="L2222">
        <v>0</v>
      </c>
      <c r="M2222">
        <v>0</v>
      </c>
      <c r="N2222">
        <v>2400</v>
      </c>
    </row>
    <row r="2223" spans="1:14" x14ac:dyDescent="0.25">
      <c r="A2223">
        <v>1488.1247049999999</v>
      </c>
      <c r="B2223" s="1">
        <f>DATE(2014,5,28) + TIME(2,59,34)</f>
        <v>41787.124699074076</v>
      </c>
      <c r="C2223">
        <v>80</v>
      </c>
      <c r="D2223">
        <v>79.972930907999995</v>
      </c>
      <c r="E2223">
        <v>50</v>
      </c>
      <c r="F2223">
        <v>48.716094970999997</v>
      </c>
      <c r="G2223">
        <v>1344.5589600000001</v>
      </c>
      <c r="H2223">
        <v>1340.7707519999999</v>
      </c>
      <c r="I2223">
        <v>1322.737793</v>
      </c>
      <c r="J2223">
        <v>1318.9775391000001</v>
      </c>
      <c r="K2223">
        <v>2400</v>
      </c>
      <c r="L2223">
        <v>0</v>
      </c>
      <c r="M2223">
        <v>0</v>
      </c>
      <c r="N2223">
        <v>2400</v>
      </c>
    </row>
    <row r="2224" spans="1:14" x14ac:dyDescent="0.25">
      <c r="A2224">
        <v>1488.704246</v>
      </c>
      <c r="B2224" s="1">
        <f>DATE(2014,5,28) + TIME(16,54,6)</f>
        <v>41787.704236111109</v>
      </c>
      <c r="C2224">
        <v>80</v>
      </c>
      <c r="D2224">
        <v>79.972892760999997</v>
      </c>
      <c r="E2224">
        <v>50</v>
      </c>
      <c r="F2224">
        <v>48.695133208999998</v>
      </c>
      <c r="G2224">
        <v>1344.5471190999999</v>
      </c>
      <c r="H2224">
        <v>1340.7651367000001</v>
      </c>
      <c r="I2224">
        <v>1322.7330322</v>
      </c>
      <c r="J2224">
        <v>1318.9709473</v>
      </c>
      <c r="K2224">
        <v>2400</v>
      </c>
      <c r="L2224">
        <v>0</v>
      </c>
      <c r="M2224">
        <v>0</v>
      </c>
      <c r="N2224">
        <v>2400</v>
      </c>
    </row>
    <row r="2225" spans="1:14" x14ac:dyDescent="0.25">
      <c r="A2225">
        <v>1489.2928569999999</v>
      </c>
      <c r="B2225" s="1">
        <f>DATE(2014,5,29) + TIME(7,1,42)</f>
        <v>41788.292847222219</v>
      </c>
      <c r="C2225">
        <v>80</v>
      </c>
      <c r="D2225">
        <v>79.972862243999998</v>
      </c>
      <c r="E2225">
        <v>50</v>
      </c>
      <c r="F2225">
        <v>48.674076079999999</v>
      </c>
      <c r="G2225">
        <v>1344.5355225000001</v>
      </c>
      <c r="H2225">
        <v>1340.7595214999999</v>
      </c>
      <c r="I2225">
        <v>1322.7281493999999</v>
      </c>
      <c r="J2225">
        <v>1318.9641113</v>
      </c>
      <c r="K2225">
        <v>2400</v>
      </c>
      <c r="L2225">
        <v>0</v>
      </c>
      <c r="M2225">
        <v>0</v>
      </c>
      <c r="N2225">
        <v>2400</v>
      </c>
    </row>
    <row r="2226" spans="1:14" x14ac:dyDescent="0.25">
      <c r="A2226">
        <v>1489.892419</v>
      </c>
      <c r="B2226" s="1">
        <f>DATE(2014,5,29) + TIME(21,25,4)</f>
        <v>41788.892407407409</v>
      </c>
      <c r="C2226">
        <v>80</v>
      </c>
      <c r="D2226">
        <v>79.972824097</v>
      </c>
      <c r="E2226">
        <v>50</v>
      </c>
      <c r="F2226">
        <v>48.652862548999998</v>
      </c>
      <c r="G2226">
        <v>1344.5239257999999</v>
      </c>
      <c r="H2226">
        <v>1340.7540283000001</v>
      </c>
      <c r="I2226">
        <v>1322.7231445</v>
      </c>
      <c r="J2226">
        <v>1318.9571533000001</v>
      </c>
      <c r="K2226">
        <v>2400</v>
      </c>
      <c r="L2226">
        <v>0</v>
      </c>
      <c r="M2226">
        <v>0</v>
      </c>
      <c r="N2226">
        <v>2400</v>
      </c>
    </row>
    <row r="2227" spans="1:14" x14ac:dyDescent="0.25">
      <c r="A2227">
        <v>1490.5044809999999</v>
      </c>
      <c r="B2227" s="1">
        <f>DATE(2014,5,30) + TIME(12,6,27)</f>
        <v>41789.504479166666</v>
      </c>
      <c r="C2227">
        <v>80</v>
      </c>
      <c r="D2227">
        <v>79.972793578999998</v>
      </c>
      <c r="E2227">
        <v>50</v>
      </c>
      <c r="F2227">
        <v>48.631439209</v>
      </c>
      <c r="G2227">
        <v>1344.512207</v>
      </c>
      <c r="H2227">
        <v>1340.7484131000001</v>
      </c>
      <c r="I2227">
        <v>1322.7178954999999</v>
      </c>
      <c r="J2227">
        <v>1318.9499512</v>
      </c>
      <c r="K2227">
        <v>2400</v>
      </c>
      <c r="L2227">
        <v>0</v>
      </c>
      <c r="M2227">
        <v>0</v>
      </c>
      <c r="N2227">
        <v>2400</v>
      </c>
    </row>
    <row r="2228" spans="1:14" x14ac:dyDescent="0.25">
      <c r="A2228">
        <v>1491.1310960000001</v>
      </c>
      <c r="B2228" s="1">
        <f>DATE(2014,5,31) + TIME(3,8,46)</f>
        <v>41790.13108796296</v>
      </c>
      <c r="C2228">
        <v>80</v>
      </c>
      <c r="D2228">
        <v>79.972755432</v>
      </c>
      <c r="E2228">
        <v>50</v>
      </c>
      <c r="F2228">
        <v>48.609745025999999</v>
      </c>
      <c r="G2228">
        <v>1344.5004882999999</v>
      </c>
      <c r="H2228">
        <v>1340.7429199000001</v>
      </c>
      <c r="I2228">
        <v>1322.7125243999999</v>
      </c>
      <c r="J2228">
        <v>1318.9425048999999</v>
      </c>
      <c r="K2228">
        <v>2400</v>
      </c>
      <c r="L2228">
        <v>0</v>
      </c>
      <c r="M2228">
        <v>0</v>
      </c>
      <c r="N2228">
        <v>2400</v>
      </c>
    </row>
    <row r="2229" spans="1:14" x14ac:dyDescent="0.25">
      <c r="A2229">
        <v>1491.7744319999999</v>
      </c>
      <c r="B2229" s="1">
        <f>DATE(2014,5,31) + TIME(18,35,10)</f>
        <v>41790.774421296293</v>
      </c>
      <c r="C2229">
        <v>80</v>
      </c>
      <c r="D2229">
        <v>79.972717285000002</v>
      </c>
      <c r="E2229">
        <v>50</v>
      </c>
      <c r="F2229">
        <v>48.587718963999997</v>
      </c>
      <c r="G2229">
        <v>1344.4887695</v>
      </c>
      <c r="H2229">
        <v>1340.7371826000001</v>
      </c>
      <c r="I2229">
        <v>1322.7070312000001</v>
      </c>
      <c r="J2229">
        <v>1318.9348144999999</v>
      </c>
      <c r="K2229">
        <v>2400</v>
      </c>
      <c r="L2229">
        <v>0</v>
      </c>
      <c r="M2229">
        <v>0</v>
      </c>
      <c r="N2229">
        <v>2400</v>
      </c>
    </row>
    <row r="2230" spans="1:14" x14ac:dyDescent="0.25">
      <c r="A2230">
        <v>1492</v>
      </c>
      <c r="B2230" s="1">
        <f>DATE(2014,6,1) + TIME(0,0,0)</f>
        <v>41791</v>
      </c>
      <c r="C2230">
        <v>80</v>
      </c>
      <c r="D2230">
        <v>79.972702025999993</v>
      </c>
      <c r="E2230">
        <v>50</v>
      </c>
      <c r="F2230">
        <v>48.577037810999997</v>
      </c>
      <c r="G2230">
        <v>1344.4768065999999</v>
      </c>
      <c r="H2230">
        <v>1340.7315673999999</v>
      </c>
      <c r="I2230">
        <v>1322.7014160000001</v>
      </c>
      <c r="J2230">
        <v>1318.9276123</v>
      </c>
      <c r="K2230">
        <v>2400</v>
      </c>
      <c r="L2230">
        <v>0</v>
      </c>
      <c r="M2230">
        <v>0</v>
      </c>
      <c r="N2230">
        <v>2400</v>
      </c>
    </row>
    <row r="2231" spans="1:14" x14ac:dyDescent="0.25">
      <c r="A2231">
        <v>1492.662507</v>
      </c>
      <c r="B2231" s="1">
        <f>DATE(2014,6,1) + TIME(15,54,0)</f>
        <v>41791.662499999999</v>
      </c>
      <c r="C2231">
        <v>80</v>
      </c>
      <c r="D2231">
        <v>79.972671508999994</v>
      </c>
      <c r="E2231">
        <v>50</v>
      </c>
      <c r="F2231">
        <v>48.555908203000001</v>
      </c>
      <c r="G2231">
        <v>1344.4727783000001</v>
      </c>
      <c r="H2231">
        <v>1340.7296143000001</v>
      </c>
      <c r="I2231">
        <v>1322.6990966999999</v>
      </c>
      <c r="J2231">
        <v>1318.9234618999999</v>
      </c>
      <c r="K2231">
        <v>2400</v>
      </c>
      <c r="L2231">
        <v>0</v>
      </c>
      <c r="M2231">
        <v>0</v>
      </c>
      <c r="N2231">
        <v>2400</v>
      </c>
    </row>
    <row r="2232" spans="1:14" x14ac:dyDescent="0.25">
      <c r="A2232">
        <v>1493.3527160000001</v>
      </c>
      <c r="B2232" s="1">
        <f>DATE(2014,6,2) + TIME(8,27,54)</f>
        <v>41792.352708333332</v>
      </c>
      <c r="C2232">
        <v>80</v>
      </c>
      <c r="D2232">
        <v>79.972633361999996</v>
      </c>
      <c r="E2232">
        <v>50</v>
      </c>
      <c r="F2232">
        <v>48.533679962000001</v>
      </c>
      <c r="G2232">
        <v>1344.4608154</v>
      </c>
      <c r="H2232">
        <v>1340.7238769999999</v>
      </c>
      <c r="I2232">
        <v>1322.6931152</v>
      </c>
      <c r="J2232">
        <v>1318.9151611</v>
      </c>
      <c r="K2232">
        <v>2400</v>
      </c>
      <c r="L2232">
        <v>0</v>
      </c>
      <c r="M2232">
        <v>0</v>
      </c>
      <c r="N2232">
        <v>2400</v>
      </c>
    </row>
    <row r="2233" spans="1:14" x14ac:dyDescent="0.25">
      <c r="A2233">
        <v>1494.0571110000001</v>
      </c>
      <c r="B2233" s="1">
        <f>DATE(2014,6,3) + TIME(1,22,14)</f>
        <v>41793.057106481479</v>
      </c>
      <c r="C2233">
        <v>80</v>
      </c>
      <c r="D2233">
        <v>79.972602843999994</v>
      </c>
      <c r="E2233">
        <v>50</v>
      </c>
      <c r="F2233">
        <v>48.510753631999997</v>
      </c>
      <c r="G2233">
        <v>1344.4484863</v>
      </c>
      <c r="H2233">
        <v>1340.7180175999999</v>
      </c>
      <c r="I2233">
        <v>1322.6867675999999</v>
      </c>
      <c r="J2233">
        <v>1318.90625</v>
      </c>
      <c r="K2233">
        <v>2400</v>
      </c>
      <c r="L2233">
        <v>0</v>
      </c>
      <c r="M2233">
        <v>0</v>
      </c>
      <c r="N2233">
        <v>2400</v>
      </c>
    </row>
    <row r="2234" spans="1:14" x14ac:dyDescent="0.25">
      <c r="A2234">
        <v>1494.7784670000001</v>
      </c>
      <c r="B2234" s="1">
        <f>DATE(2014,6,3) + TIME(18,40,59)</f>
        <v>41793.778460648151</v>
      </c>
      <c r="C2234">
        <v>80</v>
      </c>
      <c r="D2234">
        <v>79.972564696999996</v>
      </c>
      <c r="E2234">
        <v>50</v>
      </c>
      <c r="F2234">
        <v>48.487266540999997</v>
      </c>
      <c r="G2234">
        <v>1344.4361572</v>
      </c>
      <c r="H2234">
        <v>1340.7120361</v>
      </c>
      <c r="I2234">
        <v>1322.6800536999999</v>
      </c>
      <c r="J2234">
        <v>1318.8969727000001</v>
      </c>
      <c r="K2234">
        <v>2400</v>
      </c>
      <c r="L2234">
        <v>0</v>
      </c>
      <c r="M2234">
        <v>0</v>
      </c>
      <c r="N2234">
        <v>2400</v>
      </c>
    </row>
    <row r="2235" spans="1:14" x14ac:dyDescent="0.25">
      <c r="A2235">
        <v>1495.5195349999999</v>
      </c>
      <c r="B2235" s="1">
        <f>DATE(2014,6,4) + TIME(12,28,7)</f>
        <v>41794.519525462965</v>
      </c>
      <c r="C2235">
        <v>80</v>
      </c>
      <c r="D2235">
        <v>79.972526549999998</v>
      </c>
      <c r="E2235">
        <v>50</v>
      </c>
      <c r="F2235">
        <v>48.463272095000001</v>
      </c>
      <c r="G2235">
        <v>1344.4238281</v>
      </c>
      <c r="H2235">
        <v>1340.7060547000001</v>
      </c>
      <c r="I2235">
        <v>1322.6732178</v>
      </c>
      <c r="J2235">
        <v>1318.887207</v>
      </c>
      <c r="K2235">
        <v>2400</v>
      </c>
      <c r="L2235">
        <v>0</v>
      </c>
      <c r="M2235">
        <v>0</v>
      </c>
      <c r="N2235">
        <v>2400</v>
      </c>
    </row>
    <row r="2236" spans="1:14" x14ac:dyDescent="0.25">
      <c r="A2236">
        <v>1495.8969279999999</v>
      </c>
      <c r="B2236" s="1">
        <f>DATE(2014,6,4) + TIME(21,31,34)</f>
        <v>41794.896921296298</v>
      </c>
      <c r="C2236">
        <v>80</v>
      </c>
      <c r="D2236">
        <v>79.972503661999994</v>
      </c>
      <c r="E2236">
        <v>50</v>
      </c>
      <c r="F2236">
        <v>48.447406768999997</v>
      </c>
      <c r="G2236">
        <v>1344.4111327999999</v>
      </c>
      <c r="H2236">
        <v>1340.7000731999999</v>
      </c>
      <c r="I2236">
        <v>1322.6663818</v>
      </c>
      <c r="J2236">
        <v>1318.8779297000001</v>
      </c>
      <c r="K2236">
        <v>2400</v>
      </c>
      <c r="L2236">
        <v>0</v>
      </c>
      <c r="M2236">
        <v>0</v>
      </c>
      <c r="N2236">
        <v>2400</v>
      </c>
    </row>
    <row r="2237" spans="1:14" x14ac:dyDescent="0.25">
      <c r="A2237">
        <v>1496.2743210000001</v>
      </c>
      <c r="B2237" s="1">
        <f>DATE(2014,6,5) + TIME(6,35,1)</f>
        <v>41795.274317129632</v>
      </c>
      <c r="C2237">
        <v>80</v>
      </c>
      <c r="D2237">
        <v>79.972473144999995</v>
      </c>
      <c r="E2237">
        <v>50</v>
      </c>
      <c r="F2237">
        <v>48.432636260999999</v>
      </c>
      <c r="G2237">
        <v>1344.4049072</v>
      </c>
      <c r="H2237">
        <v>1340.6970214999999</v>
      </c>
      <c r="I2237">
        <v>1322.6624756000001</v>
      </c>
      <c r="J2237">
        <v>1318.8721923999999</v>
      </c>
      <c r="K2237">
        <v>2400</v>
      </c>
      <c r="L2237">
        <v>0</v>
      </c>
      <c r="M2237">
        <v>0</v>
      </c>
      <c r="N2237">
        <v>2400</v>
      </c>
    </row>
    <row r="2238" spans="1:14" x14ac:dyDescent="0.25">
      <c r="A2238">
        <v>1496.651715</v>
      </c>
      <c r="B2238" s="1">
        <f>DATE(2014,6,5) + TIME(15,38,28)</f>
        <v>41795.651712962965</v>
      </c>
      <c r="C2238">
        <v>80</v>
      </c>
      <c r="D2238">
        <v>79.972457886000001</v>
      </c>
      <c r="E2238">
        <v>50</v>
      </c>
      <c r="F2238">
        <v>48.418643951</v>
      </c>
      <c r="G2238">
        <v>1344.3986815999999</v>
      </c>
      <c r="H2238">
        <v>1340.6939697</v>
      </c>
      <c r="I2238">
        <v>1322.6585693</v>
      </c>
      <c r="J2238">
        <v>1318.8665771000001</v>
      </c>
      <c r="K2238">
        <v>2400</v>
      </c>
      <c r="L2238">
        <v>0</v>
      </c>
      <c r="M2238">
        <v>0</v>
      </c>
      <c r="N2238">
        <v>2400</v>
      </c>
    </row>
    <row r="2239" spans="1:14" x14ac:dyDescent="0.25">
      <c r="A2239">
        <v>1497.029108</v>
      </c>
      <c r="B2239" s="1">
        <f>DATE(2014,6,6) + TIME(0,41,54)</f>
        <v>41796.029097222221</v>
      </c>
      <c r="C2239">
        <v>80</v>
      </c>
      <c r="D2239">
        <v>79.972434997999997</v>
      </c>
      <c r="E2239">
        <v>50</v>
      </c>
      <c r="F2239">
        <v>48.405216217000003</v>
      </c>
      <c r="G2239">
        <v>1344.3924560999999</v>
      </c>
      <c r="H2239">
        <v>1340.6910399999999</v>
      </c>
      <c r="I2239">
        <v>1322.6546631000001</v>
      </c>
      <c r="J2239">
        <v>1318.8610839999999</v>
      </c>
      <c r="K2239">
        <v>2400</v>
      </c>
      <c r="L2239">
        <v>0</v>
      </c>
      <c r="M2239">
        <v>0</v>
      </c>
      <c r="N2239">
        <v>2400</v>
      </c>
    </row>
    <row r="2240" spans="1:14" x14ac:dyDescent="0.25">
      <c r="A2240">
        <v>1497.4065009999999</v>
      </c>
      <c r="B2240" s="1">
        <f>DATE(2014,6,6) + TIME(9,45,21)</f>
        <v>41796.406493055554</v>
      </c>
      <c r="C2240">
        <v>80</v>
      </c>
      <c r="D2240">
        <v>79.972419739000003</v>
      </c>
      <c r="E2240">
        <v>50</v>
      </c>
      <c r="F2240">
        <v>48.392192841000004</v>
      </c>
      <c r="G2240">
        <v>1344.3863524999999</v>
      </c>
      <c r="H2240">
        <v>1340.6879882999999</v>
      </c>
      <c r="I2240">
        <v>1322.6508789</v>
      </c>
      <c r="J2240">
        <v>1318.8554687999999</v>
      </c>
      <c r="K2240">
        <v>2400</v>
      </c>
      <c r="L2240">
        <v>0</v>
      </c>
      <c r="M2240">
        <v>0</v>
      </c>
      <c r="N2240">
        <v>2400</v>
      </c>
    </row>
    <row r="2241" spans="1:14" x14ac:dyDescent="0.25">
      <c r="A2241">
        <v>1498.161288</v>
      </c>
      <c r="B2241" s="1">
        <f>DATE(2014,6,7) + TIME(3,52,15)</f>
        <v>41797.16128472222</v>
      </c>
      <c r="C2241">
        <v>80</v>
      </c>
      <c r="D2241">
        <v>79.972396850999999</v>
      </c>
      <c r="E2241">
        <v>50</v>
      </c>
      <c r="F2241">
        <v>48.372665404999999</v>
      </c>
      <c r="G2241">
        <v>1344.3803711</v>
      </c>
      <c r="H2241">
        <v>1340.6851807</v>
      </c>
      <c r="I2241">
        <v>1322.6467285000001</v>
      </c>
      <c r="J2241">
        <v>1318.8492432</v>
      </c>
      <c r="K2241">
        <v>2400</v>
      </c>
      <c r="L2241">
        <v>0</v>
      </c>
      <c r="M2241">
        <v>0</v>
      </c>
      <c r="N2241">
        <v>2400</v>
      </c>
    </row>
    <row r="2242" spans="1:14" x14ac:dyDescent="0.25">
      <c r="A2242">
        <v>1498.9164929999999</v>
      </c>
      <c r="B2242" s="1">
        <f>DATE(2014,6,7) + TIME(21,59,44)</f>
        <v>41797.916481481479</v>
      </c>
      <c r="C2242">
        <v>80</v>
      </c>
      <c r="D2242">
        <v>79.972366332999997</v>
      </c>
      <c r="E2242">
        <v>50</v>
      </c>
      <c r="F2242">
        <v>48.351089477999999</v>
      </c>
      <c r="G2242">
        <v>1344.3682861</v>
      </c>
      <c r="H2242">
        <v>1340.6793213000001</v>
      </c>
      <c r="I2242">
        <v>1322.6394043</v>
      </c>
      <c r="J2242">
        <v>1318.8388672000001</v>
      </c>
      <c r="K2242">
        <v>2400</v>
      </c>
      <c r="L2242">
        <v>0</v>
      </c>
      <c r="M2242">
        <v>0</v>
      </c>
      <c r="N2242">
        <v>2400</v>
      </c>
    </row>
    <row r="2243" spans="1:14" x14ac:dyDescent="0.25">
      <c r="A2243">
        <v>1499.6783439999999</v>
      </c>
      <c r="B2243" s="1">
        <f>DATE(2014,6,8) + TIME(16,16,48)</f>
        <v>41798.678333333337</v>
      </c>
      <c r="C2243">
        <v>80</v>
      </c>
      <c r="D2243">
        <v>79.972335814999994</v>
      </c>
      <c r="E2243">
        <v>50</v>
      </c>
      <c r="F2243">
        <v>48.328426360999998</v>
      </c>
      <c r="G2243">
        <v>1344.3564452999999</v>
      </c>
      <c r="H2243">
        <v>1340.6735839999999</v>
      </c>
      <c r="I2243">
        <v>1322.6317139</v>
      </c>
      <c r="J2243">
        <v>1318.8280029</v>
      </c>
      <c r="K2243">
        <v>2400</v>
      </c>
      <c r="L2243">
        <v>0</v>
      </c>
      <c r="M2243">
        <v>0</v>
      </c>
      <c r="N2243">
        <v>2400</v>
      </c>
    </row>
    <row r="2244" spans="1:14" x14ac:dyDescent="0.25">
      <c r="A2244">
        <v>1500.4516060000001</v>
      </c>
      <c r="B2244" s="1">
        <f>DATE(2014,6,9) + TIME(10,50,18)</f>
        <v>41799.451597222222</v>
      </c>
      <c r="C2244">
        <v>80</v>
      </c>
      <c r="D2244">
        <v>79.972297667999996</v>
      </c>
      <c r="E2244">
        <v>50</v>
      </c>
      <c r="F2244">
        <v>48.305107116999999</v>
      </c>
      <c r="G2244">
        <v>1344.3447266000001</v>
      </c>
      <c r="H2244">
        <v>1340.6678466999999</v>
      </c>
      <c r="I2244">
        <v>1322.6239014</v>
      </c>
      <c r="J2244">
        <v>1318.8167725000001</v>
      </c>
      <c r="K2244">
        <v>2400</v>
      </c>
      <c r="L2244">
        <v>0</v>
      </c>
      <c r="M2244">
        <v>0</v>
      </c>
      <c r="N2244">
        <v>2400</v>
      </c>
    </row>
    <row r="2245" spans="1:14" x14ac:dyDescent="0.25">
      <c r="A2245">
        <v>1501.2388800000001</v>
      </c>
      <c r="B2245" s="1">
        <f>DATE(2014,6,10) + TIME(5,43,59)</f>
        <v>41800.238877314812</v>
      </c>
      <c r="C2245">
        <v>80</v>
      </c>
      <c r="D2245">
        <v>79.972267150999997</v>
      </c>
      <c r="E2245">
        <v>50</v>
      </c>
      <c r="F2245">
        <v>48.281337737999998</v>
      </c>
      <c r="G2245">
        <v>1344.3328856999999</v>
      </c>
      <c r="H2245">
        <v>1340.6621094</v>
      </c>
      <c r="I2245">
        <v>1322.6157227000001</v>
      </c>
      <c r="J2245">
        <v>1318.8050536999999</v>
      </c>
      <c r="K2245">
        <v>2400</v>
      </c>
      <c r="L2245">
        <v>0</v>
      </c>
      <c r="M2245">
        <v>0</v>
      </c>
      <c r="N2245">
        <v>2400</v>
      </c>
    </row>
    <row r="2246" spans="1:14" x14ac:dyDescent="0.25">
      <c r="A2246">
        <v>1502.0430719999999</v>
      </c>
      <c r="B2246" s="1">
        <f>DATE(2014,6,11) + TIME(1,2,1)</f>
        <v>41801.043067129627</v>
      </c>
      <c r="C2246">
        <v>80</v>
      </c>
      <c r="D2246">
        <v>79.972229003999999</v>
      </c>
      <c r="E2246">
        <v>50</v>
      </c>
      <c r="F2246">
        <v>48.257198334000002</v>
      </c>
      <c r="G2246">
        <v>1344.3211670000001</v>
      </c>
      <c r="H2246">
        <v>1340.6563721</v>
      </c>
      <c r="I2246">
        <v>1322.6072998</v>
      </c>
      <c r="J2246">
        <v>1318.7929687999999</v>
      </c>
      <c r="K2246">
        <v>2400</v>
      </c>
      <c r="L2246">
        <v>0</v>
      </c>
      <c r="M2246">
        <v>0</v>
      </c>
      <c r="N2246">
        <v>2400</v>
      </c>
    </row>
    <row r="2247" spans="1:14" x14ac:dyDescent="0.25">
      <c r="A2247">
        <v>1502.866743</v>
      </c>
      <c r="B2247" s="1">
        <f>DATE(2014,6,11) + TIME(20,48,6)</f>
        <v>41801.866736111115</v>
      </c>
      <c r="C2247">
        <v>80</v>
      </c>
      <c r="D2247">
        <v>79.972198485999996</v>
      </c>
      <c r="E2247">
        <v>50</v>
      </c>
      <c r="F2247">
        <v>48.232700348000002</v>
      </c>
      <c r="G2247">
        <v>1344.3093262</v>
      </c>
      <c r="H2247">
        <v>1340.6506348</v>
      </c>
      <c r="I2247">
        <v>1322.5986327999999</v>
      </c>
      <c r="J2247">
        <v>1318.7803954999999</v>
      </c>
      <c r="K2247">
        <v>2400</v>
      </c>
      <c r="L2247">
        <v>0</v>
      </c>
      <c r="M2247">
        <v>0</v>
      </c>
      <c r="N2247">
        <v>2400</v>
      </c>
    </row>
    <row r="2248" spans="1:14" x14ac:dyDescent="0.25">
      <c r="A2248">
        <v>1503.7131240000001</v>
      </c>
      <c r="B2248" s="1">
        <f>DATE(2014,6,12) + TIME(17,6,53)</f>
        <v>41802.713113425925</v>
      </c>
      <c r="C2248">
        <v>80</v>
      </c>
      <c r="D2248">
        <v>79.972167968999997</v>
      </c>
      <c r="E2248">
        <v>50</v>
      </c>
      <c r="F2248">
        <v>48.207813262999998</v>
      </c>
      <c r="G2248">
        <v>1344.2973632999999</v>
      </c>
      <c r="H2248">
        <v>1340.6447754000001</v>
      </c>
      <c r="I2248">
        <v>1322.5895995999999</v>
      </c>
      <c r="J2248">
        <v>1318.7673339999999</v>
      </c>
      <c r="K2248">
        <v>2400</v>
      </c>
      <c r="L2248">
        <v>0</v>
      </c>
      <c r="M2248">
        <v>0</v>
      </c>
      <c r="N2248">
        <v>2400</v>
      </c>
    </row>
    <row r="2249" spans="1:14" x14ac:dyDescent="0.25">
      <c r="A2249">
        <v>1504.5834910000001</v>
      </c>
      <c r="B2249" s="1">
        <f>DATE(2014,6,13) + TIME(14,0,13)</f>
        <v>41803.583483796298</v>
      </c>
      <c r="C2249">
        <v>80</v>
      </c>
      <c r="D2249">
        <v>79.972129821999999</v>
      </c>
      <c r="E2249">
        <v>50</v>
      </c>
      <c r="F2249">
        <v>48.182510376000003</v>
      </c>
      <c r="G2249">
        <v>1344.2852783000001</v>
      </c>
      <c r="H2249">
        <v>1340.6387939000001</v>
      </c>
      <c r="I2249">
        <v>1322.5803223</v>
      </c>
      <c r="J2249">
        <v>1318.7537841999999</v>
      </c>
      <c r="K2249">
        <v>2400</v>
      </c>
      <c r="L2249">
        <v>0</v>
      </c>
      <c r="M2249">
        <v>0</v>
      </c>
      <c r="N2249">
        <v>2400</v>
      </c>
    </row>
    <row r="2250" spans="1:14" x14ac:dyDescent="0.25">
      <c r="A2250">
        <v>1505.473553</v>
      </c>
      <c r="B2250" s="1">
        <f>DATE(2014,6,14) + TIME(11,21,54)</f>
        <v>41804.473541666666</v>
      </c>
      <c r="C2250">
        <v>80</v>
      </c>
      <c r="D2250">
        <v>79.972099303999997</v>
      </c>
      <c r="E2250">
        <v>50</v>
      </c>
      <c r="F2250">
        <v>48.156860352000002</v>
      </c>
      <c r="G2250">
        <v>1344.2730713000001</v>
      </c>
      <c r="H2250">
        <v>1340.6328125</v>
      </c>
      <c r="I2250">
        <v>1322.5705565999999</v>
      </c>
      <c r="J2250">
        <v>1318.739624</v>
      </c>
      <c r="K2250">
        <v>2400</v>
      </c>
      <c r="L2250">
        <v>0</v>
      </c>
      <c r="M2250">
        <v>0</v>
      </c>
      <c r="N2250">
        <v>2400</v>
      </c>
    </row>
    <row r="2251" spans="1:14" x14ac:dyDescent="0.25">
      <c r="A2251">
        <v>1506.384986</v>
      </c>
      <c r="B2251" s="1">
        <f>DATE(2014,6,15) + TIME(9,14,22)</f>
        <v>41805.384976851848</v>
      </c>
      <c r="C2251">
        <v>80</v>
      </c>
      <c r="D2251">
        <v>79.972061156999999</v>
      </c>
      <c r="E2251">
        <v>50</v>
      </c>
      <c r="F2251">
        <v>48.130870819000002</v>
      </c>
      <c r="G2251">
        <v>1344.2607422000001</v>
      </c>
      <c r="H2251">
        <v>1340.6268310999999</v>
      </c>
      <c r="I2251">
        <v>1322.5604248</v>
      </c>
      <c r="J2251">
        <v>1318.7248535000001</v>
      </c>
      <c r="K2251">
        <v>2400</v>
      </c>
      <c r="L2251">
        <v>0</v>
      </c>
      <c r="M2251">
        <v>0</v>
      </c>
      <c r="N2251">
        <v>2400</v>
      </c>
    </row>
    <row r="2252" spans="1:14" x14ac:dyDescent="0.25">
      <c r="A2252">
        <v>1507.3198319999999</v>
      </c>
      <c r="B2252" s="1">
        <f>DATE(2014,6,16) + TIME(7,40,33)</f>
        <v>41806.319826388892</v>
      </c>
      <c r="C2252">
        <v>80</v>
      </c>
      <c r="D2252">
        <v>79.97203064</v>
      </c>
      <c r="E2252">
        <v>50</v>
      </c>
      <c r="F2252">
        <v>48.104537964000002</v>
      </c>
      <c r="G2252">
        <v>1344.2482910000001</v>
      </c>
      <c r="H2252">
        <v>1340.6206055</v>
      </c>
      <c r="I2252">
        <v>1322.5499268000001</v>
      </c>
      <c r="J2252">
        <v>1318.7095947</v>
      </c>
      <c r="K2252">
        <v>2400</v>
      </c>
      <c r="L2252">
        <v>0</v>
      </c>
      <c r="M2252">
        <v>0</v>
      </c>
      <c r="N2252">
        <v>2400</v>
      </c>
    </row>
    <row r="2253" spans="1:14" x14ac:dyDescent="0.25">
      <c r="A2253">
        <v>1508.2818729999999</v>
      </c>
      <c r="B2253" s="1">
        <f>DATE(2014,6,17) + TIME(6,45,53)</f>
        <v>41807.281863425924</v>
      </c>
      <c r="C2253">
        <v>80</v>
      </c>
      <c r="D2253">
        <v>79.972000121999997</v>
      </c>
      <c r="E2253">
        <v>50</v>
      </c>
      <c r="F2253">
        <v>48.077816009999999</v>
      </c>
      <c r="G2253">
        <v>1344.2357178</v>
      </c>
      <c r="H2253">
        <v>1340.6143798999999</v>
      </c>
      <c r="I2253">
        <v>1322.5390625</v>
      </c>
      <c r="J2253">
        <v>1318.6937256000001</v>
      </c>
      <c r="K2253">
        <v>2400</v>
      </c>
      <c r="L2253">
        <v>0</v>
      </c>
      <c r="M2253">
        <v>0</v>
      </c>
      <c r="N2253">
        <v>2400</v>
      </c>
    </row>
    <row r="2254" spans="1:14" x14ac:dyDescent="0.25">
      <c r="A2254">
        <v>1508.778609</v>
      </c>
      <c r="B2254" s="1">
        <f>DATE(2014,6,17) + TIME(18,41,11)</f>
        <v>41807.778599537036</v>
      </c>
      <c r="C2254">
        <v>80</v>
      </c>
      <c r="D2254">
        <v>79.971969603999995</v>
      </c>
      <c r="E2254">
        <v>50</v>
      </c>
      <c r="F2254">
        <v>48.059257506999998</v>
      </c>
      <c r="G2254">
        <v>1344.2230225000001</v>
      </c>
      <c r="H2254">
        <v>1340.6080322</v>
      </c>
      <c r="I2254">
        <v>1322.5283202999999</v>
      </c>
      <c r="J2254">
        <v>1318.6784668</v>
      </c>
      <c r="K2254">
        <v>2400</v>
      </c>
      <c r="L2254">
        <v>0</v>
      </c>
      <c r="M2254">
        <v>0</v>
      </c>
      <c r="N2254">
        <v>2400</v>
      </c>
    </row>
    <row r="2255" spans="1:14" x14ac:dyDescent="0.25">
      <c r="A2255">
        <v>1509.275345</v>
      </c>
      <c r="B2255" s="1">
        <f>DATE(2014,6,18) + TIME(6,36,29)</f>
        <v>41808.275335648148</v>
      </c>
      <c r="C2255">
        <v>80</v>
      </c>
      <c r="D2255">
        <v>79.971946716000005</v>
      </c>
      <c r="E2255">
        <v>50</v>
      </c>
      <c r="F2255">
        <v>48.042484283</v>
      </c>
      <c r="G2255">
        <v>1344.2165527</v>
      </c>
      <c r="H2255">
        <v>1340.6048584</v>
      </c>
      <c r="I2255">
        <v>1322.5218506000001</v>
      </c>
      <c r="J2255">
        <v>1318.6688231999999</v>
      </c>
      <c r="K2255">
        <v>2400</v>
      </c>
      <c r="L2255">
        <v>0</v>
      </c>
      <c r="M2255">
        <v>0</v>
      </c>
      <c r="N2255">
        <v>2400</v>
      </c>
    </row>
    <row r="2256" spans="1:14" x14ac:dyDescent="0.25">
      <c r="A2256">
        <v>1509.772082</v>
      </c>
      <c r="B2256" s="1">
        <f>DATE(2014,6,18) + TIME(18,31,47)</f>
        <v>41808.77207175926</v>
      </c>
      <c r="C2256">
        <v>80</v>
      </c>
      <c r="D2256">
        <v>79.971923828000001</v>
      </c>
      <c r="E2256">
        <v>50</v>
      </c>
      <c r="F2256">
        <v>48.026870727999999</v>
      </c>
      <c r="G2256">
        <v>1344.2102050999999</v>
      </c>
      <c r="H2256">
        <v>1340.6016846</v>
      </c>
      <c r="I2256">
        <v>1322.515625</v>
      </c>
      <c r="J2256">
        <v>1318.6594238</v>
      </c>
      <c r="K2256">
        <v>2400</v>
      </c>
      <c r="L2256">
        <v>0</v>
      </c>
      <c r="M2256">
        <v>0</v>
      </c>
      <c r="N2256">
        <v>2400</v>
      </c>
    </row>
    <row r="2257" spans="1:14" x14ac:dyDescent="0.25">
      <c r="A2257">
        <v>1510.268818</v>
      </c>
      <c r="B2257" s="1">
        <f>DATE(2014,6,19) + TIME(6,27,5)</f>
        <v>41809.268807870372</v>
      </c>
      <c r="C2257">
        <v>80</v>
      </c>
      <c r="D2257">
        <v>79.971908568999993</v>
      </c>
      <c r="E2257">
        <v>50</v>
      </c>
      <c r="F2257">
        <v>48.012027740000001</v>
      </c>
      <c r="G2257">
        <v>1344.2038574000001</v>
      </c>
      <c r="H2257">
        <v>1340.5985106999999</v>
      </c>
      <c r="I2257">
        <v>1322.5093993999999</v>
      </c>
      <c r="J2257">
        <v>1318.6502685999999</v>
      </c>
      <c r="K2257">
        <v>2400</v>
      </c>
      <c r="L2257">
        <v>0</v>
      </c>
      <c r="M2257">
        <v>0</v>
      </c>
      <c r="N2257">
        <v>2400</v>
      </c>
    </row>
    <row r="2258" spans="1:14" x14ac:dyDescent="0.25">
      <c r="A2258">
        <v>1510.7655540000001</v>
      </c>
      <c r="B2258" s="1">
        <f>DATE(2014,6,19) + TIME(18,22,23)</f>
        <v>41809.765543981484</v>
      </c>
      <c r="C2258">
        <v>80</v>
      </c>
      <c r="D2258">
        <v>79.971885681000003</v>
      </c>
      <c r="E2258">
        <v>50</v>
      </c>
      <c r="F2258">
        <v>47.997711182000003</v>
      </c>
      <c r="G2258">
        <v>1344.1976318</v>
      </c>
      <c r="H2258">
        <v>1340.5953368999999</v>
      </c>
      <c r="I2258">
        <v>1322.5032959</v>
      </c>
      <c r="J2258">
        <v>1318.6411132999999</v>
      </c>
      <c r="K2258">
        <v>2400</v>
      </c>
      <c r="L2258">
        <v>0</v>
      </c>
      <c r="M2258">
        <v>0</v>
      </c>
      <c r="N2258">
        <v>2400</v>
      </c>
    </row>
    <row r="2259" spans="1:14" x14ac:dyDescent="0.25">
      <c r="A2259">
        <v>1511.7590270000001</v>
      </c>
      <c r="B2259" s="1">
        <f>DATE(2014,6,20) + TIME(18,12,59)</f>
        <v>41810.759016203701</v>
      </c>
      <c r="C2259">
        <v>80</v>
      </c>
      <c r="D2259">
        <v>79.971870421999995</v>
      </c>
      <c r="E2259">
        <v>50</v>
      </c>
      <c r="F2259">
        <v>47.977279662999997</v>
      </c>
      <c r="G2259">
        <v>1344.1914062000001</v>
      </c>
      <c r="H2259">
        <v>1340.5922852000001</v>
      </c>
      <c r="I2259">
        <v>1322.4967041</v>
      </c>
      <c r="J2259">
        <v>1318.6308594</v>
      </c>
      <c r="K2259">
        <v>2400</v>
      </c>
      <c r="L2259">
        <v>0</v>
      </c>
      <c r="M2259">
        <v>0</v>
      </c>
      <c r="N2259">
        <v>2400</v>
      </c>
    </row>
    <row r="2260" spans="1:14" x14ac:dyDescent="0.25">
      <c r="A2260">
        <v>1512.754545</v>
      </c>
      <c r="B2260" s="1">
        <f>DATE(2014,6,21) + TIME(18,6,32)</f>
        <v>41811.754537037035</v>
      </c>
      <c r="C2260">
        <v>80</v>
      </c>
      <c r="D2260">
        <v>79.971839904999996</v>
      </c>
      <c r="E2260">
        <v>50</v>
      </c>
      <c r="F2260">
        <v>47.953620911000002</v>
      </c>
      <c r="G2260">
        <v>1344.1790771000001</v>
      </c>
      <c r="H2260">
        <v>1340.5860596</v>
      </c>
      <c r="I2260">
        <v>1322.4851074000001</v>
      </c>
      <c r="J2260">
        <v>1318.6141356999999</v>
      </c>
      <c r="K2260">
        <v>2400</v>
      </c>
      <c r="L2260">
        <v>0</v>
      </c>
      <c r="M2260">
        <v>0</v>
      </c>
      <c r="N2260">
        <v>2400</v>
      </c>
    </row>
    <row r="2261" spans="1:14" x14ac:dyDescent="0.25">
      <c r="A2261">
        <v>1513.7644680000001</v>
      </c>
      <c r="B2261" s="1">
        <f>DATE(2014,6,22) + TIME(18,20,50)</f>
        <v>41812.764467592591</v>
      </c>
      <c r="C2261">
        <v>80</v>
      </c>
      <c r="D2261">
        <v>79.971817017000006</v>
      </c>
      <c r="E2261">
        <v>50</v>
      </c>
      <c r="F2261">
        <v>47.928497313999998</v>
      </c>
      <c r="G2261">
        <v>1344.1668701000001</v>
      </c>
      <c r="H2261">
        <v>1340.5799560999999</v>
      </c>
      <c r="I2261">
        <v>1322.4731445</v>
      </c>
      <c r="J2261">
        <v>1318.5963135</v>
      </c>
      <c r="K2261">
        <v>2400</v>
      </c>
      <c r="L2261">
        <v>0</v>
      </c>
      <c r="M2261">
        <v>0</v>
      </c>
      <c r="N2261">
        <v>2400</v>
      </c>
    </row>
    <row r="2262" spans="1:14" x14ac:dyDescent="0.25">
      <c r="A2262">
        <v>1514.7922450000001</v>
      </c>
      <c r="B2262" s="1">
        <f>DATE(2014,6,23) + TIME(19,0,49)</f>
        <v>41813.792233796295</v>
      </c>
      <c r="C2262">
        <v>80</v>
      </c>
      <c r="D2262">
        <v>79.971786499000004</v>
      </c>
      <c r="E2262">
        <v>50</v>
      </c>
      <c r="F2262">
        <v>47.90266037</v>
      </c>
      <c r="G2262">
        <v>1344.1547852000001</v>
      </c>
      <c r="H2262">
        <v>1340.5737305</v>
      </c>
      <c r="I2262">
        <v>1322.4605713000001</v>
      </c>
      <c r="J2262">
        <v>1318.5778809000001</v>
      </c>
      <c r="K2262">
        <v>2400</v>
      </c>
      <c r="L2262">
        <v>0</v>
      </c>
      <c r="M2262">
        <v>0</v>
      </c>
      <c r="N2262">
        <v>2400</v>
      </c>
    </row>
    <row r="2263" spans="1:14" x14ac:dyDescent="0.25">
      <c r="A2263">
        <v>1515.832122</v>
      </c>
      <c r="B2263" s="1">
        <f>DATE(2014,6,24) + TIME(19,58,15)</f>
        <v>41814.832118055558</v>
      </c>
      <c r="C2263">
        <v>80</v>
      </c>
      <c r="D2263">
        <v>79.971755981000001</v>
      </c>
      <c r="E2263">
        <v>50</v>
      </c>
      <c r="F2263">
        <v>47.876529693999998</v>
      </c>
      <c r="G2263">
        <v>1344.1425781</v>
      </c>
      <c r="H2263">
        <v>1340.5676269999999</v>
      </c>
      <c r="I2263">
        <v>1322.4477539</v>
      </c>
      <c r="J2263">
        <v>1318.5587158000001</v>
      </c>
      <c r="K2263">
        <v>2400</v>
      </c>
      <c r="L2263">
        <v>0</v>
      </c>
      <c r="M2263">
        <v>0</v>
      </c>
      <c r="N2263">
        <v>2400</v>
      </c>
    </row>
    <row r="2264" spans="1:14" x14ac:dyDescent="0.25">
      <c r="A2264">
        <v>1516.8818960000001</v>
      </c>
      <c r="B2264" s="1">
        <f>DATE(2014,6,25) + TIME(21,9,55)</f>
        <v>41815.881886574076</v>
      </c>
      <c r="C2264">
        <v>80</v>
      </c>
      <c r="D2264">
        <v>79.971717834000003</v>
      </c>
      <c r="E2264">
        <v>50</v>
      </c>
      <c r="F2264">
        <v>47.850364685000002</v>
      </c>
      <c r="G2264">
        <v>1344.1303711</v>
      </c>
      <c r="H2264">
        <v>1340.5614014</v>
      </c>
      <c r="I2264">
        <v>1322.4344481999999</v>
      </c>
      <c r="J2264">
        <v>1318.5389404</v>
      </c>
      <c r="K2264">
        <v>2400</v>
      </c>
      <c r="L2264">
        <v>0</v>
      </c>
      <c r="M2264">
        <v>0</v>
      </c>
      <c r="N2264">
        <v>2400</v>
      </c>
    </row>
    <row r="2265" spans="1:14" x14ac:dyDescent="0.25">
      <c r="A2265">
        <v>1517.9515080000001</v>
      </c>
      <c r="B2265" s="1">
        <f>DATE(2014,6,26) + TIME(22,50,10)</f>
        <v>41816.951504629629</v>
      </c>
      <c r="C2265">
        <v>80</v>
      </c>
      <c r="D2265">
        <v>79.971694946</v>
      </c>
      <c r="E2265">
        <v>50</v>
      </c>
      <c r="F2265">
        <v>47.824176788000003</v>
      </c>
      <c r="G2265">
        <v>1344.1184082</v>
      </c>
      <c r="H2265">
        <v>1340.5552978999999</v>
      </c>
      <c r="I2265">
        <v>1322.4210204999999</v>
      </c>
      <c r="J2265">
        <v>1318.5187988</v>
      </c>
      <c r="K2265">
        <v>2400</v>
      </c>
      <c r="L2265">
        <v>0</v>
      </c>
      <c r="M2265">
        <v>0</v>
      </c>
      <c r="N2265">
        <v>2400</v>
      </c>
    </row>
    <row r="2266" spans="1:14" x14ac:dyDescent="0.25">
      <c r="A2266">
        <v>1519.044858</v>
      </c>
      <c r="B2266" s="1">
        <f>DATE(2014,6,28) + TIME(1,4,35)</f>
        <v>41818.044849537036</v>
      </c>
      <c r="C2266">
        <v>80</v>
      </c>
      <c r="D2266">
        <v>79.971664429</v>
      </c>
      <c r="E2266">
        <v>50</v>
      </c>
      <c r="F2266">
        <v>47.797939301</v>
      </c>
      <c r="G2266">
        <v>1344.1062012</v>
      </c>
      <c r="H2266">
        <v>1340.5490723</v>
      </c>
      <c r="I2266">
        <v>1322.4071045000001</v>
      </c>
      <c r="J2266">
        <v>1318.4980469</v>
      </c>
      <c r="K2266">
        <v>2400</v>
      </c>
      <c r="L2266">
        <v>0</v>
      </c>
      <c r="M2266">
        <v>0</v>
      </c>
      <c r="N2266">
        <v>2400</v>
      </c>
    </row>
    <row r="2267" spans="1:14" x14ac:dyDescent="0.25">
      <c r="A2267">
        <v>1520.1667179999999</v>
      </c>
      <c r="B2267" s="1">
        <f>DATE(2014,6,29) + TIME(4,0,4)</f>
        <v>41819.166712962964</v>
      </c>
      <c r="C2267">
        <v>80</v>
      </c>
      <c r="D2267">
        <v>79.971633910999998</v>
      </c>
      <c r="E2267">
        <v>50</v>
      </c>
      <c r="F2267">
        <v>47.771598816000001</v>
      </c>
      <c r="G2267">
        <v>1344.0939940999999</v>
      </c>
      <c r="H2267">
        <v>1340.5427245999999</v>
      </c>
      <c r="I2267">
        <v>1322.3929443</v>
      </c>
      <c r="J2267">
        <v>1318.4766846</v>
      </c>
      <c r="K2267">
        <v>2400</v>
      </c>
      <c r="L2267">
        <v>0</v>
      </c>
      <c r="M2267">
        <v>0</v>
      </c>
      <c r="N2267">
        <v>2400</v>
      </c>
    </row>
    <row r="2268" spans="1:14" x14ac:dyDescent="0.25">
      <c r="A2268">
        <v>1521.3218429999999</v>
      </c>
      <c r="B2268" s="1">
        <f>DATE(2014,6,30) + TIME(7,43,27)</f>
        <v>41820.321840277778</v>
      </c>
      <c r="C2268">
        <v>80</v>
      </c>
      <c r="D2268">
        <v>79.971603393999999</v>
      </c>
      <c r="E2268">
        <v>50</v>
      </c>
      <c r="F2268">
        <v>47.745094299000002</v>
      </c>
      <c r="G2268">
        <v>1344.0817870999999</v>
      </c>
      <c r="H2268">
        <v>1340.5363769999999</v>
      </c>
      <c r="I2268">
        <v>1322.3781738</v>
      </c>
      <c r="J2268">
        <v>1318.4544678</v>
      </c>
      <c r="K2268">
        <v>2400</v>
      </c>
      <c r="L2268">
        <v>0</v>
      </c>
      <c r="M2268">
        <v>0</v>
      </c>
      <c r="N2268">
        <v>2400</v>
      </c>
    </row>
    <row r="2269" spans="1:14" x14ac:dyDescent="0.25">
      <c r="A2269">
        <v>1522</v>
      </c>
      <c r="B2269" s="1">
        <f>DATE(2014,7,1) + TIME(0,0,0)</f>
        <v>41821</v>
      </c>
      <c r="C2269">
        <v>80</v>
      </c>
      <c r="D2269">
        <v>79.971572875999996</v>
      </c>
      <c r="E2269">
        <v>50</v>
      </c>
      <c r="F2269">
        <v>47.724800109999997</v>
      </c>
      <c r="G2269">
        <v>1344.0692139</v>
      </c>
      <c r="H2269">
        <v>1340.5299072</v>
      </c>
      <c r="I2269">
        <v>1322.3636475000001</v>
      </c>
      <c r="J2269">
        <v>1318.4329834</v>
      </c>
      <c r="K2269">
        <v>2400</v>
      </c>
      <c r="L2269">
        <v>0</v>
      </c>
      <c r="M2269">
        <v>0</v>
      </c>
      <c r="N2269">
        <v>2400</v>
      </c>
    </row>
    <row r="2270" spans="1:14" x14ac:dyDescent="0.25">
      <c r="A2270">
        <v>1523.1928820000001</v>
      </c>
      <c r="B2270" s="1">
        <f>DATE(2014,7,2) + TIME(4,37,45)</f>
        <v>41822.192881944444</v>
      </c>
      <c r="C2270">
        <v>80</v>
      </c>
      <c r="D2270">
        <v>79.971549988000007</v>
      </c>
      <c r="E2270">
        <v>50</v>
      </c>
      <c r="F2270">
        <v>47.701152802000003</v>
      </c>
      <c r="G2270">
        <v>1344.0620117000001</v>
      </c>
      <c r="H2270">
        <v>1340.5261230000001</v>
      </c>
      <c r="I2270">
        <v>1322.3531493999999</v>
      </c>
      <c r="J2270">
        <v>1318.4163818</v>
      </c>
      <c r="K2270">
        <v>2400</v>
      </c>
      <c r="L2270">
        <v>0</v>
      </c>
      <c r="M2270">
        <v>0</v>
      </c>
      <c r="N2270">
        <v>2400</v>
      </c>
    </row>
    <row r="2271" spans="1:14" x14ac:dyDescent="0.25">
      <c r="A2271">
        <v>1524.410977</v>
      </c>
      <c r="B2271" s="1">
        <f>DATE(2014,7,3) + TIME(9,51,48)</f>
        <v>41823.41097222222</v>
      </c>
      <c r="C2271">
        <v>80</v>
      </c>
      <c r="D2271">
        <v>79.971527100000003</v>
      </c>
      <c r="E2271">
        <v>50</v>
      </c>
      <c r="F2271">
        <v>47.675868987999998</v>
      </c>
      <c r="G2271">
        <v>1344.0494385</v>
      </c>
      <c r="H2271">
        <v>1340.5196533000001</v>
      </c>
      <c r="I2271">
        <v>1322.3375243999999</v>
      </c>
      <c r="J2271">
        <v>1318.3930664</v>
      </c>
      <c r="K2271">
        <v>2400</v>
      </c>
      <c r="L2271">
        <v>0</v>
      </c>
      <c r="M2271">
        <v>0</v>
      </c>
      <c r="N2271">
        <v>2400</v>
      </c>
    </row>
    <row r="2272" spans="1:14" x14ac:dyDescent="0.25">
      <c r="A2272">
        <v>1525.6513910000001</v>
      </c>
      <c r="B2272" s="1">
        <f>DATE(2014,7,4) + TIME(15,38,0)</f>
        <v>41824.651388888888</v>
      </c>
      <c r="C2272">
        <v>80</v>
      </c>
      <c r="D2272">
        <v>79.971496582</v>
      </c>
      <c r="E2272">
        <v>50</v>
      </c>
      <c r="F2272">
        <v>47.650020599000001</v>
      </c>
      <c r="G2272">
        <v>1344.0368652</v>
      </c>
      <c r="H2272">
        <v>1340.5130615</v>
      </c>
      <c r="I2272">
        <v>1322.3214111</v>
      </c>
      <c r="J2272">
        <v>1318.3685303</v>
      </c>
      <c r="K2272">
        <v>2400</v>
      </c>
      <c r="L2272">
        <v>0</v>
      </c>
      <c r="M2272">
        <v>0</v>
      </c>
      <c r="N2272">
        <v>2400</v>
      </c>
    </row>
    <row r="2273" spans="1:14" x14ac:dyDescent="0.25">
      <c r="A2273">
        <v>1526.9104460000001</v>
      </c>
      <c r="B2273" s="1">
        <f>DATE(2014,7,5) + TIME(21,51,2)</f>
        <v>41825.910439814812</v>
      </c>
      <c r="C2273">
        <v>80</v>
      </c>
      <c r="D2273">
        <v>79.971466063999998</v>
      </c>
      <c r="E2273">
        <v>50</v>
      </c>
      <c r="F2273">
        <v>47.624141692999999</v>
      </c>
      <c r="G2273">
        <v>1344.0241699000001</v>
      </c>
      <c r="H2273">
        <v>1340.5063477000001</v>
      </c>
      <c r="I2273">
        <v>1322.3046875</v>
      </c>
      <c r="J2273">
        <v>1318.3430175999999</v>
      </c>
      <c r="K2273">
        <v>2400</v>
      </c>
      <c r="L2273">
        <v>0</v>
      </c>
      <c r="M2273">
        <v>0</v>
      </c>
      <c r="N2273">
        <v>2400</v>
      </c>
    </row>
    <row r="2274" spans="1:14" x14ac:dyDescent="0.25">
      <c r="A2274">
        <v>1528.1916229999999</v>
      </c>
      <c r="B2274" s="1">
        <f>DATE(2014,7,7) + TIME(4,35,56)</f>
        <v>41827.191620370373</v>
      </c>
      <c r="C2274">
        <v>80</v>
      </c>
      <c r="D2274">
        <v>79.971435546999999</v>
      </c>
      <c r="E2274">
        <v>50</v>
      </c>
      <c r="F2274">
        <v>47.598487853999998</v>
      </c>
      <c r="G2274">
        <v>1344.0114745999999</v>
      </c>
      <c r="H2274">
        <v>1340.4996338000001</v>
      </c>
      <c r="I2274">
        <v>1322.2874756000001</v>
      </c>
      <c r="J2274">
        <v>1318.3168945</v>
      </c>
      <c r="K2274">
        <v>2400</v>
      </c>
      <c r="L2274">
        <v>0</v>
      </c>
      <c r="M2274">
        <v>0</v>
      </c>
      <c r="N2274">
        <v>2400</v>
      </c>
    </row>
    <row r="2275" spans="1:14" x14ac:dyDescent="0.25">
      <c r="A2275">
        <v>1529.487286</v>
      </c>
      <c r="B2275" s="1">
        <f>DATE(2014,7,8) + TIME(11,41,41)</f>
        <v>41828.487280092595</v>
      </c>
      <c r="C2275">
        <v>80</v>
      </c>
      <c r="D2275">
        <v>79.971412658999995</v>
      </c>
      <c r="E2275">
        <v>50</v>
      </c>
      <c r="F2275">
        <v>47.573253631999997</v>
      </c>
      <c r="G2275">
        <v>1343.9989014</v>
      </c>
      <c r="H2275">
        <v>1340.4929199000001</v>
      </c>
      <c r="I2275">
        <v>1322.2700195</v>
      </c>
      <c r="J2275">
        <v>1318.2901611</v>
      </c>
      <c r="K2275">
        <v>2400</v>
      </c>
      <c r="L2275">
        <v>0</v>
      </c>
      <c r="M2275">
        <v>0</v>
      </c>
      <c r="N2275">
        <v>2400</v>
      </c>
    </row>
    <row r="2276" spans="1:14" x14ac:dyDescent="0.25">
      <c r="A2276">
        <v>1530.7859920000001</v>
      </c>
      <c r="B2276" s="1">
        <f>DATE(2014,7,9) + TIME(18,51,49)</f>
        <v>41829.785983796297</v>
      </c>
      <c r="C2276">
        <v>80</v>
      </c>
      <c r="D2276">
        <v>79.971382141000007</v>
      </c>
      <c r="E2276">
        <v>50</v>
      </c>
      <c r="F2276">
        <v>47.548679352000001</v>
      </c>
      <c r="G2276">
        <v>1343.9862060999999</v>
      </c>
      <c r="H2276">
        <v>1340.4862060999999</v>
      </c>
      <c r="I2276">
        <v>1322.2521973</v>
      </c>
      <c r="J2276">
        <v>1318.2628173999999</v>
      </c>
      <c r="K2276">
        <v>2400</v>
      </c>
      <c r="L2276">
        <v>0</v>
      </c>
      <c r="M2276">
        <v>0</v>
      </c>
      <c r="N2276">
        <v>2400</v>
      </c>
    </row>
    <row r="2277" spans="1:14" x14ac:dyDescent="0.25">
      <c r="A2277">
        <v>1532.092578</v>
      </c>
      <c r="B2277" s="1">
        <f>DATE(2014,7,11) + TIME(2,13,18)</f>
        <v>41831.092569444445</v>
      </c>
      <c r="C2277">
        <v>80</v>
      </c>
      <c r="D2277">
        <v>79.971359253000003</v>
      </c>
      <c r="E2277">
        <v>50</v>
      </c>
      <c r="F2277">
        <v>47.524909973</v>
      </c>
      <c r="G2277">
        <v>1343.9737548999999</v>
      </c>
      <c r="H2277">
        <v>1340.4796143000001</v>
      </c>
      <c r="I2277">
        <v>1322.2342529</v>
      </c>
      <c r="J2277">
        <v>1318.2352295000001</v>
      </c>
      <c r="K2277">
        <v>2400</v>
      </c>
      <c r="L2277">
        <v>0</v>
      </c>
      <c r="M2277">
        <v>0</v>
      </c>
      <c r="N2277">
        <v>2400</v>
      </c>
    </row>
    <row r="2278" spans="1:14" x14ac:dyDescent="0.25">
      <c r="A2278">
        <v>1533.4114709999999</v>
      </c>
      <c r="B2278" s="1">
        <f>DATE(2014,7,12) + TIME(9,52,31)</f>
        <v>41832.411469907405</v>
      </c>
      <c r="C2278">
        <v>80</v>
      </c>
      <c r="D2278">
        <v>79.971328735</v>
      </c>
      <c r="E2278">
        <v>50</v>
      </c>
      <c r="F2278">
        <v>47.501983643000003</v>
      </c>
      <c r="G2278">
        <v>1343.9614257999999</v>
      </c>
      <c r="H2278">
        <v>1340.4729004000001</v>
      </c>
      <c r="I2278">
        <v>1322.2160644999999</v>
      </c>
      <c r="J2278">
        <v>1318.2072754000001</v>
      </c>
      <c r="K2278">
        <v>2400</v>
      </c>
      <c r="L2278">
        <v>0</v>
      </c>
      <c r="M2278">
        <v>0</v>
      </c>
      <c r="N2278">
        <v>2400</v>
      </c>
    </row>
    <row r="2279" spans="1:14" x14ac:dyDescent="0.25">
      <c r="A2279">
        <v>1534.7572970000001</v>
      </c>
      <c r="B2279" s="1">
        <f>DATE(2014,7,13) + TIME(18,10,30)</f>
        <v>41833.757291666669</v>
      </c>
      <c r="C2279">
        <v>80</v>
      </c>
      <c r="D2279">
        <v>79.971305846999996</v>
      </c>
      <c r="E2279">
        <v>50</v>
      </c>
      <c r="F2279">
        <v>47.479862212999997</v>
      </c>
      <c r="G2279">
        <v>1343.9492187999999</v>
      </c>
      <c r="H2279">
        <v>1340.4663086</v>
      </c>
      <c r="I2279">
        <v>1322.1977539</v>
      </c>
      <c r="J2279">
        <v>1318.1788329999999</v>
      </c>
      <c r="K2279">
        <v>2400</v>
      </c>
      <c r="L2279">
        <v>0</v>
      </c>
      <c r="M2279">
        <v>0</v>
      </c>
      <c r="N2279">
        <v>2400</v>
      </c>
    </row>
    <row r="2280" spans="1:14" x14ac:dyDescent="0.25">
      <c r="A2280">
        <v>1536.136346</v>
      </c>
      <c r="B2280" s="1">
        <f>DATE(2014,7,15) + TIME(3,16,20)</f>
        <v>41835.136342592596</v>
      </c>
      <c r="C2280">
        <v>80</v>
      </c>
      <c r="D2280">
        <v>79.971275329999997</v>
      </c>
      <c r="E2280">
        <v>50</v>
      </c>
      <c r="F2280">
        <v>47.458511352999999</v>
      </c>
      <c r="G2280">
        <v>1343.9368896000001</v>
      </c>
      <c r="H2280">
        <v>1340.4595947</v>
      </c>
      <c r="I2280">
        <v>1322.1790771000001</v>
      </c>
      <c r="J2280">
        <v>1318.1497803</v>
      </c>
      <c r="K2280">
        <v>2400</v>
      </c>
      <c r="L2280">
        <v>0</v>
      </c>
      <c r="M2280">
        <v>0</v>
      </c>
      <c r="N2280">
        <v>2400</v>
      </c>
    </row>
    <row r="2281" spans="1:14" x14ac:dyDescent="0.25">
      <c r="A2281">
        <v>1537.555386</v>
      </c>
      <c r="B2281" s="1">
        <f>DATE(2014,7,16) + TIME(13,19,45)</f>
        <v>41836.555381944447</v>
      </c>
      <c r="C2281">
        <v>80</v>
      </c>
      <c r="D2281">
        <v>79.971252441000004</v>
      </c>
      <c r="E2281">
        <v>50</v>
      </c>
      <c r="F2281">
        <v>47.437946320000002</v>
      </c>
      <c r="G2281">
        <v>1343.9245605000001</v>
      </c>
      <c r="H2281">
        <v>1340.4528809000001</v>
      </c>
      <c r="I2281">
        <v>1322.1599120999999</v>
      </c>
      <c r="J2281">
        <v>1318.1199951000001</v>
      </c>
      <c r="K2281">
        <v>2400</v>
      </c>
      <c r="L2281">
        <v>0</v>
      </c>
      <c r="M2281">
        <v>0</v>
      </c>
      <c r="N2281">
        <v>2400</v>
      </c>
    </row>
    <row r="2282" spans="1:14" x14ac:dyDescent="0.25">
      <c r="A2282">
        <v>1539.022007</v>
      </c>
      <c r="B2282" s="1">
        <f>DATE(2014,7,18) + TIME(0,31,41)</f>
        <v>41838.022002314814</v>
      </c>
      <c r="C2282">
        <v>80</v>
      </c>
      <c r="D2282">
        <v>79.971229553000001</v>
      </c>
      <c r="E2282">
        <v>50</v>
      </c>
      <c r="F2282">
        <v>47.418235779</v>
      </c>
      <c r="G2282">
        <v>1343.9118652</v>
      </c>
      <c r="H2282">
        <v>1340.4460449000001</v>
      </c>
      <c r="I2282">
        <v>1322.1401367000001</v>
      </c>
      <c r="J2282">
        <v>1318.0892334</v>
      </c>
      <c r="K2282">
        <v>2400</v>
      </c>
      <c r="L2282">
        <v>0</v>
      </c>
      <c r="M2282">
        <v>0</v>
      </c>
      <c r="N2282">
        <v>2400</v>
      </c>
    </row>
    <row r="2283" spans="1:14" x14ac:dyDescent="0.25">
      <c r="A2283">
        <v>1540.544193</v>
      </c>
      <c r="B2283" s="1">
        <f>DATE(2014,7,19) + TIME(13,3,38)</f>
        <v>41839.544189814813</v>
      </c>
      <c r="C2283">
        <v>80</v>
      </c>
      <c r="D2283">
        <v>79.971206664999997</v>
      </c>
      <c r="E2283">
        <v>50</v>
      </c>
      <c r="F2283">
        <v>47.399478911999999</v>
      </c>
      <c r="G2283">
        <v>1343.8991699000001</v>
      </c>
      <c r="H2283">
        <v>1340.4389647999999</v>
      </c>
      <c r="I2283">
        <v>1322.119751</v>
      </c>
      <c r="J2283">
        <v>1318.0573730000001</v>
      </c>
      <c r="K2283">
        <v>2400</v>
      </c>
      <c r="L2283">
        <v>0</v>
      </c>
      <c r="M2283">
        <v>0</v>
      </c>
      <c r="N2283">
        <v>2400</v>
      </c>
    </row>
    <row r="2284" spans="1:14" x14ac:dyDescent="0.25">
      <c r="A2284">
        <v>1542.0851829999999</v>
      </c>
      <c r="B2284" s="1">
        <f>DATE(2014,7,21) + TIME(2,2,39)</f>
        <v>41841.085173611114</v>
      </c>
      <c r="C2284">
        <v>80</v>
      </c>
      <c r="D2284">
        <v>79.971183776999993</v>
      </c>
      <c r="E2284">
        <v>50</v>
      </c>
      <c r="F2284">
        <v>47.382030487000002</v>
      </c>
      <c r="G2284">
        <v>1343.8859863</v>
      </c>
      <c r="H2284">
        <v>1340.4317627</v>
      </c>
      <c r="I2284">
        <v>1322.0987548999999</v>
      </c>
      <c r="J2284">
        <v>1318.0242920000001</v>
      </c>
      <c r="K2284">
        <v>2400</v>
      </c>
      <c r="L2284">
        <v>0</v>
      </c>
      <c r="M2284">
        <v>0</v>
      </c>
      <c r="N2284">
        <v>2400</v>
      </c>
    </row>
    <row r="2285" spans="1:14" x14ac:dyDescent="0.25">
      <c r="A2285">
        <v>1543.635638</v>
      </c>
      <c r="B2285" s="1">
        <f>DATE(2014,7,22) + TIME(15,15,19)</f>
        <v>41842.635636574072</v>
      </c>
      <c r="C2285">
        <v>80</v>
      </c>
      <c r="D2285">
        <v>79.971153259000005</v>
      </c>
      <c r="E2285">
        <v>50</v>
      </c>
      <c r="F2285">
        <v>47.366310120000001</v>
      </c>
      <c r="G2285">
        <v>1343.8730469</v>
      </c>
      <c r="H2285">
        <v>1340.4244385</v>
      </c>
      <c r="I2285">
        <v>1322.0773925999999</v>
      </c>
      <c r="J2285">
        <v>1317.9907227000001</v>
      </c>
      <c r="K2285">
        <v>2400</v>
      </c>
      <c r="L2285">
        <v>0</v>
      </c>
      <c r="M2285">
        <v>0</v>
      </c>
      <c r="N2285">
        <v>2400</v>
      </c>
    </row>
    <row r="2286" spans="1:14" x14ac:dyDescent="0.25">
      <c r="A2286">
        <v>1545.192368</v>
      </c>
      <c r="B2286" s="1">
        <f>DATE(2014,7,24) + TIME(4,37,0)</f>
        <v>41844.192361111112</v>
      </c>
      <c r="C2286">
        <v>80</v>
      </c>
      <c r="D2286">
        <v>79.971130371000001</v>
      </c>
      <c r="E2286">
        <v>50</v>
      </c>
      <c r="F2286">
        <v>47.352619171000001</v>
      </c>
      <c r="G2286">
        <v>1343.8601074000001</v>
      </c>
      <c r="H2286">
        <v>1340.4172363</v>
      </c>
      <c r="I2286">
        <v>1322.0559082</v>
      </c>
      <c r="J2286">
        <v>1317.9567870999999</v>
      </c>
      <c r="K2286">
        <v>2400</v>
      </c>
      <c r="L2286">
        <v>0</v>
      </c>
      <c r="M2286">
        <v>0</v>
      </c>
      <c r="N2286">
        <v>2400</v>
      </c>
    </row>
    <row r="2287" spans="1:14" x14ac:dyDescent="0.25">
      <c r="A2287">
        <v>1546.762086</v>
      </c>
      <c r="B2287" s="1">
        <f>DATE(2014,7,25) + TIME(18,17,24)</f>
        <v>41845.762083333335</v>
      </c>
      <c r="C2287">
        <v>80</v>
      </c>
      <c r="D2287">
        <v>79.971107482999997</v>
      </c>
      <c r="E2287">
        <v>50</v>
      </c>
      <c r="F2287">
        <v>47.341156005999999</v>
      </c>
      <c r="G2287">
        <v>1343.8474120999999</v>
      </c>
      <c r="H2287">
        <v>1340.4101562000001</v>
      </c>
      <c r="I2287">
        <v>1322.0344238</v>
      </c>
      <c r="J2287">
        <v>1317.9227295000001</v>
      </c>
      <c r="K2287">
        <v>2400</v>
      </c>
      <c r="L2287">
        <v>0</v>
      </c>
      <c r="M2287">
        <v>0</v>
      </c>
      <c r="N2287">
        <v>2400</v>
      </c>
    </row>
    <row r="2288" spans="1:14" x14ac:dyDescent="0.25">
      <c r="A2288">
        <v>1548.359449</v>
      </c>
      <c r="B2288" s="1">
        <f>DATE(2014,7,27) + TIME(8,37,36)</f>
        <v>41847.359444444446</v>
      </c>
      <c r="C2288">
        <v>80</v>
      </c>
      <c r="D2288">
        <v>79.971084594999994</v>
      </c>
      <c r="E2288">
        <v>50</v>
      </c>
      <c r="F2288">
        <v>47.332077026</v>
      </c>
      <c r="G2288">
        <v>1343.8347168</v>
      </c>
      <c r="H2288">
        <v>1340.4029541</v>
      </c>
      <c r="I2288">
        <v>1322.0129394999999</v>
      </c>
      <c r="J2288">
        <v>1317.8883057</v>
      </c>
      <c r="K2288">
        <v>2400</v>
      </c>
      <c r="L2288">
        <v>0</v>
      </c>
      <c r="M2288">
        <v>0</v>
      </c>
      <c r="N2288">
        <v>2400</v>
      </c>
    </row>
    <row r="2289" spans="1:14" x14ac:dyDescent="0.25">
      <c r="A2289">
        <v>1550.002187</v>
      </c>
      <c r="B2289" s="1">
        <f>DATE(2014,7,29) + TIME(0,3,8)</f>
        <v>41849.002175925925</v>
      </c>
      <c r="C2289">
        <v>80</v>
      </c>
      <c r="D2289">
        <v>79.971069335999999</v>
      </c>
      <c r="E2289">
        <v>50</v>
      </c>
      <c r="F2289">
        <v>47.325576781999999</v>
      </c>
      <c r="G2289">
        <v>1343.8220214999999</v>
      </c>
      <c r="H2289">
        <v>1340.3957519999999</v>
      </c>
      <c r="I2289">
        <v>1321.9910889</v>
      </c>
      <c r="J2289">
        <v>1317.8535156</v>
      </c>
      <c r="K2289">
        <v>2400</v>
      </c>
      <c r="L2289">
        <v>0</v>
      </c>
      <c r="M2289">
        <v>0</v>
      </c>
      <c r="N2289">
        <v>2400</v>
      </c>
    </row>
    <row r="2290" spans="1:14" x14ac:dyDescent="0.25">
      <c r="A2290">
        <v>1551.6613199999999</v>
      </c>
      <c r="B2290" s="1">
        <f>DATE(2014,7,30) + TIME(15,52,18)</f>
        <v>41850.661319444444</v>
      </c>
      <c r="C2290">
        <v>80</v>
      </c>
      <c r="D2290">
        <v>79.971046447999996</v>
      </c>
      <c r="E2290">
        <v>50</v>
      </c>
      <c r="F2290">
        <v>47.322021483999997</v>
      </c>
      <c r="G2290">
        <v>1343.8092041</v>
      </c>
      <c r="H2290">
        <v>1340.3884277</v>
      </c>
      <c r="I2290">
        <v>1321.9689940999999</v>
      </c>
      <c r="J2290">
        <v>1317.8178711</v>
      </c>
      <c r="K2290">
        <v>2400</v>
      </c>
      <c r="L2290">
        <v>0</v>
      </c>
      <c r="M2290">
        <v>0</v>
      </c>
      <c r="N2290">
        <v>2400</v>
      </c>
    </row>
    <row r="2291" spans="1:14" x14ac:dyDescent="0.25">
      <c r="A2291">
        <v>1553</v>
      </c>
      <c r="B2291" s="1">
        <f>DATE(2014,8,1) + TIME(0,0,0)</f>
        <v>41852</v>
      </c>
      <c r="C2291">
        <v>80</v>
      </c>
      <c r="D2291">
        <v>79.971023560000006</v>
      </c>
      <c r="E2291">
        <v>50</v>
      </c>
      <c r="F2291">
        <v>47.321762085000003</v>
      </c>
      <c r="G2291">
        <v>1343.7963867000001</v>
      </c>
      <c r="H2291">
        <v>1340.3811035000001</v>
      </c>
      <c r="I2291">
        <v>1321.9472656</v>
      </c>
      <c r="J2291">
        <v>1317.7829589999999</v>
      </c>
      <c r="K2291">
        <v>2400</v>
      </c>
      <c r="L2291">
        <v>0</v>
      </c>
      <c r="M2291">
        <v>0</v>
      </c>
      <c r="N2291">
        <v>2400</v>
      </c>
    </row>
    <row r="2292" spans="1:14" x14ac:dyDescent="0.25">
      <c r="A2292">
        <v>1554.6786709999999</v>
      </c>
      <c r="B2292" s="1">
        <f>DATE(2014,8,2) + TIME(16,17,17)</f>
        <v>41853.678668981483</v>
      </c>
      <c r="C2292">
        <v>80</v>
      </c>
      <c r="D2292">
        <v>79.971008300999998</v>
      </c>
      <c r="E2292">
        <v>50</v>
      </c>
      <c r="F2292">
        <v>47.324367522999999</v>
      </c>
      <c r="G2292">
        <v>1343.7862548999999</v>
      </c>
      <c r="H2292">
        <v>1340.3753661999999</v>
      </c>
      <c r="I2292">
        <v>1321.9279785000001</v>
      </c>
      <c r="J2292">
        <v>1317.7518310999999</v>
      </c>
      <c r="K2292">
        <v>2400</v>
      </c>
      <c r="L2292">
        <v>0</v>
      </c>
      <c r="M2292">
        <v>0</v>
      </c>
      <c r="N2292">
        <v>2400</v>
      </c>
    </row>
    <row r="2293" spans="1:14" x14ac:dyDescent="0.25">
      <c r="A2293">
        <v>1556.436492</v>
      </c>
      <c r="B2293" s="1">
        <f>DATE(2014,8,4) + TIME(10,28,32)</f>
        <v>41855.436481481483</v>
      </c>
      <c r="C2293">
        <v>80</v>
      </c>
      <c r="D2293">
        <v>79.970985412999994</v>
      </c>
      <c r="E2293">
        <v>50</v>
      </c>
      <c r="F2293">
        <v>47.330886841000002</v>
      </c>
      <c r="G2293">
        <v>1343.7736815999999</v>
      </c>
      <c r="H2293">
        <v>1340.3680420000001</v>
      </c>
      <c r="I2293">
        <v>1321.9063721</v>
      </c>
      <c r="J2293">
        <v>1317.7166748</v>
      </c>
      <c r="K2293">
        <v>2400</v>
      </c>
      <c r="L2293">
        <v>0</v>
      </c>
      <c r="M2293">
        <v>0</v>
      </c>
      <c r="N2293">
        <v>2400</v>
      </c>
    </row>
    <row r="2294" spans="1:14" x14ac:dyDescent="0.25">
      <c r="A2294">
        <v>1558.2500809999999</v>
      </c>
      <c r="B2294" s="1">
        <f>DATE(2014,8,6) + TIME(6,0,7)</f>
        <v>41857.250081018516</v>
      </c>
      <c r="C2294">
        <v>80</v>
      </c>
      <c r="D2294">
        <v>79.970970154</v>
      </c>
      <c r="E2294">
        <v>50</v>
      </c>
      <c r="F2294">
        <v>47.342006683000001</v>
      </c>
      <c r="G2294">
        <v>1343.7607422000001</v>
      </c>
      <c r="H2294">
        <v>1340.3604736</v>
      </c>
      <c r="I2294">
        <v>1321.8837891000001</v>
      </c>
      <c r="J2294">
        <v>1317.6798096</v>
      </c>
      <c r="K2294">
        <v>2400</v>
      </c>
      <c r="L2294">
        <v>0</v>
      </c>
      <c r="M2294">
        <v>0</v>
      </c>
      <c r="N2294">
        <v>2400</v>
      </c>
    </row>
    <row r="2295" spans="1:14" x14ac:dyDescent="0.25">
      <c r="A2295">
        <v>1560.0860250000001</v>
      </c>
      <c r="B2295" s="1">
        <f>DATE(2014,8,8) + TIME(2,3,52)</f>
        <v>41859.086018518516</v>
      </c>
      <c r="C2295">
        <v>80</v>
      </c>
      <c r="D2295">
        <v>79.970954895000006</v>
      </c>
      <c r="E2295">
        <v>50</v>
      </c>
      <c r="F2295">
        <v>47.358341217000003</v>
      </c>
      <c r="G2295">
        <v>1343.7475586</v>
      </c>
      <c r="H2295">
        <v>1340.3527832</v>
      </c>
      <c r="I2295">
        <v>1321.8605957</v>
      </c>
      <c r="J2295">
        <v>1317.6419678</v>
      </c>
      <c r="K2295">
        <v>2400</v>
      </c>
      <c r="L2295">
        <v>0</v>
      </c>
      <c r="M2295">
        <v>0</v>
      </c>
      <c r="N2295">
        <v>2400</v>
      </c>
    </row>
    <row r="2296" spans="1:14" x14ac:dyDescent="0.25">
      <c r="A2296">
        <v>1561.9425639999999</v>
      </c>
      <c r="B2296" s="1">
        <f>DATE(2014,8,9) + TIME(22,37,17)</f>
        <v>41860.942557870374</v>
      </c>
      <c r="C2296">
        <v>80</v>
      </c>
      <c r="D2296">
        <v>79.970932007000002</v>
      </c>
      <c r="E2296">
        <v>50</v>
      </c>
      <c r="F2296">
        <v>47.380378723</v>
      </c>
      <c r="G2296">
        <v>1343.7344971</v>
      </c>
      <c r="H2296">
        <v>1340.3450928</v>
      </c>
      <c r="I2296">
        <v>1321.8374022999999</v>
      </c>
      <c r="J2296">
        <v>1317.6037598</v>
      </c>
      <c r="K2296">
        <v>2400</v>
      </c>
      <c r="L2296">
        <v>0</v>
      </c>
      <c r="M2296">
        <v>0</v>
      </c>
      <c r="N2296">
        <v>2400</v>
      </c>
    </row>
    <row r="2297" spans="1:14" x14ac:dyDescent="0.25">
      <c r="A2297">
        <v>1563.8287640000001</v>
      </c>
      <c r="B2297" s="1">
        <f>DATE(2014,8,11) + TIME(19,53,25)</f>
        <v>41862.828761574077</v>
      </c>
      <c r="C2297">
        <v>80</v>
      </c>
      <c r="D2297">
        <v>79.970916747999993</v>
      </c>
      <c r="E2297">
        <v>50</v>
      </c>
      <c r="F2297">
        <v>47.408691406000003</v>
      </c>
      <c r="G2297">
        <v>1343.7214355000001</v>
      </c>
      <c r="H2297">
        <v>1340.3374022999999</v>
      </c>
      <c r="I2297">
        <v>1321.8143310999999</v>
      </c>
      <c r="J2297">
        <v>1317.5655518000001</v>
      </c>
      <c r="K2297">
        <v>2400</v>
      </c>
      <c r="L2297">
        <v>0</v>
      </c>
      <c r="M2297">
        <v>0</v>
      </c>
      <c r="N2297">
        <v>2400</v>
      </c>
    </row>
    <row r="2298" spans="1:14" x14ac:dyDescent="0.25">
      <c r="A2298">
        <v>1565.7366609999999</v>
      </c>
      <c r="B2298" s="1">
        <f>DATE(2014,8,13) + TIME(17,40,47)</f>
        <v>41864.736655092594</v>
      </c>
      <c r="C2298">
        <v>80</v>
      </c>
      <c r="D2298">
        <v>79.970901488999999</v>
      </c>
      <c r="E2298">
        <v>50</v>
      </c>
      <c r="F2298">
        <v>47.443950653000002</v>
      </c>
      <c r="G2298">
        <v>1343.708374</v>
      </c>
      <c r="H2298">
        <v>1340.3295897999999</v>
      </c>
      <c r="I2298">
        <v>1321.7913818</v>
      </c>
      <c r="J2298">
        <v>1317.5273437999999</v>
      </c>
      <c r="K2298">
        <v>2400</v>
      </c>
      <c r="L2298">
        <v>0</v>
      </c>
      <c r="M2298">
        <v>0</v>
      </c>
      <c r="N2298">
        <v>2400</v>
      </c>
    </row>
    <row r="2299" spans="1:14" x14ac:dyDescent="0.25">
      <c r="A2299">
        <v>1567.6886950000001</v>
      </c>
      <c r="B2299" s="1">
        <f>DATE(2014,8,15) + TIME(16,31,43)</f>
        <v>41866.688692129632</v>
      </c>
      <c r="C2299">
        <v>80</v>
      </c>
      <c r="D2299">
        <v>79.970886230000005</v>
      </c>
      <c r="E2299">
        <v>50</v>
      </c>
      <c r="F2299">
        <v>47.486946105999998</v>
      </c>
      <c r="G2299">
        <v>1343.6953125</v>
      </c>
      <c r="H2299">
        <v>1340.3218993999999</v>
      </c>
      <c r="I2299">
        <v>1321.7685547000001</v>
      </c>
      <c r="J2299">
        <v>1317.4891356999999</v>
      </c>
      <c r="K2299">
        <v>2400</v>
      </c>
      <c r="L2299">
        <v>0</v>
      </c>
      <c r="M2299">
        <v>0</v>
      </c>
      <c r="N2299">
        <v>2400</v>
      </c>
    </row>
    <row r="2300" spans="1:14" x14ac:dyDescent="0.25">
      <c r="A2300">
        <v>1569.7073170000001</v>
      </c>
      <c r="B2300" s="1">
        <f>DATE(2014,8,17) + TIME(16,58,32)</f>
        <v>41868.707314814812</v>
      </c>
      <c r="C2300">
        <v>80</v>
      </c>
      <c r="D2300">
        <v>79.970870972</v>
      </c>
      <c r="E2300">
        <v>50</v>
      </c>
      <c r="F2300">
        <v>47.538959503000001</v>
      </c>
      <c r="G2300">
        <v>1343.682251</v>
      </c>
      <c r="H2300">
        <v>1340.3139647999999</v>
      </c>
      <c r="I2300">
        <v>1321.7457274999999</v>
      </c>
      <c r="J2300">
        <v>1317.4509277</v>
      </c>
      <c r="K2300">
        <v>2400</v>
      </c>
      <c r="L2300">
        <v>0</v>
      </c>
      <c r="M2300">
        <v>0</v>
      </c>
      <c r="N2300">
        <v>2400</v>
      </c>
    </row>
    <row r="2301" spans="1:14" x14ac:dyDescent="0.25">
      <c r="A2301">
        <v>1571.741567</v>
      </c>
      <c r="B2301" s="1">
        <f>DATE(2014,8,19) + TIME(17,47,51)</f>
        <v>41870.741562499999</v>
      </c>
      <c r="C2301">
        <v>80</v>
      </c>
      <c r="D2301">
        <v>79.970855713000006</v>
      </c>
      <c r="E2301">
        <v>50</v>
      </c>
      <c r="F2301">
        <v>47.601146698000001</v>
      </c>
      <c r="G2301">
        <v>1343.6688231999999</v>
      </c>
      <c r="H2301">
        <v>1340.3059082</v>
      </c>
      <c r="I2301">
        <v>1321.7229004000001</v>
      </c>
      <c r="J2301">
        <v>1317.4123535000001</v>
      </c>
      <c r="K2301">
        <v>2400</v>
      </c>
      <c r="L2301">
        <v>0</v>
      </c>
      <c r="M2301">
        <v>0</v>
      </c>
      <c r="N2301">
        <v>2400</v>
      </c>
    </row>
    <row r="2302" spans="1:14" x14ac:dyDescent="0.25">
      <c r="A2302">
        <v>1573.8015049999999</v>
      </c>
      <c r="B2302" s="1">
        <f>DATE(2014,8,21) + TIME(19,14,10)</f>
        <v>41872.801504629628</v>
      </c>
      <c r="C2302">
        <v>80</v>
      </c>
      <c r="D2302">
        <v>79.970840453999998</v>
      </c>
      <c r="E2302">
        <v>50</v>
      </c>
      <c r="F2302">
        <v>47.674003601000003</v>
      </c>
      <c r="G2302">
        <v>1343.6556396000001</v>
      </c>
      <c r="H2302">
        <v>1340.2978516000001</v>
      </c>
      <c r="I2302">
        <v>1321.7004394999999</v>
      </c>
      <c r="J2302">
        <v>1317.3741454999999</v>
      </c>
      <c r="K2302">
        <v>2400</v>
      </c>
      <c r="L2302">
        <v>0</v>
      </c>
      <c r="M2302">
        <v>0</v>
      </c>
      <c r="N2302">
        <v>2400</v>
      </c>
    </row>
    <row r="2303" spans="1:14" x14ac:dyDescent="0.25">
      <c r="A2303">
        <v>1575.8976479999999</v>
      </c>
      <c r="B2303" s="1">
        <f>DATE(2014,8,23) + TIME(21,32,36)</f>
        <v>41874.897638888891</v>
      </c>
      <c r="C2303">
        <v>80</v>
      </c>
      <c r="D2303">
        <v>79.970825195000003</v>
      </c>
      <c r="E2303">
        <v>50</v>
      </c>
      <c r="F2303">
        <v>47.758666992000002</v>
      </c>
      <c r="G2303">
        <v>1343.6424560999999</v>
      </c>
      <c r="H2303">
        <v>1340.2897949000001</v>
      </c>
      <c r="I2303">
        <v>1321.6783447</v>
      </c>
      <c r="J2303">
        <v>1317.3364257999999</v>
      </c>
      <c r="K2303">
        <v>2400</v>
      </c>
      <c r="L2303">
        <v>0</v>
      </c>
      <c r="M2303">
        <v>0</v>
      </c>
      <c r="N2303">
        <v>2400</v>
      </c>
    </row>
    <row r="2304" spans="1:14" x14ac:dyDescent="0.25">
      <c r="A2304">
        <v>1578.0597969999999</v>
      </c>
      <c r="B2304" s="1">
        <f>DATE(2014,8,26) + TIME(1,26,6)</f>
        <v>41877.059791666667</v>
      </c>
      <c r="C2304">
        <v>80</v>
      </c>
      <c r="D2304">
        <v>79.970809936999999</v>
      </c>
      <c r="E2304">
        <v>50</v>
      </c>
      <c r="F2304">
        <v>47.856941223</v>
      </c>
      <c r="G2304">
        <v>1343.6291504000001</v>
      </c>
      <c r="H2304">
        <v>1340.2816161999999</v>
      </c>
      <c r="I2304">
        <v>1321.6566161999999</v>
      </c>
      <c r="J2304">
        <v>1317.2990723</v>
      </c>
      <c r="K2304">
        <v>2400</v>
      </c>
      <c r="L2304">
        <v>0</v>
      </c>
      <c r="M2304">
        <v>0</v>
      </c>
      <c r="N2304">
        <v>2400</v>
      </c>
    </row>
    <row r="2305" spans="1:14" x14ac:dyDescent="0.25">
      <c r="A2305">
        <v>1580.313189</v>
      </c>
      <c r="B2305" s="1">
        <f>DATE(2014,8,28) + TIME(7,30,59)</f>
        <v>41879.31318287037</v>
      </c>
      <c r="C2305">
        <v>80</v>
      </c>
      <c r="D2305">
        <v>79.970802307</v>
      </c>
      <c r="E2305">
        <v>50</v>
      </c>
      <c r="F2305">
        <v>47.971591949</v>
      </c>
      <c r="G2305">
        <v>1343.6157227000001</v>
      </c>
      <c r="H2305">
        <v>1340.2733154</v>
      </c>
      <c r="I2305">
        <v>1321.6350098</v>
      </c>
      <c r="J2305">
        <v>1317.2618408000001</v>
      </c>
      <c r="K2305">
        <v>2400</v>
      </c>
      <c r="L2305">
        <v>0</v>
      </c>
      <c r="M2305">
        <v>0</v>
      </c>
      <c r="N2305">
        <v>2400</v>
      </c>
    </row>
    <row r="2306" spans="1:14" x14ac:dyDescent="0.25">
      <c r="A2306">
        <v>1582.5878230000001</v>
      </c>
      <c r="B2306" s="1">
        <f>DATE(2014,8,30) + TIME(14,6,27)</f>
        <v>41881.587812500002</v>
      </c>
      <c r="C2306">
        <v>80</v>
      </c>
      <c r="D2306">
        <v>79.970787048000005</v>
      </c>
      <c r="E2306">
        <v>50</v>
      </c>
      <c r="F2306">
        <v>48.104740143000001</v>
      </c>
      <c r="G2306">
        <v>1343.6019286999999</v>
      </c>
      <c r="H2306">
        <v>1340.2647704999999</v>
      </c>
      <c r="I2306">
        <v>1321.6137695</v>
      </c>
      <c r="J2306">
        <v>1317.2247314000001</v>
      </c>
      <c r="K2306">
        <v>2400</v>
      </c>
      <c r="L2306">
        <v>0</v>
      </c>
      <c r="M2306">
        <v>0</v>
      </c>
      <c r="N2306">
        <v>2400</v>
      </c>
    </row>
    <row r="2307" spans="1:14" x14ac:dyDescent="0.25">
      <c r="A2307">
        <v>1584</v>
      </c>
      <c r="B2307" s="1">
        <f>DATE(2014,9,1) + TIME(0,0,0)</f>
        <v>41883</v>
      </c>
      <c r="C2307">
        <v>80</v>
      </c>
      <c r="D2307">
        <v>79.970771790000001</v>
      </c>
      <c r="E2307">
        <v>50</v>
      </c>
      <c r="F2307">
        <v>48.235954284999998</v>
      </c>
      <c r="G2307">
        <v>1343.5882568</v>
      </c>
      <c r="H2307">
        <v>1340.2562256000001</v>
      </c>
      <c r="I2307">
        <v>1321.5949707</v>
      </c>
      <c r="J2307">
        <v>1317.1905518000001</v>
      </c>
      <c r="K2307">
        <v>2400</v>
      </c>
      <c r="L2307">
        <v>0</v>
      </c>
      <c r="M2307">
        <v>0</v>
      </c>
      <c r="N2307">
        <v>2400</v>
      </c>
    </row>
    <row r="2308" spans="1:14" x14ac:dyDescent="0.25">
      <c r="A2308">
        <v>1586.2944460000001</v>
      </c>
      <c r="B2308" s="1">
        <f>DATE(2014,9,3) + TIME(7,4,0)</f>
        <v>41885.294444444444</v>
      </c>
      <c r="C2308">
        <v>80</v>
      </c>
      <c r="D2308">
        <v>79.970771790000001</v>
      </c>
      <c r="E2308">
        <v>50</v>
      </c>
      <c r="F2308">
        <v>48.370292663999997</v>
      </c>
      <c r="G2308">
        <v>1343.5799560999999</v>
      </c>
      <c r="H2308">
        <v>1340.2509766000001</v>
      </c>
      <c r="I2308">
        <v>1321.5788574000001</v>
      </c>
      <c r="J2308">
        <v>1317.1647949000001</v>
      </c>
      <c r="K2308">
        <v>2400</v>
      </c>
      <c r="L2308">
        <v>0</v>
      </c>
      <c r="M2308">
        <v>0</v>
      </c>
      <c r="N2308">
        <v>2400</v>
      </c>
    </row>
    <row r="2309" spans="1:14" x14ac:dyDescent="0.25">
      <c r="A2309">
        <v>1588.6652449999999</v>
      </c>
      <c r="B2309" s="1">
        <f>DATE(2014,9,5) + TIME(15,57,57)</f>
        <v>41887.665243055555</v>
      </c>
      <c r="C2309">
        <v>80</v>
      </c>
      <c r="D2309">
        <v>79.970764160000002</v>
      </c>
      <c r="E2309">
        <v>50</v>
      </c>
      <c r="F2309">
        <v>48.546192169000001</v>
      </c>
      <c r="G2309">
        <v>1343.5665283000001</v>
      </c>
      <c r="H2309">
        <v>1340.2424315999999</v>
      </c>
      <c r="I2309">
        <v>1321.5609131000001</v>
      </c>
      <c r="J2309">
        <v>1317.1325684000001</v>
      </c>
      <c r="K2309">
        <v>2400</v>
      </c>
      <c r="L2309">
        <v>0</v>
      </c>
      <c r="M2309">
        <v>0</v>
      </c>
      <c r="N2309">
        <v>2400</v>
      </c>
    </row>
    <row r="2310" spans="1:14" x14ac:dyDescent="0.25">
      <c r="A2310">
        <v>1591.057258</v>
      </c>
      <c r="B2310" s="1">
        <f>DATE(2014,9,8) + TIME(1,22,27)</f>
        <v>41890.057256944441</v>
      </c>
      <c r="C2310">
        <v>80</v>
      </c>
      <c r="D2310">
        <v>79.970748900999993</v>
      </c>
      <c r="E2310">
        <v>50</v>
      </c>
      <c r="F2310">
        <v>48.751075745000001</v>
      </c>
      <c r="G2310">
        <v>1343.5528564000001</v>
      </c>
      <c r="H2310">
        <v>1340.2337646000001</v>
      </c>
      <c r="I2310">
        <v>1321.5426024999999</v>
      </c>
      <c r="J2310">
        <v>1317.1000977000001</v>
      </c>
      <c r="K2310">
        <v>2400</v>
      </c>
      <c r="L2310">
        <v>0</v>
      </c>
      <c r="M2310">
        <v>0</v>
      </c>
      <c r="N2310">
        <v>2400</v>
      </c>
    </row>
    <row r="2311" spans="1:14" x14ac:dyDescent="0.25">
      <c r="A2311">
        <v>1593.473743</v>
      </c>
      <c r="B2311" s="1">
        <f>DATE(2014,9,10) + TIME(11,22,11)</f>
        <v>41892.473738425928</v>
      </c>
      <c r="C2311">
        <v>80</v>
      </c>
      <c r="D2311">
        <v>79.970741271999998</v>
      </c>
      <c r="E2311">
        <v>50</v>
      </c>
      <c r="F2311">
        <v>48.980232239000003</v>
      </c>
      <c r="G2311">
        <v>1343.5391846</v>
      </c>
      <c r="H2311">
        <v>1340.2250977000001</v>
      </c>
      <c r="I2311">
        <v>1321.5249022999999</v>
      </c>
      <c r="J2311">
        <v>1317.0688477000001</v>
      </c>
      <c r="K2311">
        <v>2400</v>
      </c>
      <c r="L2311">
        <v>0</v>
      </c>
      <c r="M2311">
        <v>0</v>
      </c>
      <c r="N2311">
        <v>2400</v>
      </c>
    </row>
    <row r="2312" spans="1:14" x14ac:dyDescent="0.25">
      <c r="A2312">
        <v>1595.9290120000001</v>
      </c>
      <c r="B2312" s="1">
        <f>DATE(2014,9,12) + TIME(22,17,46)</f>
        <v>41894.92900462963</v>
      </c>
      <c r="C2312">
        <v>80</v>
      </c>
      <c r="D2312">
        <v>79.970733643000003</v>
      </c>
      <c r="E2312">
        <v>50</v>
      </c>
      <c r="F2312">
        <v>49.233455657999997</v>
      </c>
      <c r="G2312">
        <v>1343.5257568</v>
      </c>
      <c r="H2312">
        <v>1340.2164307</v>
      </c>
      <c r="I2312">
        <v>1321.5080565999999</v>
      </c>
      <c r="J2312">
        <v>1317.0393065999999</v>
      </c>
      <c r="K2312">
        <v>2400</v>
      </c>
      <c r="L2312">
        <v>0</v>
      </c>
      <c r="M2312">
        <v>0</v>
      </c>
      <c r="N2312">
        <v>2400</v>
      </c>
    </row>
    <row r="2313" spans="1:14" x14ac:dyDescent="0.25">
      <c r="A2313">
        <v>1598.4379590000001</v>
      </c>
      <c r="B2313" s="1">
        <f>DATE(2014,9,15) + TIME(10,30,39)</f>
        <v>41897.437951388885</v>
      </c>
      <c r="C2313">
        <v>80</v>
      </c>
      <c r="D2313">
        <v>79.970733643000003</v>
      </c>
      <c r="E2313">
        <v>50</v>
      </c>
      <c r="F2313">
        <v>49.512218474999997</v>
      </c>
      <c r="G2313">
        <v>1343.512207</v>
      </c>
      <c r="H2313">
        <v>1340.2076416</v>
      </c>
      <c r="I2313">
        <v>1321.4921875</v>
      </c>
      <c r="J2313">
        <v>1317.0113524999999</v>
      </c>
      <c r="K2313">
        <v>2400</v>
      </c>
      <c r="L2313">
        <v>0</v>
      </c>
      <c r="M2313">
        <v>0</v>
      </c>
      <c r="N2313">
        <v>2400</v>
      </c>
    </row>
    <row r="2314" spans="1:14" x14ac:dyDescent="0.25">
      <c r="A2314">
        <v>1601.050765</v>
      </c>
      <c r="B2314" s="1">
        <f>DATE(2014,9,18) + TIME(1,13,6)</f>
        <v>41900.050763888888</v>
      </c>
      <c r="C2314">
        <v>80</v>
      </c>
      <c r="D2314">
        <v>79.970726013000004</v>
      </c>
      <c r="E2314">
        <v>50</v>
      </c>
      <c r="F2314">
        <v>49.819290160999998</v>
      </c>
      <c r="G2314">
        <v>1343.4986572</v>
      </c>
      <c r="H2314">
        <v>1340.1988524999999</v>
      </c>
      <c r="I2314">
        <v>1321.4770507999999</v>
      </c>
      <c r="J2314">
        <v>1316.9851074000001</v>
      </c>
      <c r="K2314">
        <v>2400</v>
      </c>
      <c r="L2314">
        <v>0</v>
      </c>
      <c r="M2314">
        <v>0</v>
      </c>
      <c r="N2314">
        <v>2400</v>
      </c>
    </row>
    <row r="2315" spans="1:14" x14ac:dyDescent="0.25">
      <c r="A2315">
        <v>1603.7949169999999</v>
      </c>
      <c r="B2315" s="1">
        <f>DATE(2014,9,20) + TIME(19,4,40)</f>
        <v>41902.794907407406</v>
      </c>
      <c r="C2315">
        <v>80</v>
      </c>
      <c r="D2315">
        <v>79.970718383999994</v>
      </c>
      <c r="E2315">
        <v>50</v>
      </c>
      <c r="F2315">
        <v>50.159820557000003</v>
      </c>
      <c r="G2315">
        <v>1343.4848632999999</v>
      </c>
      <c r="H2315">
        <v>1340.1898193</v>
      </c>
      <c r="I2315">
        <v>1321.4627685999999</v>
      </c>
      <c r="J2315">
        <v>1316.9603271000001</v>
      </c>
      <c r="K2315">
        <v>2400</v>
      </c>
      <c r="L2315">
        <v>0</v>
      </c>
      <c r="M2315">
        <v>0</v>
      </c>
      <c r="N2315">
        <v>2400</v>
      </c>
    </row>
    <row r="2316" spans="1:14" x14ac:dyDescent="0.25">
      <c r="A2316">
        <v>1606.5723210000001</v>
      </c>
      <c r="B2316" s="1">
        <f>DATE(2014,9,23) + TIME(13,44,8)</f>
        <v>41905.572314814817</v>
      </c>
      <c r="C2316">
        <v>80</v>
      </c>
      <c r="D2316">
        <v>79.970718383999994</v>
      </c>
      <c r="E2316">
        <v>50</v>
      </c>
      <c r="F2316">
        <v>50.534702301000003</v>
      </c>
      <c r="G2316">
        <v>1343.4704589999999</v>
      </c>
      <c r="H2316">
        <v>1340.1804199000001</v>
      </c>
      <c r="I2316">
        <v>1321.4493408000001</v>
      </c>
      <c r="J2316">
        <v>1316.9370117000001</v>
      </c>
      <c r="K2316">
        <v>2400</v>
      </c>
      <c r="L2316">
        <v>0</v>
      </c>
      <c r="M2316">
        <v>0</v>
      </c>
      <c r="N2316">
        <v>2400</v>
      </c>
    </row>
    <row r="2317" spans="1:14" x14ac:dyDescent="0.25">
      <c r="A2317">
        <v>1609.382801</v>
      </c>
      <c r="B2317" s="1">
        <f>DATE(2014,9,26) + TIME(9,11,14)</f>
        <v>41908.382800925923</v>
      </c>
      <c r="C2317">
        <v>80</v>
      </c>
      <c r="D2317">
        <v>79.970710753999995</v>
      </c>
      <c r="E2317">
        <v>50</v>
      </c>
      <c r="F2317">
        <v>50.934951781999999</v>
      </c>
      <c r="G2317">
        <v>1343.4562988</v>
      </c>
      <c r="H2317">
        <v>1340.1710204999999</v>
      </c>
      <c r="I2317">
        <v>1321.4368896000001</v>
      </c>
      <c r="J2317">
        <v>1316.9158935999999</v>
      </c>
      <c r="K2317">
        <v>2400</v>
      </c>
      <c r="L2317">
        <v>0</v>
      </c>
      <c r="M2317">
        <v>0</v>
      </c>
      <c r="N2317">
        <v>2400</v>
      </c>
    </row>
    <row r="2318" spans="1:14" x14ac:dyDescent="0.25">
      <c r="A2318">
        <v>1612.243849</v>
      </c>
      <c r="B2318" s="1">
        <f>DATE(2014,9,29) + TIME(5,51,8)</f>
        <v>41911.243842592594</v>
      </c>
      <c r="C2318">
        <v>80</v>
      </c>
      <c r="D2318">
        <v>79.970710753999995</v>
      </c>
      <c r="E2318">
        <v>50</v>
      </c>
      <c r="F2318">
        <v>51.356586456000002</v>
      </c>
      <c r="G2318">
        <v>1343.4421387</v>
      </c>
      <c r="H2318">
        <v>1340.1617432</v>
      </c>
      <c r="I2318">
        <v>1321.4256591999999</v>
      </c>
      <c r="J2318">
        <v>1316.8972168</v>
      </c>
      <c r="K2318">
        <v>2400</v>
      </c>
      <c r="L2318">
        <v>0</v>
      </c>
      <c r="M2318">
        <v>0</v>
      </c>
      <c r="N2318">
        <v>2400</v>
      </c>
    </row>
    <row r="2319" spans="1:14" x14ac:dyDescent="0.25">
      <c r="A2319">
        <v>1614</v>
      </c>
      <c r="B2319" s="1">
        <f>DATE(2014,10,1) + TIME(0,0,0)</f>
        <v>41913</v>
      </c>
      <c r="C2319">
        <v>80</v>
      </c>
      <c r="D2319">
        <v>79.970695496000005</v>
      </c>
      <c r="E2319">
        <v>50</v>
      </c>
      <c r="F2319">
        <v>51.748451232999997</v>
      </c>
      <c r="G2319">
        <v>1343.4281006000001</v>
      </c>
      <c r="H2319">
        <v>1340.1523437999999</v>
      </c>
      <c r="I2319">
        <v>1321.4183350000001</v>
      </c>
      <c r="J2319">
        <v>1316.8822021000001</v>
      </c>
      <c r="K2319">
        <v>2400</v>
      </c>
      <c r="L2319">
        <v>0</v>
      </c>
      <c r="M2319">
        <v>0</v>
      </c>
      <c r="N2319">
        <v>2400</v>
      </c>
    </row>
    <row r="2320" spans="1:14" x14ac:dyDescent="0.25">
      <c r="A2320">
        <v>1616.8985789999999</v>
      </c>
      <c r="B2320" s="1">
        <f>DATE(2014,10,3) + TIME(21,33,57)</f>
        <v>41915.898576388892</v>
      </c>
      <c r="C2320">
        <v>80</v>
      </c>
      <c r="D2320">
        <v>79.970710753999995</v>
      </c>
      <c r="E2320">
        <v>50</v>
      </c>
      <c r="F2320">
        <v>52.096382140999999</v>
      </c>
      <c r="G2320">
        <v>1343.4195557</v>
      </c>
      <c r="H2320">
        <v>1340.1467285000001</v>
      </c>
      <c r="I2320">
        <v>1321.4091797000001</v>
      </c>
      <c r="J2320">
        <v>1316.8725586</v>
      </c>
      <c r="K2320">
        <v>2400</v>
      </c>
      <c r="L2320">
        <v>0</v>
      </c>
      <c r="M2320">
        <v>0</v>
      </c>
      <c r="N2320">
        <v>2400</v>
      </c>
    </row>
    <row r="2321" spans="1:14" x14ac:dyDescent="0.25">
      <c r="A2321">
        <v>1619.864429</v>
      </c>
      <c r="B2321" s="1">
        <f>DATE(2014,10,6) + TIME(20,44,46)</f>
        <v>41918.864421296297</v>
      </c>
      <c r="C2321">
        <v>80</v>
      </c>
      <c r="D2321">
        <v>79.970710753999995</v>
      </c>
      <c r="E2321">
        <v>50</v>
      </c>
      <c r="F2321">
        <v>52.534828185999999</v>
      </c>
      <c r="G2321">
        <v>1343.4057617000001</v>
      </c>
      <c r="H2321">
        <v>1340.1374512</v>
      </c>
      <c r="I2321">
        <v>1321.4018555</v>
      </c>
      <c r="J2321">
        <v>1316.8596190999999</v>
      </c>
      <c r="K2321">
        <v>2400</v>
      </c>
      <c r="L2321">
        <v>0</v>
      </c>
      <c r="M2321">
        <v>0</v>
      </c>
      <c r="N2321">
        <v>2400</v>
      </c>
    </row>
    <row r="2322" spans="1:14" x14ac:dyDescent="0.25">
      <c r="A2322">
        <v>1622.896397</v>
      </c>
      <c r="B2322" s="1">
        <f>DATE(2014,10,9) + TIME(21,30,48)</f>
        <v>41921.89638888889</v>
      </c>
      <c r="C2322">
        <v>80</v>
      </c>
      <c r="D2322">
        <v>79.970710753999995</v>
      </c>
      <c r="E2322">
        <v>50</v>
      </c>
      <c r="F2322">
        <v>53.000312805</v>
      </c>
      <c r="G2322">
        <v>1343.3919678</v>
      </c>
      <c r="H2322">
        <v>1340.1281738</v>
      </c>
      <c r="I2322">
        <v>1321.3950195</v>
      </c>
      <c r="J2322">
        <v>1316.8488769999999</v>
      </c>
      <c r="K2322">
        <v>2400</v>
      </c>
      <c r="L2322">
        <v>0</v>
      </c>
      <c r="M2322">
        <v>0</v>
      </c>
      <c r="N2322">
        <v>2400</v>
      </c>
    </row>
    <row r="2323" spans="1:14" x14ac:dyDescent="0.25">
      <c r="A2323">
        <v>1626.054083</v>
      </c>
      <c r="B2323" s="1">
        <f>DATE(2014,10,13) + TIME(1,17,52)</f>
        <v>41925.054074074076</v>
      </c>
      <c r="C2323">
        <v>80</v>
      </c>
      <c r="D2323">
        <v>79.970710753999995</v>
      </c>
      <c r="E2323">
        <v>50</v>
      </c>
      <c r="F2323">
        <v>53.478401183999999</v>
      </c>
      <c r="G2323">
        <v>1343.3780518000001</v>
      </c>
      <c r="H2323">
        <v>1340.1187743999999</v>
      </c>
      <c r="I2323">
        <v>1321.3889160000001</v>
      </c>
      <c r="J2323">
        <v>1316.8399658000001</v>
      </c>
      <c r="K2323">
        <v>2400</v>
      </c>
      <c r="L2323">
        <v>0</v>
      </c>
      <c r="M2323">
        <v>0</v>
      </c>
      <c r="N2323">
        <v>2400</v>
      </c>
    </row>
    <row r="2324" spans="1:14" x14ac:dyDescent="0.25">
      <c r="A2324">
        <v>1629.279681</v>
      </c>
      <c r="B2324" s="1">
        <f>DATE(2014,10,16) + TIME(6,42,44)</f>
        <v>41928.279675925929</v>
      </c>
      <c r="C2324">
        <v>80</v>
      </c>
      <c r="D2324">
        <v>79.970718383999994</v>
      </c>
      <c r="E2324">
        <v>50</v>
      </c>
      <c r="F2324">
        <v>53.968479156000001</v>
      </c>
      <c r="G2324">
        <v>1343.3640137</v>
      </c>
      <c r="H2324">
        <v>1340.1092529</v>
      </c>
      <c r="I2324">
        <v>1321.3839111</v>
      </c>
      <c r="J2324">
        <v>1316.8327637</v>
      </c>
      <c r="K2324">
        <v>2400</v>
      </c>
      <c r="L2324">
        <v>0</v>
      </c>
      <c r="M2324">
        <v>0</v>
      </c>
      <c r="N2324">
        <v>2400</v>
      </c>
    </row>
    <row r="2325" spans="1:14" x14ac:dyDescent="0.25">
      <c r="A2325">
        <v>1632.52872</v>
      </c>
      <c r="B2325" s="1">
        <f>DATE(2014,10,19) + TIME(12,41,21)</f>
        <v>41931.528715277775</v>
      </c>
      <c r="C2325">
        <v>80</v>
      </c>
      <c r="D2325">
        <v>79.970718383999994</v>
      </c>
      <c r="E2325">
        <v>50</v>
      </c>
      <c r="F2325">
        <v>54.460708617999998</v>
      </c>
      <c r="G2325">
        <v>1343.3498535000001</v>
      </c>
      <c r="H2325">
        <v>1340.0996094</v>
      </c>
      <c r="I2325">
        <v>1321.3797606999999</v>
      </c>
      <c r="J2325">
        <v>1316.8272704999999</v>
      </c>
      <c r="K2325">
        <v>2400</v>
      </c>
      <c r="L2325">
        <v>0</v>
      </c>
      <c r="M2325">
        <v>0</v>
      </c>
      <c r="N2325">
        <v>2400</v>
      </c>
    </row>
    <row r="2326" spans="1:14" x14ac:dyDescent="0.25">
      <c r="A2326">
        <v>1635.8232290000001</v>
      </c>
      <c r="B2326" s="1">
        <f>DATE(2014,10,22) + TIME(19,45,27)</f>
        <v>41934.823229166665</v>
      </c>
      <c r="C2326">
        <v>80</v>
      </c>
      <c r="D2326">
        <v>79.970726013000004</v>
      </c>
      <c r="E2326">
        <v>50</v>
      </c>
      <c r="F2326">
        <v>54.946472168</v>
      </c>
      <c r="G2326">
        <v>1343.3359375</v>
      </c>
      <c r="H2326">
        <v>1340.0902100000001</v>
      </c>
      <c r="I2326">
        <v>1321.3767089999999</v>
      </c>
      <c r="J2326">
        <v>1316.8234863</v>
      </c>
      <c r="K2326">
        <v>2400</v>
      </c>
      <c r="L2326">
        <v>0</v>
      </c>
      <c r="M2326">
        <v>0</v>
      </c>
      <c r="N2326">
        <v>2400</v>
      </c>
    </row>
    <row r="2327" spans="1:14" x14ac:dyDescent="0.25">
      <c r="A2327">
        <v>1639.1860380000001</v>
      </c>
      <c r="B2327" s="1">
        <f>DATE(2014,10,26) + TIME(4,27,53)</f>
        <v>41938.186030092591</v>
      </c>
      <c r="C2327">
        <v>80</v>
      </c>
      <c r="D2327">
        <v>79.970733643000003</v>
      </c>
      <c r="E2327">
        <v>50</v>
      </c>
      <c r="F2327">
        <v>55.425453185999999</v>
      </c>
      <c r="G2327">
        <v>1343.3222656</v>
      </c>
      <c r="H2327">
        <v>1340.0808105000001</v>
      </c>
      <c r="I2327">
        <v>1321.3745117000001</v>
      </c>
      <c r="J2327">
        <v>1316.8211670000001</v>
      </c>
      <c r="K2327">
        <v>2400</v>
      </c>
      <c r="L2327">
        <v>0</v>
      </c>
      <c r="M2327">
        <v>0</v>
      </c>
      <c r="N2327">
        <v>2400</v>
      </c>
    </row>
    <row r="2328" spans="1:14" x14ac:dyDescent="0.25">
      <c r="A2328">
        <v>1642.640639</v>
      </c>
      <c r="B2328" s="1">
        <f>DATE(2014,10,29) + TIME(15,22,31)</f>
        <v>41941.640636574077</v>
      </c>
      <c r="C2328">
        <v>80</v>
      </c>
      <c r="D2328">
        <v>79.970741271999998</v>
      </c>
      <c r="E2328">
        <v>50</v>
      </c>
      <c r="F2328">
        <v>55.898281097000002</v>
      </c>
      <c r="G2328">
        <v>1343.3084716999999</v>
      </c>
      <c r="H2328">
        <v>1340.0714111</v>
      </c>
      <c r="I2328">
        <v>1321.3730469</v>
      </c>
      <c r="J2328">
        <v>1316.8199463000001</v>
      </c>
      <c r="K2328">
        <v>2400</v>
      </c>
      <c r="L2328">
        <v>0</v>
      </c>
      <c r="M2328">
        <v>0</v>
      </c>
      <c r="N2328">
        <v>2400</v>
      </c>
    </row>
    <row r="2329" spans="1:14" x14ac:dyDescent="0.25">
      <c r="A2329">
        <v>1645</v>
      </c>
      <c r="B2329" s="1">
        <f>DATE(2014,11,1) + TIME(0,0,0)</f>
        <v>41944</v>
      </c>
      <c r="C2329">
        <v>80</v>
      </c>
      <c r="D2329">
        <v>79.970733643000003</v>
      </c>
      <c r="E2329">
        <v>50</v>
      </c>
      <c r="F2329">
        <v>56.332630156999997</v>
      </c>
      <c r="G2329">
        <v>1343.2947998</v>
      </c>
      <c r="H2329">
        <v>1340.0620117000001</v>
      </c>
      <c r="I2329">
        <v>1321.3740233999999</v>
      </c>
      <c r="J2329">
        <v>1316.8205565999999</v>
      </c>
      <c r="K2329">
        <v>2400</v>
      </c>
      <c r="L2329">
        <v>0</v>
      </c>
      <c r="M2329">
        <v>0</v>
      </c>
      <c r="N2329">
        <v>2400</v>
      </c>
    </row>
    <row r="2330" spans="1:14" x14ac:dyDescent="0.25">
      <c r="A2330">
        <v>1645.0000010000001</v>
      </c>
      <c r="B2330" s="1">
        <f>DATE(2014,11,1) + TIME(0,0,0)</f>
        <v>41944</v>
      </c>
      <c r="C2330">
        <v>80</v>
      </c>
      <c r="D2330">
        <v>79.970634459999999</v>
      </c>
      <c r="E2330">
        <v>50</v>
      </c>
      <c r="F2330">
        <v>56.332748412999997</v>
      </c>
      <c r="G2330">
        <v>1339.3521728999999</v>
      </c>
      <c r="H2330">
        <v>1337.5212402</v>
      </c>
      <c r="I2330">
        <v>1326.8173827999999</v>
      </c>
      <c r="J2330">
        <v>1322.3482666</v>
      </c>
      <c r="K2330">
        <v>0</v>
      </c>
      <c r="L2330">
        <v>2400</v>
      </c>
      <c r="M2330">
        <v>2400</v>
      </c>
      <c r="N2330">
        <v>0</v>
      </c>
    </row>
    <row r="2331" spans="1:14" x14ac:dyDescent="0.25">
      <c r="A2331">
        <v>1645.000004</v>
      </c>
      <c r="B2331" s="1">
        <f>DATE(2014,11,1) + TIME(0,0,0)</f>
        <v>41944</v>
      </c>
      <c r="C2331">
        <v>80</v>
      </c>
      <c r="D2331">
        <v>79.970458984000004</v>
      </c>
      <c r="E2331">
        <v>50</v>
      </c>
      <c r="F2331">
        <v>56.332958220999998</v>
      </c>
      <c r="G2331">
        <v>1338.1384277</v>
      </c>
      <c r="H2331">
        <v>1336.3073730000001</v>
      </c>
      <c r="I2331">
        <v>1328.440918</v>
      </c>
      <c r="J2331">
        <v>1324.1591797000001</v>
      </c>
      <c r="K2331">
        <v>0</v>
      </c>
      <c r="L2331">
        <v>2400</v>
      </c>
      <c r="M2331">
        <v>2400</v>
      </c>
      <c r="N2331">
        <v>0</v>
      </c>
    </row>
    <row r="2332" spans="1:14" x14ac:dyDescent="0.25">
      <c r="A2332">
        <v>1645.0000130000001</v>
      </c>
      <c r="B2332" s="1">
        <f>DATE(2014,11,1) + TIME(0,0,1)</f>
        <v>41944.000011574077</v>
      </c>
      <c r="C2332">
        <v>80</v>
      </c>
      <c r="D2332">
        <v>79.970245360999996</v>
      </c>
      <c r="E2332">
        <v>50</v>
      </c>
      <c r="F2332">
        <v>56.333187103</v>
      </c>
      <c r="G2332">
        <v>1336.6524658000001</v>
      </c>
      <c r="H2332">
        <v>1334.8195800999999</v>
      </c>
      <c r="I2332">
        <v>1330.8293457</v>
      </c>
      <c r="J2332">
        <v>1326.5915527</v>
      </c>
      <c r="K2332">
        <v>0</v>
      </c>
      <c r="L2332">
        <v>2400</v>
      </c>
      <c r="M2332">
        <v>2400</v>
      </c>
      <c r="N2332">
        <v>0</v>
      </c>
    </row>
    <row r="2333" spans="1:14" x14ac:dyDescent="0.25">
      <c r="A2333">
        <v>1645.0000399999999</v>
      </c>
      <c r="B2333" s="1">
        <f>DATE(2014,11,1) + TIME(0,0,3)</f>
        <v>41944.000034722223</v>
      </c>
      <c r="C2333">
        <v>80</v>
      </c>
      <c r="D2333">
        <v>79.970031738000003</v>
      </c>
      <c r="E2333">
        <v>50</v>
      </c>
      <c r="F2333">
        <v>56.333274840999998</v>
      </c>
      <c r="G2333">
        <v>1335.1468506000001</v>
      </c>
      <c r="H2333">
        <v>1333.3020019999999</v>
      </c>
      <c r="I2333">
        <v>1333.5078125</v>
      </c>
      <c r="J2333">
        <v>1329.2193603999999</v>
      </c>
      <c r="K2333">
        <v>0</v>
      </c>
      <c r="L2333">
        <v>2400</v>
      </c>
      <c r="M2333">
        <v>2400</v>
      </c>
      <c r="N2333">
        <v>0</v>
      </c>
    </row>
    <row r="2334" spans="1:14" x14ac:dyDescent="0.25">
      <c r="A2334">
        <v>1645.000121</v>
      </c>
      <c r="B2334" s="1">
        <f>DATE(2014,11,1) + TIME(0,0,10)</f>
        <v>41944.000115740739</v>
      </c>
      <c r="C2334">
        <v>80</v>
      </c>
      <c r="D2334">
        <v>79.969802856000001</v>
      </c>
      <c r="E2334">
        <v>50</v>
      </c>
      <c r="F2334">
        <v>56.332839966000002</v>
      </c>
      <c r="G2334">
        <v>1333.6326904</v>
      </c>
      <c r="H2334">
        <v>1331.7479248</v>
      </c>
      <c r="I2334">
        <v>1336.2014160000001</v>
      </c>
      <c r="J2334">
        <v>1331.8565673999999</v>
      </c>
      <c r="K2334">
        <v>0</v>
      </c>
      <c r="L2334">
        <v>2400</v>
      </c>
      <c r="M2334">
        <v>2400</v>
      </c>
      <c r="N2334">
        <v>0</v>
      </c>
    </row>
    <row r="2335" spans="1:14" x14ac:dyDescent="0.25">
      <c r="A2335">
        <v>1645.000364</v>
      </c>
      <c r="B2335" s="1">
        <f>DATE(2014,11,1) + TIME(0,0,31)</f>
        <v>41944.000358796293</v>
      </c>
      <c r="C2335">
        <v>80</v>
      </c>
      <c r="D2335">
        <v>79.969551085999996</v>
      </c>
      <c r="E2335">
        <v>50</v>
      </c>
      <c r="F2335">
        <v>56.330814361999998</v>
      </c>
      <c r="G2335">
        <v>1332.0310059000001</v>
      </c>
      <c r="H2335">
        <v>1330.0645752</v>
      </c>
      <c r="I2335">
        <v>1338.8948975000001</v>
      </c>
      <c r="J2335">
        <v>1334.4815673999999</v>
      </c>
      <c r="K2335">
        <v>0</v>
      </c>
      <c r="L2335">
        <v>2400</v>
      </c>
      <c r="M2335">
        <v>2400</v>
      </c>
      <c r="N2335">
        <v>0</v>
      </c>
    </row>
    <row r="2336" spans="1:14" x14ac:dyDescent="0.25">
      <c r="A2336">
        <v>1645.0010930000001</v>
      </c>
      <c r="B2336" s="1">
        <f>DATE(2014,11,1) + TIME(0,1,34)</f>
        <v>41944.001087962963</v>
      </c>
      <c r="C2336">
        <v>80</v>
      </c>
      <c r="D2336">
        <v>79.969215392999999</v>
      </c>
      <c r="E2336">
        <v>50</v>
      </c>
      <c r="F2336">
        <v>56.323905945</v>
      </c>
      <c r="G2336">
        <v>1330.3413086</v>
      </c>
      <c r="H2336">
        <v>1328.2711182</v>
      </c>
      <c r="I2336">
        <v>1341.5145264</v>
      </c>
      <c r="J2336">
        <v>1337.0085449000001</v>
      </c>
      <c r="K2336">
        <v>0</v>
      </c>
      <c r="L2336">
        <v>2400</v>
      </c>
      <c r="M2336">
        <v>2400</v>
      </c>
      <c r="N2336">
        <v>0</v>
      </c>
    </row>
    <row r="2337" spans="1:14" x14ac:dyDescent="0.25">
      <c r="A2337">
        <v>1645.0032799999999</v>
      </c>
      <c r="B2337" s="1">
        <f>DATE(2014,11,1) + TIME(0,4,43)</f>
        <v>41944.003275462965</v>
      </c>
      <c r="C2337">
        <v>80</v>
      </c>
      <c r="D2337">
        <v>79.968704224000007</v>
      </c>
      <c r="E2337">
        <v>50</v>
      </c>
      <c r="F2337">
        <v>56.302127837999997</v>
      </c>
      <c r="G2337">
        <v>1328.8413086</v>
      </c>
      <c r="H2337">
        <v>1326.6948242000001</v>
      </c>
      <c r="I2337">
        <v>1343.7056885</v>
      </c>
      <c r="J2337">
        <v>1339.1096190999999</v>
      </c>
      <c r="K2337">
        <v>0</v>
      </c>
      <c r="L2337">
        <v>2400</v>
      </c>
      <c r="M2337">
        <v>2400</v>
      </c>
      <c r="N2337">
        <v>0</v>
      </c>
    </row>
    <row r="2338" spans="1:14" x14ac:dyDescent="0.25">
      <c r="A2338">
        <v>1645.0098410000001</v>
      </c>
      <c r="B2338" s="1">
        <f>DATE(2014,11,1) + TIME(0,14,10)</f>
        <v>41944.009837962964</v>
      </c>
      <c r="C2338">
        <v>80</v>
      </c>
      <c r="D2338">
        <v>79.967689514</v>
      </c>
      <c r="E2338">
        <v>50</v>
      </c>
      <c r="F2338">
        <v>56.236186981000003</v>
      </c>
      <c r="G2338">
        <v>1327.9410399999999</v>
      </c>
      <c r="H2338">
        <v>1325.7635498</v>
      </c>
      <c r="I2338">
        <v>1345.0035399999999</v>
      </c>
      <c r="J2338">
        <v>1340.3579102000001</v>
      </c>
      <c r="K2338">
        <v>0</v>
      </c>
      <c r="L2338">
        <v>2400</v>
      </c>
      <c r="M2338">
        <v>2400</v>
      </c>
      <c r="N2338">
        <v>0</v>
      </c>
    </row>
    <row r="2339" spans="1:14" x14ac:dyDescent="0.25">
      <c r="A2339">
        <v>1645.029524</v>
      </c>
      <c r="B2339" s="1">
        <f>DATE(2014,11,1) + TIME(0,42,30)</f>
        <v>41944.029513888891</v>
      </c>
      <c r="C2339">
        <v>80</v>
      </c>
      <c r="D2339">
        <v>79.965019225999995</v>
      </c>
      <c r="E2339">
        <v>50</v>
      </c>
      <c r="F2339">
        <v>56.044143677000001</v>
      </c>
      <c r="G2339">
        <v>1327.6676024999999</v>
      </c>
      <c r="H2339">
        <v>1325.4832764</v>
      </c>
      <c r="I2339">
        <v>1345.4040527</v>
      </c>
      <c r="J2339">
        <v>1340.7469481999999</v>
      </c>
      <c r="K2339">
        <v>0</v>
      </c>
      <c r="L2339">
        <v>2400</v>
      </c>
      <c r="M2339">
        <v>2400</v>
      </c>
      <c r="N2339">
        <v>0</v>
      </c>
    </row>
    <row r="2340" spans="1:14" x14ac:dyDescent="0.25">
      <c r="A2340">
        <v>1645.0764369999999</v>
      </c>
      <c r="B2340" s="1">
        <f>DATE(2014,11,1) + TIME(1,50,4)</f>
        <v>41944.076435185183</v>
      </c>
      <c r="C2340">
        <v>80</v>
      </c>
      <c r="D2340">
        <v>79.958953856999997</v>
      </c>
      <c r="E2340">
        <v>50</v>
      </c>
      <c r="F2340">
        <v>55.621578217</v>
      </c>
      <c r="G2340">
        <v>1327.6359863</v>
      </c>
      <c r="H2340">
        <v>1325.4509277</v>
      </c>
      <c r="I2340">
        <v>1345.4171143000001</v>
      </c>
      <c r="J2340">
        <v>1340.7653809000001</v>
      </c>
      <c r="K2340">
        <v>0</v>
      </c>
      <c r="L2340">
        <v>2400</v>
      </c>
      <c r="M2340">
        <v>2400</v>
      </c>
      <c r="N2340">
        <v>0</v>
      </c>
    </row>
    <row r="2341" spans="1:14" x14ac:dyDescent="0.25">
      <c r="A2341">
        <v>1645.124685</v>
      </c>
      <c r="B2341" s="1">
        <f>DATE(2014,11,1) + TIME(2,59,32)</f>
        <v>41944.124675925923</v>
      </c>
      <c r="C2341">
        <v>80</v>
      </c>
      <c r="D2341">
        <v>79.952819824000002</v>
      </c>
      <c r="E2341">
        <v>50</v>
      </c>
      <c r="F2341">
        <v>55.221050261999999</v>
      </c>
      <c r="G2341">
        <v>1327.6336670000001</v>
      </c>
      <c r="H2341">
        <v>1325.4482422000001</v>
      </c>
      <c r="I2341">
        <v>1345.3819579999999</v>
      </c>
      <c r="J2341">
        <v>1340.7363281</v>
      </c>
      <c r="K2341">
        <v>0</v>
      </c>
      <c r="L2341">
        <v>2400</v>
      </c>
      <c r="M2341">
        <v>2400</v>
      </c>
      <c r="N2341">
        <v>0</v>
      </c>
    </row>
    <row r="2342" spans="1:14" x14ac:dyDescent="0.25">
      <c r="A2342">
        <v>1645.1744510000001</v>
      </c>
      <c r="B2342" s="1">
        <f>DATE(2014,11,1) + TIME(4,11,12)</f>
        <v>41944.174444444441</v>
      </c>
      <c r="C2342">
        <v>80</v>
      </c>
      <c r="D2342">
        <v>79.946578978999995</v>
      </c>
      <c r="E2342">
        <v>50</v>
      </c>
      <c r="F2342">
        <v>54.840820311999998</v>
      </c>
      <c r="G2342">
        <v>1327.6325684000001</v>
      </c>
      <c r="H2342">
        <v>1325.4468993999999</v>
      </c>
      <c r="I2342">
        <v>1345.3448486</v>
      </c>
      <c r="J2342">
        <v>1340.7053223</v>
      </c>
      <c r="K2342">
        <v>0</v>
      </c>
      <c r="L2342">
        <v>2400</v>
      </c>
      <c r="M2342">
        <v>2400</v>
      </c>
      <c r="N2342">
        <v>0</v>
      </c>
    </row>
    <row r="2343" spans="1:14" x14ac:dyDescent="0.25">
      <c r="A2343">
        <v>1645.2258549999999</v>
      </c>
      <c r="B2343" s="1">
        <f>DATE(2014,11,1) + TIME(5,25,13)</f>
        <v>41944.225844907407</v>
      </c>
      <c r="C2343">
        <v>80</v>
      </c>
      <c r="D2343">
        <v>79.940223693999997</v>
      </c>
      <c r="E2343">
        <v>50</v>
      </c>
      <c r="F2343">
        <v>54.479915619000003</v>
      </c>
      <c r="G2343">
        <v>1327.6314697</v>
      </c>
      <c r="H2343">
        <v>1325.4455565999999</v>
      </c>
      <c r="I2343">
        <v>1345.309082</v>
      </c>
      <c r="J2343">
        <v>1340.6756591999999</v>
      </c>
      <c r="K2343">
        <v>0</v>
      </c>
      <c r="L2343">
        <v>2400</v>
      </c>
      <c r="M2343">
        <v>2400</v>
      </c>
      <c r="N2343">
        <v>0</v>
      </c>
    </row>
    <row r="2344" spans="1:14" x14ac:dyDescent="0.25">
      <c r="A2344">
        <v>1645.2790480000001</v>
      </c>
      <c r="B2344" s="1">
        <f>DATE(2014,11,1) + TIME(6,41,49)</f>
        <v>41944.279039351852</v>
      </c>
      <c r="C2344">
        <v>80</v>
      </c>
      <c r="D2344">
        <v>79.933753967000001</v>
      </c>
      <c r="E2344">
        <v>50</v>
      </c>
      <c r="F2344">
        <v>54.137336730999998</v>
      </c>
      <c r="G2344">
        <v>1327.630249</v>
      </c>
      <c r="H2344">
        <v>1325.4440918</v>
      </c>
      <c r="I2344">
        <v>1345.2745361</v>
      </c>
      <c r="J2344">
        <v>1340.6470947</v>
      </c>
      <c r="K2344">
        <v>0</v>
      </c>
      <c r="L2344">
        <v>2400</v>
      </c>
      <c r="M2344">
        <v>2400</v>
      </c>
      <c r="N2344">
        <v>0</v>
      </c>
    </row>
    <row r="2345" spans="1:14" x14ac:dyDescent="0.25">
      <c r="A2345">
        <v>1645.3342190000001</v>
      </c>
      <c r="B2345" s="1">
        <f>DATE(2014,11,1) + TIME(8,1,16)</f>
        <v>41944.33421296296</v>
      </c>
      <c r="C2345">
        <v>80</v>
      </c>
      <c r="D2345">
        <v>79.927131653000004</v>
      </c>
      <c r="E2345">
        <v>50</v>
      </c>
      <c r="F2345">
        <v>53.812057494999998</v>
      </c>
      <c r="G2345">
        <v>1327.6289062000001</v>
      </c>
      <c r="H2345">
        <v>1325.4425048999999</v>
      </c>
      <c r="I2345">
        <v>1345.2414550999999</v>
      </c>
      <c r="J2345">
        <v>1340.6199951000001</v>
      </c>
      <c r="K2345">
        <v>0</v>
      </c>
      <c r="L2345">
        <v>2400</v>
      </c>
      <c r="M2345">
        <v>2400</v>
      </c>
      <c r="N2345">
        <v>0</v>
      </c>
    </row>
    <row r="2346" spans="1:14" x14ac:dyDescent="0.25">
      <c r="A2346">
        <v>1645.39156</v>
      </c>
      <c r="B2346" s="1">
        <f>DATE(2014,11,1) + TIME(9,23,50)</f>
        <v>41944.391550925924</v>
      </c>
      <c r="C2346">
        <v>80</v>
      </c>
      <c r="D2346">
        <v>79.920364379999995</v>
      </c>
      <c r="E2346">
        <v>50</v>
      </c>
      <c r="F2346">
        <v>53.503273010000001</v>
      </c>
      <c r="G2346">
        <v>1327.6275635</v>
      </c>
      <c r="H2346">
        <v>1325.4407959</v>
      </c>
      <c r="I2346">
        <v>1345.2095947</v>
      </c>
      <c r="J2346">
        <v>1340.5939940999999</v>
      </c>
      <c r="K2346">
        <v>0</v>
      </c>
      <c r="L2346">
        <v>2400</v>
      </c>
      <c r="M2346">
        <v>2400</v>
      </c>
      <c r="N2346">
        <v>0</v>
      </c>
    </row>
    <row r="2347" spans="1:14" x14ac:dyDescent="0.25">
      <c r="A2347">
        <v>1645.4512910000001</v>
      </c>
      <c r="B2347" s="1">
        <f>DATE(2014,11,1) + TIME(10,49,51)</f>
        <v>41944.451284722221</v>
      </c>
      <c r="C2347">
        <v>80</v>
      </c>
      <c r="D2347">
        <v>79.913414001000007</v>
      </c>
      <c r="E2347">
        <v>50</v>
      </c>
      <c r="F2347">
        <v>53.210250854000002</v>
      </c>
      <c r="G2347">
        <v>1327.6262207</v>
      </c>
      <c r="H2347">
        <v>1325.4390868999999</v>
      </c>
      <c r="I2347">
        <v>1345.1789550999999</v>
      </c>
      <c r="J2347">
        <v>1340.5690918</v>
      </c>
      <c r="K2347">
        <v>0</v>
      </c>
      <c r="L2347">
        <v>2400</v>
      </c>
      <c r="M2347">
        <v>2400</v>
      </c>
      <c r="N2347">
        <v>0</v>
      </c>
    </row>
    <row r="2348" spans="1:14" x14ac:dyDescent="0.25">
      <c r="A2348">
        <v>1645.513653</v>
      </c>
      <c r="B2348" s="1">
        <f>DATE(2014,11,1) + TIME(12,19,39)</f>
        <v>41944.513645833336</v>
      </c>
      <c r="C2348">
        <v>80</v>
      </c>
      <c r="D2348">
        <v>79.906272888000004</v>
      </c>
      <c r="E2348">
        <v>50</v>
      </c>
      <c r="F2348">
        <v>52.932353972999998</v>
      </c>
      <c r="G2348">
        <v>1327.6247559000001</v>
      </c>
      <c r="H2348">
        <v>1325.4371338000001</v>
      </c>
      <c r="I2348">
        <v>1345.1495361</v>
      </c>
      <c r="J2348">
        <v>1340.5452881000001</v>
      </c>
      <c r="K2348">
        <v>0</v>
      </c>
      <c r="L2348">
        <v>2400</v>
      </c>
      <c r="M2348">
        <v>2400</v>
      </c>
      <c r="N2348">
        <v>0</v>
      </c>
    </row>
    <row r="2349" spans="1:14" x14ac:dyDescent="0.25">
      <c r="A2349">
        <v>1645.578923</v>
      </c>
      <c r="B2349" s="1">
        <f>DATE(2014,11,1) + TIME(13,53,38)</f>
        <v>41944.578912037039</v>
      </c>
      <c r="C2349">
        <v>80</v>
      </c>
      <c r="D2349">
        <v>79.898910521999994</v>
      </c>
      <c r="E2349">
        <v>50</v>
      </c>
      <c r="F2349">
        <v>52.669013976999999</v>
      </c>
      <c r="G2349">
        <v>1327.6231689000001</v>
      </c>
      <c r="H2349">
        <v>1325.4351807</v>
      </c>
      <c r="I2349">
        <v>1345.1210937999999</v>
      </c>
      <c r="J2349">
        <v>1340.5225829999999</v>
      </c>
      <c r="K2349">
        <v>0</v>
      </c>
      <c r="L2349">
        <v>2400</v>
      </c>
      <c r="M2349">
        <v>2400</v>
      </c>
      <c r="N2349">
        <v>0</v>
      </c>
    </row>
    <row r="2350" spans="1:14" x14ac:dyDescent="0.25">
      <c r="A2350">
        <v>1645.6474350000001</v>
      </c>
      <c r="B2350" s="1">
        <f>DATE(2014,11,1) + TIME(15,32,18)</f>
        <v>41944.647430555553</v>
      </c>
      <c r="C2350">
        <v>80</v>
      </c>
      <c r="D2350">
        <v>79.891304016000007</v>
      </c>
      <c r="E2350">
        <v>50</v>
      </c>
      <c r="F2350">
        <v>52.419666290000002</v>
      </c>
      <c r="G2350">
        <v>1327.6214600000001</v>
      </c>
      <c r="H2350">
        <v>1325.4329834</v>
      </c>
      <c r="I2350">
        <v>1345.09375</v>
      </c>
      <c r="J2350">
        <v>1340.5008545000001</v>
      </c>
      <c r="K2350">
        <v>0</v>
      </c>
      <c r="L2350">
        <v>2400</v>
      </c>
      <c r="M2350">
        <v>2400</v>
      </c>
      <c r="N2350">
        <v>0</v>
      </c>
    </row>
    <row r="2351" spans="1:14" x14ac:dyDescent="0.25">
      <c r="A2351">
        <v>1645.719566</v>
      </c>
      <c r="B2351" s="1">
        <f>DATE(2014,11,1) + TIME(17,16,10)</f>
        <v>41944.719560185185</v>
      </c>
      <c r="C2351">
        <v>80</v>
      </c>
      <c r="D2351">
        <v>79.883422851999995</v>
      </c>
      <c r="E2351">
        <v>50</v>
      </c>
      <c r="F2351">
        <v>52.183841704999999</v>
      </c>
      <c r="G2351">
        <v>1327.619751</v>
      </c>
      <c r="H2351">
        <v>1325.4307861</v>
      </c>
      <c r="I2351">
        <v>1345.0673827999999</v>
      </c>
      <c r="J2351">
        <v>1340.4801024999999</v>
      </c>
      <c r="K2351">
        <v>0</v>
      </c>
      <c r="L2351">
        <v>2400</v>
      </c>
      <c r="M2351">
        <v>2400</v>
      </c>
      <c r="N2351">
        <v>0</v>
      </c>
    </row>
    <row r="2352" spans="1:14" x14ac:dyDescent="0.25">
      <c r="A2352">
        <v>1645.795756</v>
      </c>
      <c r="B2352" s="1">
        <f>DATE(2014,11,1) + TIME(19,5,53)</f>
        <v>41944.795752314814</v>
      </c>
      <c r="C2352">
        <v>80</v>
      </c>
      <c r="D2352">
        <v>79.875236510999997</v>
      </c>
      <c r="E2352">
        <v>50</v>
      </c>
      <c r="F2352">
        <v>51.961132050000003</v>
      </c>
      <c r="G2352">
        <v>1327.6177978999999</v>
      </c>
      <c r="H2352">
        <v>1325.4282227000001</v>
      </c>
      <c r="I2352">
        <v>1345.0419922000001</v>
      </c>
      <c r="J2352">
        <v>1340.4602050999999</v>
      </c>
      <c r="K2352">
        <v>0</v>
      </c>
      <c r="L2352">
        <v>2400</v>
      </c>
      <c r="M2352">
        <v>2400</v>
      </c>
      <c r="N2352">
        <v>0</v>
      </c>
    </row>
    <row r="2353" spans="1:14" x14ac:dyDescent="0.25">
      <c r="A2353">
        <v>1645.8765209999999</v>
      </c>
      <c r="B2353" s="1">
        <f>DATE(2014,11,1) + TIME(21,2,11)</f>
        <v>41944.876516203702</v>
      </c>
      <c r="C2353">
        <v>80</v>
      </c>
      <c r="D2353">
        <v>79.866699218999997</v>
      </c>
      <c r="E2353">
        <v>50</v>
      </c>
      <c r="F2353">
        <v>51.751178740999997</v>
      </c>
      <c r="G2353">
        <v>1327.6157227000001</v>
      </c>
      <c r="H2353">
        <v>1325.4256591999999</v>
      </c>
      <c r="I2353">
        <v>1345.0174560999999</v>
      </c>
      <c r="J2353">
        <v>1340.4411620999999</v>
      </c>
      <c r="K2353">
        <v>0</v>
      </c>
      <c r="L2353">
        <v>2400</v>
      </c>
      <c r="M2353">
        <v>2400</v>
      </c>
      <c r="N2353">
        <v>0</v>
      </c>
    </row>
    <row r="2354" spans="1:14" x14ac:dyDescent="0.25">
      <c r="A2354">
        <v>1645.9624799999999</v>
      </c>
      <c r="B2354" s="1">
        <f>DATE(2014,11,1) + TIME(23,5,58)</f>
        <v>41944.962476851855</v>
      </c>
      <c r="C2354">
        <v>80</v>
      </c>
      <c r="D2354">
        <v>79.857765197999996</v>
      </c>
      <c r="E2354">
        <v>50</v>
      </c>
      <c r="F2354">
        <v>51.553665160999998</v>
      </c>
      <c r="G2354">
        <v>1327.6135254000001</v>
      </c>
      <c r="H2354">
        <v>1325.4227295000001</v>
      </c>
      <c r="I2354">
        <v>1344.9936522999999</v>
      </c>
      <c r="J2354">
        <v>1340.4229736</v>
      </c>
      <c r="K2354">
        <v>0</v>
      </c>
      <c r="L2354">
        <v>2400</v>
      </c>
      <c r="M2354">
        <v>2400</v>
      </c>
      <c r="N2354">
        <v>0</v>
      </c>
    </row>
    <row r="2355" spans="1:14" x14ac:dyDescent="0.25">
      <c r="A2355">
        <v>1646.0543700000001</v>
      </c>
      <c r="B2355" s="1">
        <f>DATE(2014,11,2) + TIME(1,18,17)</f>
        <v>41945.054363425923</v>
      </c>
      <c r="C2355">
        <v>80</v>
      </c>
      <c r="D2355">
        <v>79.848381042</v>
      </c>
      <c r="E2355">
        <v>50</v>
      </c>
      <c r="F2355">
        <v>51.368324280000003</v>
      </c>
      <c r="G2355">
        <v>1327.6112060999999</v>
      </c>
      <c r="H2355">
        <v>1325.4196777</v>
      </c>
      <c r="I2355">
        <v>1344.9705810999999</v>
      </c>
      <c r="J2355">
        <v>1340.4055175999999</v>
      </c>
      <c r="K2355">
        <v>0</v>
      </c>
      <c r="L2355">
        <v>2400</v>
      </c>
      <c r="M2355">
        <v>2400</v>
      </c>
      <c r="N2355">
        <v>0</v>
      </c>
    </row>
    <row r="2356" spans="1:14" x14ac:dyDescent="0.25">
      <c r="A2356">
        <v>1646.1530929999999</v>
      </c>
      <c r="B2356" s="1">
        <f>DATE(2014,11,2) + TIME(3,40,27)</f>
        <v>41945.153090277781</v>
      </c>
      <c r="C2356">
        <v>80</v>
      </c>
      <c r="D2356">
        <v>79.838470459000007</v>
      </c>
      <c r="E2356">
        <v>50</v>
      </c>
      <c r="F2356">
        <v>51.194942474000001</v>
      </c>
      <c r="G2356">
        <v>1327.6086425999999</v>
      </c>
      <c r="H2356">
        <v>1325.4162598</v>
      </c>
      <c r="I2356">
        <v>1344.9482422000001</v>
      </c>
      <c r="J2356">
        <v>1340.3887939000001</v>
      </c>
      <c r="K2356">
        <v>0</v>
      </c>
      <c r="L2356">
        <v>2400</v>
      </c>
      <c r="M2356">
        <v>2400</v>
      </c>
      <c r="N2356">
        <v>0</v>
      </c>
    </row>
    <row r="2357" spans="1:14" x14ac:dyDescent="0.25">
      <c r="A2357">
        <v>1646.259755</v>
      </c>
      <c r="B2357" s="1">
        <f>DATE(2014,11,2) + TIME(6,14,2)</f>
        <v>41945.259745370371</v>
      </c>
      <c r="C2357">
        <v>80</v>
      </c>
      <c r="D2357">
        <v>79.827964782999999</v>
      </c>
      <c r="E2357">
        <v>50</v>
      </c>
      <c r="F2357">
        <v>51.033336638999998</v>
      </c>
      <c r="G2357">
        <v>1327.6058350000001</v>
      </c>
      <c r="H2357">
        <v>1325.4125977000001</v>
      </c>
      <c r="I2357">
        <v>1344.9263916</v>
      </c>
      <c r="J2357">
        <v>1340.3728027</v>
      </c>
      <c r="K2357">
        <v>0</v>
      </c>
      <c r="L2357">
        <v>2400</v>
      </c>
      <c r="M2357">
        <v>2400</v>
      </c>
      <c r="N2357">
        <v>0</v>
      </c>
    </row>
    <row r="2358" spans="1:14" x14ac:dyDescent="0.25">
      <c r="A2358">
        <v>1646.3757430000001</v>
      </c>
      <c r="B2358" s="1">
        <f>DATE(2014,11,2) + TIME(9,1,4)</f>
        <v>41945.375740740739</v>
      </c>
      <c r="C2358">
        <v>80</v>
      </c>
      <c r="D2358">
        <v>79.816757202000005</v>
      </c>
      <c r="E2358">
        <v>50</v>
      </c>
      <c r="F2358">
        <v>50.883369446000003</v>
      </c>
      <c r="G2358">
        <v>1327.6027832</v>
      </c>
      <c r="H2358">
        <v>1325.4084473</v>
      </c>
      <c r="I2358">
        <v>1344.9051514</v>
      </c>
      <c r="J2358">
        <v>1340.3574219</v>
      </c>
      <c r="K2358">
        <v>0</v>
      </c>
      <c r="L2358">
        <v>2400</v>
      </c>
      <c r="M2358">
        <v>2400</v>
      </c>
      <c r="N2358">
        <v>0</v>
      </c>
    </row>
    <row r="2359" spans="1:14" x14ac:dyDescent="0.25">
      <c r="A2359">
        <v>1646.502798</v>
      </c>
      <c r="B2359" s="1">
        <f>DATE(2014,11,2) + TIME(12,4,1)</f>
        <v>41945.502789351849</v>
      </c>
      <c r="C2359">
        <v>80</v>
      </c>
      <c r="D2359">
        <v>79.804725646999998</v>
      </c>
      <c r="E2359">
        <v>50</v>
      </c>
      <c r="F2359">
        <v>50.744968413999999</v>
      </c>
      <c r="G2359">
        <v>1327.5993652</v>
      </c>
      <c r="H2359">
        <v>1325.4039307</v>
      </c>
      <c r="I2359">
        <v>1344.8843993999999</v>
      </c>
      <c r="J2359">
        <v>1340.3425293</v>
      </c>
      <c r="K2359">
        <v>0</v>
      </c>
      <c r="L2359">
        <v>2400</v>
      </c>
      <c r="M2359">
        <v>2400</v>
      </c>
      <c r="N2359">
        <v>0</v>
      </c>
    </row>
    <row r="2360" spans="1:14" x14ac:dyDescent="0.25">
      <c r="A2360">
        <v>1646.643204</v>
      </c>
      <c r="B2360" s="1">
        <f>DATE(2014,11,2) + TIME(15,26,12)</f>
        <v>41945.643194444441</v>
      </c>
      <c r="C2360">
        <v>80</v>
      </c>
      <c r="D2360">
        <v>79.791702271000005</v>
      </c>
      <c r="E2360">
        <v>50</v>
      </c>
      <c r="F2360">
        <v>50.618064879999999</v>
      </c>
      <c r="G2360">
        <v>1327.5955810999999</v>
      </c>
      <c r="H2360">
        <v>1325.3988036999999</v>
      </c>
      <c r="I2360">
        <v>1344.8638916</v>
      </c>
      <c r="J2360">
        <v>1340.3283690999999</v>
      </c>
      <c r="K2360">
        <v>0</v>
      </c>
      <c r="L2360">
        <v>2400</v>
      </c>
      <c r="M2360">
        <v>2400</v>
      </c>
      <c r="N2360">
        <v>0</v>
      </c>
    </row>
    <row r="2361" spans="1:14" x14ac:dyDescent="0.25">
      <c r="A2361">
        <v>1646.7925789999999</v>
      </c>
      <c r="B2361" s="1">
        <f>DATE(2014,11,2) + TIME(19,1,18)</f>
        <v>41945.792569444442</v>
      </c>
      <c r="C2361">
        <v>80</v>
      </c>
      <c r="D2361">
        <v>79.778068542</v>
      </c>
      <c r="E2361">
        <v>50</v>
      </c>
      <c r="F2361">
        <v>50.507122039999999</v>
      </c>
      <c r="G2361">
        <v>1327.5913086</v>
      </c>
      <c r="H2361">
        <v>1325.3931885</v>
      </c>
      <c r="I2361">
        <v>1344.8447266000001</v>
      </c>
      <c r="J2361">
        <v>1340.3153076000001</v>
      </c>
      <c r="K2361">
        <v>0</v>
      </c>
      <c r="L2361">
        <v>2400</v>
      </c>
      <c r="M2361">
        <v>2400</v>
      </c>
      <c r="N2361">
        <v>0</v>
      </c>
    </row>
    <row r="2362" spans="1:14" x14ac:dyDescent="0.25">
      <c r="A2362">
        <v>1646.946647</v>
      </c>
      <c r="B2362" s="1">
        <f>DATE(2014,11,2) + TIME(22,43,10)</f>
        <v>41945.946643518517</v>
      </c>
      <c r="C2362">
        <v>80</v>
      </c>
      <c r="D2362">
        <v>79.764160156000003</v>
      </c>
      <c r="E2362">
        <v>50</v>
      </c>
      <c r="F2362">
        <v>50.413516997999999</v>
      </c>
      <c r="G2362">
        <v>1327.5866699000001</v>
      </c>
      <c r="H2362">
        <v>1325.3869629000001</v>
      </c>
      <c r="I2362">
        <v>1344.8271483999999</v>
      </c>
      <c r="J2362">
        <v>1340.3037108999999</v>
      </c>
      <c r="K2362">
        <v>0</v>
      </c>
      <c r="L2362">
        <v>2400</v>
      </c>
      <c r="M2362">
        <v>2400</v>
      </c>
      <c r="N2362">
        <v>0</v>
      </c>
    </row>
    <row r="2363" spans="1:14" x14ac:dyDescent="0.25">
      <c r="A2363">
        <v>1647.1058889999999</v>
      </c>
      <c r="B2363" s="1">
        <f>DATE(2014,11,3) + TIME(2,32,28)</f>
        <v>41946.105879629627</v>
      </c>
      <c r="C2363">
        <v>80</v>
      </c>
      <c r="D2363">
        <v>79.749938964999998</v>
      </c>
      <c r="E2363">
        <v>50</v>
      </c>
      <c r="F2363">
        <v>50.334781647</v>
      </c>
      <c r="G2363">
        <v>1327.5819091999999</v>
      </c>
      <c r="H2363">
        <v>1325.3804932</v>
      </c>
      <c r="I2363">
        <v>1344.8107910000001</v>
      </c>
      <c r="J2363">
        <v>1340.2930908000001</v>
      </c>
      <c r="K2363">
        <v>0</v>
      </c>
      <c r="L2363">
        <v>2400</v>
      </c>
      <c r="M2363">
        <v>2400</v>
      </c>
      <c r="N2363">
        <v>0</v>
      </c>
    </row>
    <row r="2364" spans="1:14" x14ac:dyDescent="0.25">
      <c r="A2364">
        <v>1647.2706209999999</v>
      </c>
      <c r="B2364" s="1">
        <f>DATE(2014,11,3) + TIME(6,29,41)</f>
        <v>41946.270613425928</v>
      </c>
      <c r="C2364">
        <v>80</v>
      </c>
      <c r="D2364">
        <v>79.735389709000003</v>
      </c>
      <c r="E2364">
        <v>50</v>
      </c>
      <c r="F2364">
        <v>50.268859863000003</v>
      </c>
      <c r="G2364">
        <v>1327.5767822</v>
      </c>
      <c r="H2364">
        <v>1325.3736572</v>
      </c>
      <c r="I2364">
        <v>1344.7952881000001</v>
      </c>
      <c r="J2364">
        <v>1340.2833252</v>
      </c>
      <c r="K2364">
        <v>0</v>
      </c>
      <c r="L2364">
        <v>2400</v>
      </c>
      <c r="M2364">
        <v>2400</v>
      </c>
      <c r="N2364">
        <v>0</v>
      </c>
    </row>
    <row r="2365" spans="1:14" x14ac:dyDescent="0.25">
      <c r="A2365">
        <v>1647.4411700000001</v>
      </c>
      <c r="B2365" s="1">
        <f>DATE(2014,11,3) + TIME(10,35,17)</f>
        <v>41946.441168981481</v>
      </c>
      <c r="C2365">
        <v>80</v>
      </c>
      <c r="D2365">
        <v>79.720474242999998</v>
      </c>
      <c r="E2365">
        <v>50</v>
      </c>
      <c r="F2365">
        <v>50.213939666999998</v>
      </c>
      <c r="G2365">
        <v>1327.5714111</v>
      </c>
      <c r="H2365">
        <v>1325.3663329999999</v>
      </c>
      <c r="I2365">
        <v>1344.7807617000001</v>
      </c>
      <c r="J2365">
        <v>1340.2744141000001</v>
      </c>
      <c r="K2365">
        <v>0</v>
      </c>
      <c r="L2365">
        <v>2400</v>
      </c>
      <c r="M2365">
        <v>2400</v>
      </c>
      <c r="N2365">
        <v>0</v>
      </c>
    </row>
    <row r="2366" spans="1:14" x14ac:dyDescent="0.25">
      <c r="A2366">
        <v>1647.6178870000001</v>
      </c>
      <c r="B2366" s="1">
        <f>DATE(2014,11,3) + TIME(14,49,45)</f>
        <v>41946.617881944447</v>
      </c>
      <c r="C2366">
        <v>80</v>
      </c>
      <c r="D2366">
        <v>79.705169678000004</v>
      </c>
      <c r="E2366">
        <v>50</v>
      </c>
      <c r="F2366">
        <v>50.168430327999999</v>
      </c>
      <c r="G2366">
        <v>1327.5657959</v>
      </c>
      <c r="H2366">
        <v>1325.3586425999999</v>
      </c>
      <c r="I2366">
        <v>1344.7669678</v>
      </c>
      <c r="J2366">
        <v>1340.2661132999999</v>
      </c>
      <c r="K2366">
        <v>0</v>
      </c>
      <c r="L2366">
        <v>2400</v>
      </c>
      <c r="M2366">
        <v>2400</v>
      </c>
      <c r="N2366">
        <v>0</v>
      </c>
    </row>
    <row r="2367" spans="1:14" x14ac:dyDescent="0.25">
      <c r="A2367">
        <v>1647.801152</v>
      </c>
      <c r="B2367" s="1">
        <f>DATE(2014,11,3) + TIME(19,13,39)</f>
        <v>41946.801145833335</v>
      </c>
      <c r="C2367">
        <v>80</v>
      </c>
      <c r="D2367">
        <v>79.689460753999995</v>
      </c>
      <c r="E2367">
        <v>50</v>
      </c>
      <c r="F2367">
        <v>50.130935669000003</v>
      </c>
      <c r="G2367">
        <v>1327.5599365</v>
      </c>
      <c r="H2367">
        <v>1325.3505858999999</v>
      </c>
      <c r="I2367">
        <v>1344.7539062000001</v>
      </c>
      <c r="J2367">
        <v>1340.2583007999999</v>
      </c>
      <c r="K2367">
        <v>0</v>
      </c>
      <c r="L2367">
        <v>2400</v>
      </c>
      <c r="M2367">
        <v>2400</v>
      </c>
      <c r="N2367">
        <v>0</v>
      </c>
    </row>
    <row r="2368" spans="1:14" x14ac:dyDescent="0.25">
      <c r="A2368">
        <v>1647.991374</v>
      </c>
      <c r="B2368" s="1">
        <f>DATE(2014,11,3) + TIME(23,47,34)</f>
        <v>41946.991365740738</v>
      </c>
      <c r="C2368">
        <v>80</v>
      </c>
      <c r="D2368">
        <v>79.673316955999994</v>
      </c>
      <c r="E2368">
        <v>50</v>
      </c>
      <c r="F2368">
        <v>50.100231170999997</v>
      </c>
      <c r="G2368">
        <v>1327.5537108999999</v>
      </c>
      <c r="H2368">
        <v>1325.3420410000001</v>
      </c>
      <c r="I2368">
        <v>1344.7412108999999</v>
      </c>
      <c r="J2368">
        <v>1340.2510986</v>
      </c>
      <c r="K2368">
        <v>0</v>
      </c>
      <c r="L2368">
        <v>2400</v>
      </c>
      <c r="M2368">
        <v>2400</v>
      </c>
      <c r="N2368">
        <v>0</v>
      </c>
    </row>
    <row r="2369" spans="1:14" x14ac:dyDescent="0.25">
      <c r="A2369">
        <v>1648.1889960000001</v>
      </c>
      <c r="B2369" s="1">
        <f>DATE(2014,11,4) + TIME(4,32,9)</f>
        <v>41947.188993055555</v>
      </c>
      <c r="C2369">
        <v>80</v>
      </c>
      <c r="D2369">
        <v>79.656707764000004</v>
      </c>
      <c r="E2369">
        <v>50</v>
      </c>
      <c r="F2369">
        <v>50.075244904000002</v>
      </c>
      <c r="G2369">
        <v>1327.5471190999999</v>
      </c>
      <c r="H2369">
        <v>1325.3330077999999</v>
      </c>
      <c r="I2369">
        <v>1344.729126</v>
      </c>
      <c r="J2369">
        <v>1340.2441406</v>
      </c>
      <c r="K2369">
        <v>0</v>
      </c>
      <c r="L2369">
        <v>2400</v>
      </c>
      <c r="M2369">
        <v>2400</v>
      </c>
      <c r="N2369">
        <v>0</v>
      </c>
    </row>
    <row r="2370" spans="1:14" x14ac:dyDescent="0.25">
      <c r="A2370">
        <v>1648.3944959999999</v>
      </c>
      <c r="B2370" s="1">
        <f>DATE(2014,11,4) + TIME(9,28,4)</f>
        <v>41947.394490740742</v>
      </c>
      <c r="C2370">
        <v>80</v>
      </c>
      <c r="D2370">
        <v>79.639595032000003</v>
      </c>
      <c r="E2370">
        <v>50</v>
      </c>
      <c r="F2370">
        <v>50.055046081999997</v>
      </c>
      <c r="G2370">
        <v>1327.5402832</v>
      </c>
      <c r="H2370">
        <v>1325.3236084</v>
      </c>
      <c r="I2370">
        <v>1344.7174072</v>
      </c>
      <c r="J2370">
        <v>1340.2376709</v>
      </c>
      <c r="K2370">
        <v>0</v>
      </c>
      <c r="L2370">
        <v>2400</v>
      </c>
      <c r="M2370">
        <v>2400</v>
      </c>
      <c r="N2370">
        <v>0</v>
      </c>
    </row>
    <row r="2371" spans="1:14" x14ac:dyDescent="0.25">
      <c r="A2371">
        <v>1648.6069709999999</v>
      </c>
      <c r="B2371" s="1">
        <f>DATE(2014,11,4) + TIME(14,34,2)</f>
        <v>41947.60696759259</v>
      </c>
      <c r="C2371">
        <v>80</v>
      </c>
      <c r="D2371">
        <v>79.622047424000002</v>
      </c>
      <c r="E2371">
        <v>50</v>
      </c>
      <c r="F2371">
        <v>50.038921356000003</v>
      </c>
      <c r="G2371">
        <v>1327.5330810999999</v>
      </c>
      <c r="H2371">
        <v>1325.3135986</v>
      </c>
      <c r="I2371">
        <v>1344.7060547000001</v>
      </c>
      <c r="J2371">
        <v>1340.2314452999999</v>
      </c>
      <c r="K2371">
        <v>0</v>
      </c>
      <c r="L2371">
        <v>2400</v>
      </c>
      <c r="M2371">
        <v>2400</v>
      </c>
      <c r="N2371">
        <v>0</v>
      </c>
    </row>
    <row r="2372" spans="1:14" x14ac:dyDescent="0.25">
      <c r="A2372">
        <v>1648.824022</v>
      </c>
      <c r="B2372" s="1">
        <f>DATE(2014,11,4) + TIME(19,46,35)</f>
        <v>41947.824016203704</v>
      </c>
      <c r="C2372">
        <v>80</v>
      </c>
      <c r="D2372">
        <v>79.604232788000004</v>
      </c>
      <c r="E2372">
        <v>50</v>
      </c>
      <c r="F2372">
        <v>50.026248932000001</v>
      </c>
      <c r="G2372">
        <v>1327.5255127</v>
      </c>
      <c r="H2372">
        <v>1325.3031006000001</v>
      </c>
      <c r="I2372">
        <v>1344.6951904</v>
      </c>
      <c r="J2372">
        <v>1340.2254639</v>
      </c>
      <c r="K2372">
        <v>0</v>
      </c>
      <c r="L2372">
        <v>2400</v>
      </c>
      <c r="M2372">
        <v>2400</v>
      </c>
      <c r="N2372">
        <v>0</v>
      </c>
    </row>
    <row r="2373" spans="1:14" x14ac:dyDescent="0.25">
      <c r="A2373">
        <v>1649.0437380000001</v>
      </c>
      <c r="B2373" s="1">
        <f>DATE(2014,11,5) + TIME(1,2,58)</f>
        <v>41948.043726851851</v>
      </c>
      <c r="C2373">
        <v>80</v>
      </c>
      <c r="D2373">
        <v>79.586273192999997</v>
      </c>
      <c r="E2373">
        <v>50</v>
      </c>
      <c r="F2373">
        <v>50.016395568999997</v>
      </c>
      <c r="G2373">
        <v>1327.5177002</v>
      </c>
      <c r="H2373">
        <v>1325.2923584</v>
      </c>
      <c r="I2373">
        <v>1344.6846923999999</v>
      </c>
      <c r="J2373">
        <v>1340.2198486</v>
      </c>
      <c r="K2373">
        <v>0</v>
      </c>
      <c r="L2373">
        <v>2400</v>
      </c>
      <c r="M2373">
        <v>2400</v>
      </c>
      <c r="N2373">
        <v>0</v>
      </c>
    </row>
    <row r="2374" spans="1:14" x14ac:dyDescent="0.25">
      <c r="A2374">
        <v>1649.266615</v>
      </c>
      <c r="B2374" s="1">
        <f>DATE(2014,11,5) + TIME(6,23,55)</f>
        <v>41948.266608796293</v>
      </c>
      <c r="C2374">
        <v>80</v>
      </c>
      <c r="D2374">
        <v>79.568145752000007</v>
      </c>
      <c r="E2374">
        <v>50</v>
      </c>
      <c r="F2374">
        <v>50.008731842000003</v>
      </c>
      <c r="G2374">
        <v>1327.5096435999999</v>
      </c>
      <c r="H2374">
        <v>1325.28125</v>
      </c>
      <c r="I2374">
        <v>1344.6746826000001</v>
      </c>
      <c r="J2374">
        <v>1340.2145995999999</v>
      </c>
      <c r="K2374">
        <v>0</v>
      </c>
      <c r="L2374">
        <v>2400</v>
      </c>
      <c r="M2374">
        <v>2400</v>
      </c>
      <c r="N2374">
        <v>0</v>
      </c>
    </row>
    <row r="2375" spans="1:14" x14ac:dyDescent="0.25">
      <c r="A2375">
        <v>1649.493127</v>
      </c>
      <c r="B2375" s="1">
        <f>DATE(2014,11,5) + TIME(11,50,6)</f>
        <v>41948.493125000001</v>
      </c>
      <c r="C2375">
        <v>80</v>
      </c>
      <c r="D2375">
        <v>79.549842834000003</v>
      </c>
      <c r="E2375">
        <v>50</v>
      </c>
      <c r="F2375">
        <v>50.002777100000003</v>
      </c>
      <c r="G2375">
        <v>1327.5014647999999</v>
      </c>
      <c r="H2375">
        <v>1325.2697754000001</v>
      </c>
      <c r="I2375">
        <v>1344.6650391000001</v>
      </c>
      <c r="J2375">
        <v>1340.2094727000001</v>
      </c>
      <c r="K2375">
        <v>0</v>
      </c>
      <c r="L2375">
        <v>2400</v>
      </c>
      <c r="M2375">
        <v>2400</v>
      </c>
      <c r="N2375">
        <v>0</v>
      </c>
    </row>
    <row r="2376" spans="1:14" x14ac:dyDescent="0.25">
      <c r="A2376">
        <v>1649.7237419999999</v>
      </c>
      <c r="B2376" s="1">
        <f>DATE(2014,11,5) + TIME(17,22,11)</f>
        <v>41948.723738425928</v>
      </c>
      <c r="C2376">
        <v>80</v>
      </c>
      <c r="D2376">
        <v>79.531318665000001</v>
      </c>
      <c r="E2376">
        <v>50</v>
      </c>
      <c r="F2376">
        <v>49.998153686999999</v>
      </c>
      <c r="G2376">
        <v>1327.4930420000001</v>
      </c>
      <c r="H2376">
        <v>1325.2581786999999</v>
      </c>
      <c r="I2376">
        <v>1344.6557617000001</v>
      </c>
      <c r="J2376">
        <v>1340.2045897999999</v>
      </c>
      <c r="K2376">
        <v>0</v>
      </c>
      <c r="L2376">
        <v>2400</v>
      </c>
      <c r="M2376">
        <v>2400</v>
      </c>
      <c r="N2376">
        <v>0</v>
      </c>
    </row>
    <row r="2377" spans="1:14" x14ac:dyDescent="0.25">
      <c r="A2377">
        <v>1649.958836</v>
      </c>
      <c r="B2377" s="1">
        <f>DATE(2014,11,5) + TIME(23,0,43)</f>
        <v>41948.958831018521</v>
      </c>
      <c r="C2377">
        <v>80</v>
      </c>
      <c r="D2377">
        <v>79.512565613000007</v>
      </c>
      <c r="E2377">
        <v>50</v>
      </c>
      <c r="F2377">
        <v>49.994564056000002</v>
      </c>
      <c r="G2377">
        <v>1327.484375</v>
      </c>
      <c r="H2377">
        <v>1325.2460937999999</v>
      </c>
      <c r="I2377">
        <v>1344.6467285000001</v>
      </c>
      <c r="J2377">
        <v>1340.1998291</v>
      </c>
      <c r="K2377">
        <v>0</v>
      </c>
      <c r="L2377">
        <v>2400</v>
      </c>
      <c r="M2377">
        <v>2400</v>
      </c>
      <c r="N2377">
        <v>0</v>
      </c>
    </row>
    <row r="2378" spans="1:14" x14ac:dyDescent="0.25">
      <c r="A2378">
        <v>1650.1988690000001</v>
      </c>
      <c r="B2378" s="1">
        <f>DATE(2014,11,6) + TIME(4,46,22)</f>
        <v>41949.198865740742</v>
      </c>
      <c r="C2378">
        <v>80</v>
      </c>
      <c r="D2378">
        <v>79.493553161999998</v>
      </c>
      <c r="E2378">
        <v>50</v>
      </c>
      <c r="F2378">
        <v>49.991786957000002</v>
      </c>
      <c r="G2378">
        <v>1327.4755858999999</v>
      </c>
      <c r="H2378">
        <v>1325.2336425999999</v>
      </c>
      <c r="I2378">
        <v>1344.6380615</v>
      </c>
      <c r="J2378">
        <v>1340.1951904</v>
      </c>
      <c r="K2378">
        <v>0</v>
      </c>
      <c r="L2378">
        <v>2400</v>
      </c>
      <c r="M2378">
        <v>2400</v>
      </c>
      <c r="N2378">
        <v>0</v>
      </c>
    </row>
    <row r="2379" spans="1:14" x14ac:dyDescent="0.25">
      <c r="A2379">
        <v>1650.444381</v>
      </c>
      <c r="B2379" s="1">
        <f>DATE(2014,11,6) + TIME(10,39,54)</f>
        <v>41949.444374999999</v>
      </c>
      <c r="C2379">
        <v>80</v>
      </c>
      <c r="D2379">
        <v>79.474258422999995</v>
      </c>
      <c r="E2379">
        <v>50</v>
      </c>
      <c r="F2379">
        <v>49.989635468000003</v>
      </c>
      <c r="G2379">
        <v>1327.4664307</v>
      </c>
      <c r="H2379">
        <v>1325.2209473</v>
      </c>
      <c r="I2379">
        <v>1344.6295166</v>
      </c>
      <c r="J2379">
        <v>1340.1907959</v>
      </c>
      <c r="K2379">
        <v>0</v>
      </c>
      <c r="L2379">
        <v>2400</v>
      </c>
      <c r="M2379">
        <v>2400</v>
      </c>
      <c r="N2379">
        <v>0</v>
      </c>
    </row>
    <row r="2380" spans="1:14" x14ac:dyDescent="0.25">
      <c r="A2380">
        <v>1650.6958549999999</v>
      </c>
      <c r="B2380" s="1">
        <f>DATE(2014,11,6) + TIME(16,42,1)</f>
        <v>41949.695844907408</v>
      </c>
      <c r="C2380">
        <v>80</v>
      </c>
      <c r="D2380">
        <v>79.454643250000004</v>
      </c>
      <c r="E2380">
        <v>50</v>
      </c>
      <c r="F2380">
        <v>49.987972259999999</v>
      </c>
      <c r="G2380">
        <v>1327.4570312000001</v>
      </c>
      <c r="H2380">
        <v>1325.2077637</v>
      </c>
      <c r="I2380">
        <v>1344.6210937999999</v>
      </c>
      <c r="J2380">
        <v>1340.1864014</v>
      </c>
      <c r="K2380">
        <v>0</v>
      </c>
      <c r="L2380">
        <v>2400</v>
      </c>
      <c r="M2380">
        <v>2400</v>
      </c>
      <c r="N2380">
        <v>0</v>
      </c>
    </row>
    <row r="2381" spans="1:14" x14ac:dyDescent="0.25">
      <c r="A2381">
        <v>1650.953794</v>
      </c>
      <c r="B2381" s="1">
        <f>DATE(2014,11,6) + TIME(22,53,27)</f>
        <v>41949.953784722224</v>
      </c>
      <c r="C2381">
        <v>80</v>
      </c>
      <c r="D2381">
        <v>79.434677124000004</v>
      </c>
      <c r="E2381">
        <v>50</v>
      </c>
      <c r="F2381">
        <v>49.986686706999997</v>
      </c>
      <c r="G2381">
        <v>1327.4473877</v>
      </c>
      <c r="H2381">
        <v>1325.1942139</v>
      </c>
      <c r="I2381">
        <v>1344.6129149999999</v>
      </c>
      <c r="J2381">
        <v>1340.1821289</v>
      </c>
      <c r="K2381">
        <v>0</v>
      </c>
      <c r="L2381">
        <v>2400</v>
      </c>
      <c r="M2381">
        <v>2400</v>
      </c>
      <c r="N2381">
        <v>0</v>
      </c>
    </row>
    <row r="2382" spans="1:14" x14ac:dyDescent="0.25">
      <c r="A2382">
        <v>1651.218715</v>
      </c>
      <c r="B2382" s="1">
        <f>DATE(2014,11,7) + TIME(5,14,57)</f>
        <v>41950.218715277777</v>
      </c>
      <c r="C2382">
        <v>80</v>
      </c>
      <c r="D2382">
        <v>79.414337157999995</v>
      </c>
      <c r="E2382">
        <v>50</v>
      </c>
      <c r="F2382">
        <v>49.9856987</v>
      </c>
      <c r="G2382">
        <v>1327.4373779</v>
      </c>
      <c r="H2382">
        <v>1325.1802978999999</v>
      </c>
      <c r="I2382">
        <v>1344.6049805</v>
      </c>
      <c r="J2382">
        <v>1340.1778564000001</v>
      </c>
      <c r="K2382">
        <v>0</v>
      </c>
      <c r="L2382">
        <v>2400</v>
      </c>
      <c r="M2382">
        <v>2400</v>
      </c>
      <c r="N2382">
        <v>0</v>
      </c>
    </row>
    <row r="2383" spans="1:14" x14ac:dyDescent="0.25">
      <c r="A2383">
        <v>1651.4911589999999</v>
      </c>
      <c r="B2383" s="1">
        <f>DATE(2014,11,7) + TIME(11,47,16)</f>
        <v>41950.491157407407</v>
      </c>
      <c r="C2383">
        <v>80</v>
      </c>
      <c r="D2383">
        <v>79.393592834000003</v>
      </c>
      <c r="E2383">
        <v>50</v>
      </c>
      <c r="F2383">
        <v>49.984935759999999</v>
      </c>
      <c r="G2383">
        <v>1327.4270019999999</v>
      </c>
      <c r="H2383">
        <v>1325.1657714999999</v>
      </c>
      <c r="I2383">
        <v>1344.5970459</v>
      </c>
      <c r="J2383">
        <v>1340.1737060999999</v>
      </c>
      <c r="K2383">
        <v>0</v>
      </c>
      <c r="L2383">
        <v>2400</v>
      </c>
      <c r="M2383">
        <v>2400</v>
      </c>
      <c r="N2383">
        <v>0</v>
      </c>
    </row>
    <row r="2384" spans="1:14" x14ac:dyDescent="0.25">
      <c r="A2384">
        <v>1651.7717090000001</v>
      </c>
      <c r="B2384" s="1">
        <f>DATE(2014,11,7) + TIME(18,31,15)</f>
        <v>41950.771701388891</v>
      </c>
      <c r="C2384">
        <v>80</v>
      </c>
      <c r="D2384">
        <v>79.372406006000006</v>
      </c>
      <c r="E2384">
        <v>50</v>
      </c>
      <c r="F2384">
        <v>49.984344481999997</v>
      </c>
      <c r="G2384">
        <v>1327.4163818</v>
      </c>
      <c r="H2384">
        <v>1325.1508789</v>
      </c>
      <c r="I2384">
        <v>1344.5892334</v>
      </c>
      <c r="J2384">
        <v>1340.1695557</v>
      </c>
      <c r="K2384">
        <v>0</v>
      </c>
      <c r="L2384">
        <v>2400</v>
      </c>
      <c r="M2384">
        <v>2400</v>
      </c>
      <c r="N2384">
        <v>0</v>
      </c>
    </row>
    <row r="2385" spans="1:14" x14ac:dyDescent="0.25">
      <c r="A2385">
        <v>1652.060999</v>
      </c>
      <c r="B2385" s="1">
        <f>DATE(2014,11,8) + TIME(1,27,50)</f>
        <v>41951.060995370368</v>
      </c>
      <c r="C2385">
        <v>80</v>
      </c>
      <c r="D2385">
        <v>79.350738524999997</v>
      </c>
      <c r="E2385">
        <v>50</v>
      </c>
      <c r="F2385">
        <v>49.983890533</v>
      </c>
      <c r="G2385">
        <v>1327.4053954999999</v>
      </c>
      <c r="H2385">
        <v>1325.135376</v>
      </c>
      <c r="I2385">
        <v>1344.5814209</v>
      </c>
      <c r="J2385">
        <v>1340.1655272999999</v>
      </c>
      <c r="K2385">
        <v>0</v>
      </c>
      <c r="L2385">
        <v>2400</v>
      </c>
      <c r="M2385">
        <v>2400</v>
      </c>
      <c r="N2385">
        <v>0</v>
      </c>
    </row>
    <row r="2386" spans="1:14" x14ac:dyDescent="0.25">
      <c r="A2386">
        <v>1652.3597050000001</v>
      </c>
      <c r="B2386" s="1">
        <f>DATE(2014,11,8) + TIME(8,37,58)</f>
        <v>41951.359699074077</v>
      </c>
      <c r="C2386">
        <v>80</v>
      </c>
      <c r="D2386">
        <v>79.328559874999996</v>
      </c>
      <c r="E2386">
        <v>50</v>
      </c>
      <c r="F2386">
        <v>49.983539581000002</v>
      </c>
      <c r="G2386">
        <v>1327.3939209</v>
      </c>
      <c r="H2386">
        <v>1325.1193848</v>
      </c>
      <c r="I2386">
        <v>1344.5737305</v>
      </c>
      <c r="J2386">
        <v>1340.161499</v>
      </c>
      <c r="K2386">
        <v>0</v>
      </c>
      <c r="L2386">
        <v>2400</v>
      </c>
      <c r="M2386">
        <v>2400</v>
      </c>
      <c r="N2386">
        <v>0</v>
      </c>
    </row>
    <row r="2387" spans="1:14" x14ac:dyDescent="0.25">
      <c r="A2387">
        <v>1652.668531</v>
      </c>
      <c r="B2387" s="1">
        <f>DATE(2014,11,8) + TIME(16,2,41)</f>
        <v>41951.668530092589</v>
      </c>
      <c r="C2387">
        <v>80</v>
      </c>
      <c r="D2387">
        <v>79.305831909000005</v>
      </c>
      <c r="E2387">
        <v>50</v>
      </c>
      <c r="F2387">
        <v>49.983264923</v>
      </c>
      <c r="G2387">
        <v>1327.3820800999999</v>
      </c>
      <c r="H2387">
        <v>1325.1027832</v>
      </c>
      <c r="I2387">
        <v>1344.5661620999999</v>
      </c>
      <c r="J2387">
        <v>1340.1574707</v>
      </c>
      <c r="K2387">
        <v>0</v>
      </c>
      <c r="L2387">
        <v>2400</v>
      </c>
      <c r="M2387">
        <v>2400</v>
      </c>
      <c r="N2387">
        <v>0</v>
      </c>
    </row>
    <row r="2388" spans="1:14" x14ac:dyDescent="0.25">
      <c r="A2388">
        <v>1652.9881949999999</v>
      </c>
      <c r="B2388" s="1">
        <f>DATE(2014,11,8) + TIME(23,43,0)</f>
        <v>41951.988194444442</v>
      </c>
      <c r="C2388">
        <v>80</v>
      </c>
      <c r="D2388">
        <v>79.282501221000004</v>
      </c>
      <c r="E2388">
        <v>50</v>
      </c>
      <c r="F2388">
        <v>49.9830513</v>
      </c>
      <c r="G2388">
        <v>1327.3698730000001</v>
      </c>
      <c r="H2388">
        <v>1325.0854492000001</v>
      </c>
      <c r="I2388">
        <v>1344.5585937999999</v>
      </c>
      <c r="J2388">
        <v>1340.1534423999999</v>
      </c>
      <c r="K2388">
        <v>0</v>
      </c>
      <c r="L2388">
        <v>2400</v>
      </c>
      <c r="M2388">
        <v>2400</v>
      </c>
      <c r="N2388">
        <v>0</v>
      </c>
    </row>
    <row r="2389" spans="1:14" x14ac:dyDescent="0.25">
      <c r="A2389">
        <v>1653.319665</v>
      </c>
      <c r="B2389" s="1">
        <f>DATE(2014,11,9) + TIME(7,40,19)</f>
        <v>41952.319664351853</v>
      </c>
      <c r="C2389">
        <v>80</v>
      </c>
      <c r="D2389">
        <v>79.258529663000004</v>
      </c>
      <c r="E2389">
        <v>50</v>
      </c>
      <c r="F2389">
        <v>49.982883452999999</v>
      </c>
      <c r="G2389">
        <v>1327.3570557</v>
      </c>
      <c r="H2389">
        <v>1325.0675048999999</v>
      </c>
      <c r="I2389">
        <v>1344.5510254000001</v>
      </c>
      <c r="J2389">
        <v>1340.1495361</v>
      </c>
      <c r="K2389">
        <v>0</v>
      </c>
      <c r="L2389">
        <v>2400</v>
      </c>
      <c r="M2389">
        <v>2400</v>
      </c>
      <c r="N2389">
        <v>0</v>
      </c>
    </row>
    <row r="2390" spans="1:14" x14ac:dyDescent="0.25">
      <c r="A2390">
        <v>1653.663892</v>
      </c>
      <c r="B2390" s="1">
        <f>DATE(2014,11,9) + TIME(15,56,0)</f>
        <v>41952.663888888892</v>
      </c>
      <c r="C2390">
        <v>80</v>
      </c>
      <c r="D2390">
        <v>79.233863830999994</v>
      </c>
      <c r="E2390">
        <v>50</v>
      </c>
      <c r="F2390">
        <v>49.982749939000001</v>
      </c>
      <c r="G2390">
        <v>1327.34375</v>
      </c>
      <c r="H2390">
        <v>1325.0488281</v>
      </c>
      <c r="I2390">
        <v>1344.543457</v>
      </c>
      <c r="J2390">
        <v>1340.1455077999999</v>
      </c>
      <c r="K2390">
        <v>0</v>
      </c>
      <c r="L2390">
        <v>2400</v>
      </c>
      <c r="M2390">
        <v>2400</v>
      </c>
      <c r="N2390">
        <v>0</v>
      </c>
    </row>
    <row r="2391" spans="1:14" x14ac:dyDescent="0.25">
      <c r="A2391">
        <v>1654.0219259999999</v>
      </c>
      <c r="B2391" s="1">
        <f>DATE(2014,11,10) + TIME(0,31,34)</f>
        <v>41953.021921296298</v>
      </c>
      <c r="C2391">
        <v>80</v>
      </c>
      <c r="D2391">
        <v>79.208442688000005</v>
      </c>
      <c r="E2391">
        <v>50</v>
      </c>
      <c r="F2391">
        <v>49.982643127000003</v>
      </c>
      <c r="G2391">
        <v>1327.3299560999999</v>
      </c>
      <c r="H2391">
        <v>1325.0294189000001</v>
      </c>
      <c r="I2391">
        <v>1344.5358887</v>
      </c>
      <c r="J2391">
        <v>1340.1414795000001</v>
      </c>
      <c r="K2391">
        <v>0</v>
      </c>
      <c r="L2391">
        <v>2400</v>
      </c>
      <c r="M2391">
        <v>2400</v>
      </c>
      <c r="N2391">
        <v>0</v>
      </c>
    </row>
    <row r="2392" spans="1:14" x14ac:dyDescent="0.25">
      <c r="A2392">
        <v>1654.3949279999999</v>
      </c>
      <c r="B2392" s="1">
        <f>DATE(2014,11,10) + TIME(9,28,41)</f>
        <v>41953.394918981481</v>
      </c>
      <c r="C2392">
        <v>80</v>
      </c>
      <c r="D2392">
        <v>79.182205199999999</v>
      </c>
      <c r="E2392">
        <v>50</v>
      </c>
      <c r="F2392">
        <v>49.982559203999998</v>
      </c>
      <c r="G2392">
        <v>1327.3155518000001</v>
      </c>
      <c r="H2392">
        <v>1325.0091553</v>
      </c>
      <c r="I2392">
        <v>1344.5284423999999</v>
      </c>
      <c r="J2392">
        <v>1340.1375731999999</v>
      </c>
      <c r="K2392">
        <v>0</v>
      </c>
      <c r="L2392">
        <v>2400</v>
      </c>
      <c r="M2392">
        <v>2400</v>
      </c>
      <c r="N2392">
        <v>0</v>
      </c>
    </row>
    <row r="2393" spans="1:14" x14ac:dyDescent="0.25">
      <c r="A2393">
        <v>1654.7841820000001</v>
      </c>
      <c r="B2393" s="1">
        <f>DATE(2014,11,10) + TIME(18,49,13)</f>
        <v>41953.784178240741</v>
      </c>
      <c r="C2393">
        <v>80</v>
      </c>
      <c r="D2393">
        <v>79.155097960999996</v>
      </c>
      <c r="E2393">
        <v>50</v>
      </c>
      <c r="F2393">
        <v>49.982490540000001</v>
      </c>
      <c r="G2393">
        <v>1327.3004149999999</v>
      </c>
      <c r="H2393">
        <v>1324.9879149999999</v>
      </c>
      <c r="I2393">
        <v>1344.520874</v>
      </c>
      <c r="J2393">
        <v>1340.1335449000001</v>
      </c>
      <c r="K2393">
        <v>0</v>
      </c>
      <c r="L2393">
        <v>2400</v>
      </c>
      <c r="M2393">
        <v>2400</v>
      </c>
      <c r="N2393">
        <v>0</v>
      </c>
    </row>
    <row r="2394" spans="1:14" x14ac:dyDescent="0.25">
      <c r="A2394">
        <v>1655.1911210000001</v>
      </c>
      <c r="B2394" s="1">
        <f>DATE(2014,11,11) + TIME(4,35,12)</f>
        <v>41954.191111111111</v>
      </c>
      <c r="C2394">
        <v>80</v>
      </c>
      <c r="D2394">
        <v>79.127044678000004</v>
      </c>
      <c r="E2394">
        <v>50</v>
      </c>
      <c r="F2394">
        <v>49.982429504000002</v>
      </c>
      <c r="G2394">
        <v>1327.284668</v>
      </c>
      <c r="H2394">
        <v>1324.9656981999999</v>
      </c>
      <c r="I2394">
        <v>1344.5131836</v>
      </c>
      <c r="J2394">
        <v>1340.1295166</v>
      </c>
      <c r="K2394">
        <v>0</v>
      </c>
      <c r="L2394">
        <v>2400</v>
      </c>
      <c r="M2394">
        <v>2400</v>
      </c>
      <c r="N2394">
        <v>0</v>
      </c>
    </row>
    <row r="2395" spans="1:14" x14ac:dyDescent="0.25">
      <c r="A2395">
        <v>1655.6173470000001</v>
      </c>
      <c r="B2395" s="1">
        <f>DATE(2014,11,11) + TIME(14,48,58)</f>
        <v>41954.617337962962</v>
      </c>
      <c r="C2395">
        <v>80</v>
      </c>
      <c r="D2395">
        <v>79.097953795999999</v>
      </c>
      <c r="E2395">
        <v>50</v>
      </c>
      <c r="F2395">
        <v>49.982383728000002</v>
      </c>
      <c r="G2395">
        <v>1327.2681885</v>
      </c>
      <c r="H2395">
        <v>1324.9425048999999</v>
      </c>
      <c r="I2395">
        <v>1344.5056152</v>
      </c>
      <c r="J2395">
        <v>1340.1254882999999</v>
      </c>
      <c r="K2395">
        <v>0</v>
      </c>
      <c r="L2395">
        <v>2400</v>
      </c>
      <c r="M2395">
        <v>2400</v>
      </c>
      <c r="N2395">
        <v>0</v>
      </c>
    </row>
    <row r="2396" spans="1:14" x14ac:dyDescent="0.25">
      <c r="A2396">
        <v>1656.0646609999999</v>
      </c>
      <c r="B2396" s="1">
        <f>DATE(2014,11,12) + TIME(1,33,6)</f>
        <v>41955.064652777779</v>
      </c>
      <c r="C2396">
        <v>80</v>
      </c>
      <c r="D2396">
        <v>79.067749023000005</v>
      </c>
      <c r="E2396">
        <v>50</v>
      </c>
      <c r="F2396">
        <v>49.982341765999998</v>
      </c>
      <c r="G2396">
        <v>1327.2508545000001</v>
      </c>
      <c r="H2396">
        <v>1324.9180908000001</v>
      </c>
      <c r="I2396">
        <v>1344.4979248</v>
      </c>
      <c r="J2396">
        <v>1340.1213379000001</v>
      </c>
      <c r="K2396">
        <v>0</v>
      </c>
      <c r="L2396">
        <v>2400</v>
      </c>
      <c r="M2396">
        <v>2400</v>
      </c>
      <c r="N2396">
        <v>0</v>
      </c>
    </row>
    <row r="2397" spans="1:14" x14ac:dyDescent="0.25">
      <c r="A2397">
        <v>1656.53325</v>
      </c>
      <c r="B2397" s="1">
        <f>DATE(2014,11,12) + TIME(12,47,52)</f>
        <v>41955.53324074074</v>
      </c>
      <c r="C2397">
        <v>80</v>
      </c>
      <c r="D2397">
        <v>79.036415099999999</v>
      </c>
      <c r="E2397">
        <v>50</v>
      </c>
      <c r="F2397">
        <v>49.982307433999999</v>
      </c>
      <c r="G2397">
        <v>1327.2326660000001</v>
      </c>
      <c r="H2397">
        <v>1324.8924560999999</v>
      </c>
      <c r="I2397">
        <v>1344.4901123</v>
      </c>
      <c r="J2397">
        <v>1340.1171875</v>
      </c>
      <c r="K2397">
        <v>0</v>
      </c>
      <c r="L2397">
        <v>2400</v>
      </c>
      <c r="M2397">
        <v>2400</v>
      </c>
      <c r="N2397">
        <v>0</v>
      </c>
    </row>
    <row r="2398" spans="1:14" x14ac:dyDescent="0.25">
      <c r="A2398">
        <v>1657.021792</v>
      </c>
      <c r="B2398" s="1">
        <f>DATE(2014,11,13) + TIME(0,31,22)</f>
        <v>41956.021782407406</v>
      </c>
      <c r="C2398">
        <v>80</v>
      </c>
      <c r="D2398">
        <v>79.003997803000004</v>
      </c>
      <c r="E2398">
        <v>50</v>
      </c>
      <c r="F2398">
        <v>49.982276917</v>
      </c>
      <c r="G2398">
        <v>1327.2136230000001</v>
      </c>
      <c r="H2398">
        <v>1324.8656006000001</v>
      </c>
      <c r="I2398">
        <v>1344.4822998</v>
      </c>
      <c r="J2398">
        <v>1340.1130370999999</v>
      </c>
      <c r="K2398">
        <v>0</v>
      </c>
      <c r="L2398">
        <v>2400</v>
      </c>
      <c r="M2398">
        <v>2400</v>
      </c>
      <c r="N2398">
        <v>0</v>
      </c>
    </row>
    <row r="2399" spans="1:14" x14ac:dyDescent="0.25">
      <c r="A2399">
        <v>1657.5272130000001</v>
      </c>
      <c r="B2399" s="1">
        <f>DATE(2014,11,13) + TIME(12,39,11)</f>
        <v>41956.52721064815</v>
      </c>
      <c r="C2399">
        <v>80</v>
      </c>
      <c r="D2399">
        <v>78.970657349000007</v>
      </c>
      <c r="E2399">
        <v>50</v>
      </c>
      <c r="F2399">
        <v>49.982250213999997</v>
      </c>
      <c r="G2399">
        <v>1327.1937256000001</v>
      </c>
      <c r="H2399">
        <v>1324.8376464999999</v>
      </c>
      <c r="I2399">
        <v>1344.4743652</v>
      </c>
      <c r="J2399">
        <v>1340.1088867000001</v>
      </c>
      <c r="K2399">
        <v>0</v>
      </c>
      <c r="L2399">
        <v>2400</v>
      </c>
      <c r="M2399">
        <v>2400</v>
      </c>
      <c r="N2399">
        <v>0</v>
      </c>
    </row>
    <row r="2400" spans="1:14" x14ac:dyDescent="0.25">
      <c r="A2400">
        <v>1658.039544</v>
      </c>
      <c r="B2400" s="1">
        <f>DATE(2014,11,14) + TIME(0,56,56)</f>
        <v>41957.039537037039</v>
      </c>
      <c r="C2400">
        <v>80</v>
      </c>
      <c r="D2400">
        <v>78.936843871999997</v>
      </c>
      <c r="E2400">
        <v>50</v>
      </c>
      <c r="F2400">
        <v>49.982227324999997</v>
      </c>
      <c r="G2400">
        <v>1327.1732178</v>
      </c>
      <c r="H2400">
        <v>1324.8085937999999</v>
      </c>
      <c r="I2400">
        <v>1344.4666748</v>
      </c>
      <c r="J2400">
        <v>1340.1047363</v>
      </c>
      <c r="K2400">
        <v>0</v>
      </c>
      <c r="L2400">
        <v>2400</v>
      </c>
      <c r="M2400">
        <v>2400</v>
      </c>
      <c r="N2400">
        <v>0</v>
      </c>
    </row>
    <row r="2401" spans="1:14" x14ac:dyDescent="0.25">
      <c r="A2401">
        <v>1658.5600569999999</v>
      </c>
      <c r="B2401" s="1">
        <f>DATE(2014,11,14) + TIME(13,26,28)</f>
        <v>41957.560046296298</v>
      </c>
      <c r="C2401">
        <v>80</v>
      </c>
      <c r="D2401">
        <v>78.902633667000003</v>
      </c>
      <c r="E2401">
        <v>50</v>
      </c>
      <c r="F2401">
        <v>49.982204437</v>
      </c>
      <c r="G2401">
        <v>1327.1522216999999</v>
      </c>
      <c r="H2401">
        <v>1324.7790527</v>
      </c>
      <c r="I2401">
        <v>1344.4589844</v>
      </c>
      <c r="J2401">
        <v>1340.1007079999999</v>
      </c>
      <c r="K2401">
        <v>0</v>
      </c>
      <c r="L2401">
        <v>2400</v>
      </c>
      <c r="M2401">
        <v>2400</v>
      </c>
      <c r="N2401">
        <v>0</v>
      </c>
    </row>
    <row r="2402" spans="1:14" x14ac:dyDescent="0.25">
      <c r="A2402">
        <v>1659.089845</v>
      </c>
      <c r="B2402" s="1">
        <f>DATE(2014,11,15) + TIME(2,9,22)</f>
        <v>41958.089837962965</v>
      </c>
      <c r="C2402">
        <v>80</v>
      </c>
      <c r="D2402">
        <v>78.868041992000002</v>
      </c>
      <c r="E2402">
        <v>50</v>
      </c>
      <c r="F2402">
        <v>49.982189177999999</v>
      </c>
      <c r="G2402">
        <v>1327.1308594</v>
      </c>
      <c r="H2402">
        <v>1324.7489014</v>
      </c>
      <c r="I2402">
        <v>1344.4516602000001</v>
      </c>
      <c r="J2402">
        <v>1340.0968018000001</v>
      </c>
      <c r="K2402">
        <v>0</v>
      </c>
      <c r="L2402">
        <v>2400</v>
      </c>
      <c r="M2402">
        <v>2400</v>
      </c>
      <c r="N2402">
        <v>0</v>
      </c>
    </row>
    <row r="2403" spans="1:14" x14ac:dyDescent="0.25">
      <c r="A2403">
        <v>1659.6300289999999</v>
      </c>
      <c r="B2403" s="1">
        <f>DATE(2014,11,15) + TIME(15,7,14)</f>
        <v>41958.630023148151</v>
      </c>
      <c r="C2403">
        <v>80</v>
      </c>
      <c r="D2403">
        <v>78.833076477000006</v>
      </c>
      <c r="E2403">
        <v>50</v>
      </c>
      <c r="F2403">
        <v>49.982170105000002</v>
      </c>
      <c r="G2403">
        <v>1327.1090088000001</v>
      </c>
      <c r="H2403">
        <v>1324.7182617000001</v>
      </c>
      <c r="I2403">
        <v>1344.4443358999999</v>
      </c>
      <c r="J2403">
        <v>1340.0930175999999</v>
      </c>
      <c r="K2403">
        <v>0</v>
      </c>
      <c r="L2403">
        <v>2400</v>
      </c>
      <c r="M2403">
        <v>2400</v>
      </c>
      <c r="N2403">
        <v>0</v>
      </c>
    </row>
    <row r="2404" spans="1:14" x14ac:dyDescent="0.25">
      <c r="A2404">
        <v>1660.1817880000001</v>
      </c>
      <c r="B2404" s="1">
        <f>DATE(2014,11,16) + TIME(4,21,46)</f>
        <v>41959.18178240741</v>
      </c>
      <c r="C2404">
        <v>80</v>
      </c>
      <c r="D2404">
        <v>78.797698975000003</v>
      </c>
      <c r="E2404">
        <v>50</v>
      </c>
      <c r="F2404">
        <v>49.982158661</v>
      </c>
      <c r="G2404">
        <v>1327.0867920000001</v>
      </c>
      <c r="H2404">
        <v>1324.6868896000001</v>
      </c>
      <c r="I2404">
        <v>1344.4372559000001</v>
      </c>
      <c r="J2404">
        <v>1340.0892334</v>
      </c>
      <c r="K2404">
        <v>0</v>
      </c>
      <c r="L2404">
        <v>2400</v>
      </c>
      <c r="M2404">
        <v>2400</v>
      </c>
      <c r="N2404">
        <v>0</v>
      </c>
    </row>
    <row r="2405" spans="1:14" x14ac:dyDescent="0.25">
      <c r="A2405">
        <v>1660.7463190000001</v>
      </c>
      <c r="B2405" s="1">
        <f>DATE(2014,11,16) + TIME(17,54,41)</f>
        <v>41959.746307870373</v>
      </c>
      <c r="C2405">
        <v>80</v>
      </c>
      <c r="D2405">
        <v>78.761871338000006</v>
      </c>
      <c r="E2405">
        <v>50</v>
      </c>
      <c r="F2405">
        <v>49.982143401999998</v>
      </c>
      <c r="G2405">
        <v>1327.0642089999999</v>
      </c>
      <c r="H2405">
        <v>1324.6549072</v>
      </c>
      <c r="I2405">
        <v>1344.4301757999999</v>
      </c>
      <c r="J2405">
        <v>1340.0854492000001</v>
      </c>
      <c r="K2405">
        <v>0</v>
      </c>
      <c r="L2405">
        <v>2400</v>
      </c>
      <c r="M2405">
        <v>2400</v>
      </c>
      <c r="N2405">
        <v>0</v>
      </c>
    </row>
    <row r="2406" spans="1:14" x14ac:dyDescent="0.25">
      <c r="A2406">
        <v>1661.324879</v>
      </c>
      <c r="B2406" s="1">
        <f>DATE(2014,11,17) + TIME(7,47,49)</f>
        <v>41960.324872685182</v>
      </c>
      <c r="C2406">
        <v>80</v>
      </c>
      <c r="D2406">
        <v>78.725555420000006</v>
      </c>
      <c r="E2406">
        <v>50</v>
      </c>
      <c r="F2406">
        <v>49.982131957999997</v>
      </c>
      <c r="G2406">
        <v>1327.0408935999999</v>
      </c>
      <c r="H2406">
        <v>1324.6221923999999</v>
      </c>
      <c r="I2406">
        <v>1344.4232178</v>
      </c>
      <c r="J2406">
        <v>1340.0817870999999</v>
      </c>
      <c r="K2406">
        <v>0</v>
      </c>
      <c r="L2406">
        <v>2400</v>
      </c>
      <c r="M2406">
        <v>2400</v>
      </c>
      <c r="N2406">
        <v>0</v>
      </c>
    </row>
    <row r="2407" spans="1:14" x14ac:dyDescent="0.25">
      <c r="A2407">
        <v>1661.9188180000001</v>
      </c>
      <c r="B2407" s="1">
        <f>DATE(2014,11,17) + TIME(22,3,5)</f>
        <v>41960.918807870374</v>
      </c>
      <c r="C2407">
        <v>80</v>
      </c>
      <c r="D2407">
        <v>78.688690186000002</v>
      </c>
      <c r="E2407">
        <v>50</v>
      </c>
      <c r="F2407">
        <v>49.982120514000002</v>
      </c>
      <c r="G2407">
        <v>1327.0172118999999</v>
      </c>
      <c r="H2407">
        <v>1324.5886230000001</v>
      </c>
      <c r="I2407">
        <v>1344.4163818</v>
      </c>
      <c r="J2407">
        <v>1340.0782471</v>
      </c>
      <c r="K2407">
        <v>0</v>
      </c>
      <c r="L2407">
        <v>2400</v>
      </c>
      <c r="M2407">
        <v>2400</v>
      </c>
      <c r="N2407">
        <v>0</v>
      </c>
    </row>
    <row r="2408" spans="1:14" x14ac:dyDescent="0.25">
      <c r="A2408">
        <v>1662.5295430000001</v>
      </c>
      <c r="B2408" s="1">
        <f>DATE(2014,11,18) + TIME(12,42,32)</f>
        <v>41961.529537037037</v>
      </c>
      <c r="C2408">
        <v>80</v>
      </c>
      <c r="D2408">
        <v>78.651214600000003</v>
      </c>
      <c r="E2408">
        <v>50</v>
      </c>
      <c r="F2408">
        <v>49.98210907</v>
      </c>
      <c r="G2408">
        <v>1326.9927978999999</v>
      </c>
      <c r="H2408">
        <v>1324.5543213000001</v>
      </c>
      <c r="I2408">
        <v>1344.409668</v>
      </c>
      <c r="J2408">
        <v>1340.074707</v>
      </c>
      <c r="K2408">
        <v>0</v>
      </c>
      <c r="L2408">
        <v>2400</v>
      </c>
      <c r="M2408">
        <v>2400</v>
      </c>
      <c r="N2408">
        <v>0</v>
      </c>
    </row>
    <row r="2409" spans="1:14" x14ac:dyDescent="0.25">
      <c r="A2409">
        <v>1663.158414</v>
      </c>
      <c r="B2409" s="1">
        <f>DATE(2014,11,19) + TIME(3,48,6)</f>
        <v>41962.158402777779</v>
      </c>
      <c r="C2409">
        <v>80</v>
      </c>
      <c r="D2409">
        <v>78.613067627000007</v>
      </c>
      <c r="E2409">
        <v>50</v>
      </c>
      <c r="F2409">
        <v>49.982097625999998</v>
      </c>
      <c r="G2409">
        <v>1326.9677733999999</v>
      </c>
      <c r="H2409">
        <v>1324.519043</v>
      </c>
      <c r="I2409">
        <v>1344.4029541</v>
      </c>
      <c r="J2409">
        <v>1340.0711670000001</v>
      </c>
      <c r="K2409">
        <v>0</v>
      </c>
      <c r="L2409">
        <v>2400</v>
      </c>
      <c r="M2409">
        <v>2400</v>
      </c>
      <c r="N2409">
        <v>0</v>
      </c>
    </row>
    <row r="2410" spans="1:14" x14ac:dyDescent="0.25">
      <c r="A2410">
        <v>1663.8070459999999</v>
      </c>
      <c r="B2410" s="1">
        <f>DATE(2014,11,19) + TIME(19,22,8)</f>
        <v>41962.807037037041</v>
      </c>
      <c r="C2410">
        <v>80</v>
      </c>
      <c r="D2410">
        <v>78.574188231999997</v>
      </c>
      <c r="E2410">
        <v>50</v>
      </c>
      <c r="F2410">
        <v>49.982086182000003</v>
      </c>
      <c r="G2410">
        <v>1326.9421387</v>
      </c>
      <c r="H2410">
        <v>1324.4827881000001</v>
      </c>
      <c r="I2410">
        <v>1344.3962402</v>
      </c>
      <c r="J2410">
        <v>1340.0676269999999</v>
      </c>
      <c r="K2410">
        <v>0</v>
      </c>
      <c r="L2410">
        <v>2400</v>
      </c>
      <c r="M2410">
        <v>2400</v>
      </c>
      <c r="N2410">
        <v>0</v>
      </c>
    </row>
    <row r="2411" spans="1:14" x14ac:dyDescent="0.25">
      <c r="A2411">
        <v>1664.47731</v>
      </c>
      <c r="B2411" s="1">
        <f>DATE(2014,11,20) + TIME(11,27,19)</f>
        <v>41963.477303240739</v>
      </c>
      <c r="C2411">
        <v>80</v>
      </c>
      <c r="D2411">
        <v>78.534500121999997</v>
      </c>
      <c r="E2411">
        <v>50</v>
      </c>
      <c r="F2411">
        <v>49.982078551999997</v>
      </c>
      <c r="G2411">
        <v>1326.9156493999999</v>
      </c>
      <c r="H2411">
        <v>1324.4455565999999</v>
      </c>
      <c r="I2411">
        <v>1344.3895264</v>
      </c>
      <c r="J2411">
        <v>1340.0642089999999</v>
      </c>
      <c r="K2411">
        <v>0</v>
      </c>
      <c r="L2411">
        <v>2400</v>
      </c>
      <c r="M2411">
        <v>2400</v>
      </c>
      <c r="N2411">
        <v>0</v>
      </c>
    </row>
    <row r="2412" spans="1:14" x14ac:dyDescent="0.25">
      <c r="A2412">
        <v>1665.1711330000001</v>
      </c>
      <c r="B2412" s="1">
        <f>DATE(2014,11,21) + TIME(4,6,25)</f>
        <v>41964.171122685184</v>
      </c>
      <c r="C2412">
        <v>80</v>
      </c>
      <c r="D2412">
        <v>78.493919372999997</v>
      </c>
      <c r="E2412">
        <v>50</v>
      </c>
      <c r="F2412">
        <v>49.982067108000003</v>
      </c>
      <c r="G2412">
        <v>1326.8884277</v>
      </c>
      <c r="H2412">
        <v>1324.4071045000001</v>
      </c>
      <c r="I2412">
        <v>1344.3829346</v>
      </c>
      <c r="J2412">
        <v>1340.0606689000001</v>
      </c>
      <c r="K2412">
        <v>0</v>
      </c>
      <c r="L2412">
        <v>2400</v>
      </c>
      <c r="M2412">
        <v>2400</v>
      </c>
      <c r="N2412">
        <v>0</v>
      </c>
    </row>
    <row r="2413" spans="1:14" x14ac:dyDescent="0.25">
      <c r="A2413">
        <v>1665.890631</v>
      </c>
      <c r="B2413" s="1">
        <f>DATE(2014,11,21) + TIME(21,22,30)</f>
        <v>41964.890625</v>
      </c>
      <c r="C2413">
        <v>80</v>
      </c>
      <c r="D2413">
        <v>78.452369689999998</v>
      </c>
      <c r="E2413">
        <v>50</v>
      </c>
      <c r="F2413">
        <v>49.982059479</v>
      </c>
      <c r="G2413">
        <v>1326.8602295000001</v>
      </c>
      <c r="H2413">
        <v>1324.3674315999999</v>
      </c>
      <c r="I2413">
        <v>1344.3763428</v>
      </c>
      <c r="J2413">
        <v>1340.057251</v>
      </c>
      <c r="K2413">
        <v>0</v>
      </c>
      <c r="L2413">
        <v>2400</v>
      </c>
      <c r="M2413">
        <v>2400</v>
      </c>
      <c r="N2413">
        <v>0</v>
      </c>
    </row>
    <row r="2414" spans="1:14" x14ac:dyDescent="0.25">
      <c r="A2414">
        <v>1666.638132</v>
      </c>
      <c r="B2414" s="1">
        <f>DATE(2014,11,22) + TIME(15,18,54)</f>
        <v>41965.638124999998</v>
      </c>
      <c r="C2414">
        <v>80</v>
      </c>
      <c r="D2414">
        <v>78.409751892000003</v>
      </c>
      <c r="E2414">
        <v>50</v>
      </c>
      <c r="F2414">
        <v>49.982048034999998</v>
      </c>
      <c r="G2414">
        <v>1326.8310547000001</v>
      </c>
      <c r="H2414">
        <v>1324.3264160000001</v>
      </c>
      <c r="I2414">
        <v>1344.3696289</v>
      </c>
      <c r="J2414">
        <v>1340.0538329999999</v>
      </c>
      <c r="K2414">
        <v>0</v>
      </c>
      <c r="L2414">
        <v>2400</v>
      </c>
      <c r="M2414">
        <v>2400</v>
      </c>
      <c r="N2414">
        <v>0</v>
      </c>
    </row>
    <row r="2415" spans="1:14" x14ac:dyDescent="0.25">
      <c r="A2415">
        <v>1667.4161979999999</v>
      </c>
      <c r="B2415" s="1">
        <f>DATE(2014,11,23) + TIME(9,59,19)</f>
        <v>41966.416192129633</v>
      </c>
      <c r="C2415">
        <v>80</v>
      </c>
      <c r="D2415">
        <v>78.365974425999994</v>
      </c>
      <c r="E2415">
        <v>50</v>
      </c>
      <c r="F2415">
        <v>49.982040404999999</v>
      </c>
      <c r="G2415">
        <v>1326.8009033000001</v>
      </c>
      <c r="H2415">
        <v>1324.2839355000001</v>
      </c>
      <c r="I2415">
        <v>1344.3630370999999</v>
      </c>
      <c r="J2415">
        <v>1340.0504149999999</v>
      </c>
      <c r="K2415">
        <v>0</v>
      </c>
      <c r="L2415">
        <v>2400</v>
      </c>
      <c r="M2415">
        <v>2400</v>
      </c>
      <c r="N2415">
        <v>0</v>
      </c>
    </row>
    <row r="2416" spans="1:14" x14ac:dyDescent="0.25">
      <c r="A2416">
        <v>1668.227674</v>
      </c>
      <c r="B2416" s="1">
        <f>DATE(2014,11,24) + TIME(5,27,51)</f>
        <v>41967.227673611109</v>
      </c>
      <c r="C2416">
        <v>80</v>
      </c>
      <c r="D2416">
        <v>78.320922851999995</v>
      </c>
      <c r="E2416">
        <v>50</v>
      </c>
      <c r="F2416">
        <v>49.982032775999997</v>
      </c>
      <c r="G2416">
        <v>1326.7695312000001</v>
      </c>
      <c r="H2416">
        <v>1324.2398682</v>
      </c>
      <c r="I2416">
        <v>1344.3563231999999</v>
      </c>
      <c r="J2416">
        <v>1340.046875</v>
      </c>
      <c r="K2416">
        <v>0</v>
      </c>
      <c r="L2416">
        <v>2400</v>
      </c>
      <c r="M2416">
        <v>2400</v>
      </c>
      <c r="N2416">
        <v>0</v>
      </c>
    </row>
    <row r="2417" spans="1:14" x14ac:dyDescent="0.25">
      <c r="A2417">
        <v>1669.0757510000001</v>
      </c>
      <c r="B2417" s="1">
        <f>DATE(2014,11,25) + TIME(1,49,4)</f>
        <v>41968.075740740744</v>
      </c>
      <c r="C2417">
        <v>80</v>
      </c>
      <c r="D2417">
        <v>78.274497986</v>
      </c>
      <c r="E2417">
        <v>50</v>
      </c>
      <c r="F2417">
        <v>49.982025145999998</v>
      </c>
      <c r="G2417">
        <v>1326.7370605000001</v>
      </c>
      <c r="H2417">
        <v>1324.1940918</v>
      </c>
      <c r="I2417">
        <v>1344.3496094</v>
      </c>
      <c r="J2417">
        <v>1340.043457</v>
      </c>
      <c r="K2417">
        <v>0</v>
      </c>
      <c r="L2417">
        <v>2400</v>
      </c>
      <c r="M2417">
        <v>2400</v>
      </c>
      <c r="N2417">
        <v>0</v>
      </c>
    </row>
    <row r="2418" spans="1:14" x14ac:dyDescent="0.25">
      <c r="A2418">
        <v>1669.959065</v>
      </c>
      <c r="B2418" s="1">
        <f>DATE(2014,11,25) + TIME(23,1,3)</f>
        <v>41968.959062499998</v>
      </c>
      <c r="C2418">
        <v>80</v>
      </c>
      <c r="D2418">
        <v>78.226684570000003</v>
      </c>
      <c r="E2418">
        <v>50</v>
      </c>
      <c r="F2418">
        <v>49.982013702000003</v>
      </c>
      <c r="G2418">
        <v>1326.7032471</v>
      </c>
      <c r="H2418">
        <v>1324.1466064000001</v>
      </c>
      <c r="I2418">
        <v>1344.3427733999999</v>
      </c>
      <c r="J2418">
        <v>1340.0400391000001</v>
      </c>
      <c r="K2418">
        <v>0</v>
      </c>
      <c r="L2418">
        <v>2400</v>
      </c>
      <c r="M2418">
        <v>2400</v>
      </c>
      <c r="N2418">
        <v>0</v>
      </c>
    </row>
    <row r="2419" spans="1:14" x14ac:dyDescent="0.25">
      <c r="A2419">
        <v>1670.8605319999999</v>
      </c>
      <c r="B2419" s="1">
        <f>DATE(2014,11,26) + TIME(20,39,9)</f>
        <v>41969.860520833332</v>
      </c>
      <c r="C2419">
        <v>80</v>
      </c>
      <c r="D2419">
        <v>78.177955627000003</v>
      </c>
      <c r="E2419">
        <v>50</v>
      </c>
      <c r="F2419">
        <v>49.982006073000001</v>
      </c>
      <c r="G2419">
        <v>1326.6680908000001</v>
      </c>
      <c r="H2419">
        <v>1324.0972899999999</v>
      </c>
      <c r="I2419">
        <v>1344.3359375</v>
      </c>
      <c r="J2419">
        <v>1340.036499</v>
      </c>
      <c r="K2419">
        <v>0</v>
      </c>
      <c r="L2419">
        <v>2400</v>
      </c>
      <c r="M2419">
        <v>2400</v>
      </c>
      <c r="N2419">
        <v>0</v>
      </c>
    </row>
    <row r="2420" spans="1:14" x14ac:dyDescent="0.25">
      <c r="A2420">
        <v>1671.7773569999999</v>
      </c>
      <c r="B2420" s="1">
        <f>DATE(2014,11,27) + TIME(18,39,23)</f>
        <v>41970.777349537035</v>
      </c>
      <c r="C2420">
        <v>80</v>
      </c>
      <c r="D2420">
        <v>78.128646850999999</v>
      </c>
      <c r="E2420">
        <v>50</v>
      </c>
      <c r="F2420">
        <v>49.981998443999998</v>
      </c>
      <c r="G2420">
        <v>1326.6323242000001</v>
      </c>
      <c r="H2420">
        <v>1324.0471190999999</v>
      </c>
      <c r="I2420">
        <v>1344.3292236</v>
      </c>
      <c r="J2420">
        <v>1340.0330810999999</v>
      </c>
      <c r="K2420">
        <v>0</v>
      </c>
      <c r="L2420">
        <v>2400</v>
      </c>
      <c r="M2420">
        <v>2400</v>
      </c>
      <c r="N2420">
        <v>0</v>
      </c>
    </row>
    <row r="2421" spans="1:14" x14ac:dyDescent="0.25">
      <c r="A2421">
        <v>1672.7117000000001</v>
      </c>
      <c r="B2421" s="1">
        <f>DATE(2014,11,28) + TIME(17,4,50)</f>
        <v>41971.711689814816</v>
      </c>
      <c r="C2421">
        <v>80</v>
      </c>
      <c r="D2421">
        <v>78.078903198000006</v>
      </c>
      <c r="E2421">
        <v>50</v>
      </c>
      <c r="F2421">
        <v>49.981990814</v>
      </c>
      <c r="G2421">
        <v>1326.5960693</v>
      </c>
      <c r="H2421">
        <v>1323.9959716999999</v>
      </c>
      <c r="I2421">
        <v>1344.3226318</v>
      </c>
      <c r="J2421">
        <v>1340.0297852000001</v>
      </c>
      <c r="K2421">
        <v>0</v>
      </c>
      <c r="L2421">
        <v>2400</v>
      </c>
      <c r="M2421">
        <v>2400</v>
      </c>
      <c r="N2421">
        <v>0</v>
      </c>
    </row>
    <row r="2422" spans="1:14" x14ac:dyDescent="0.25">
      <c r="A2422">
        <v>1673.665749</v>
      </c>
      <c r="B2422" s="1">
        <f>DATE(2014,11,29) + TIME(15,58,40)</f>
        <v>41972.66574074074</v>
      </c>
      <c r="C2422">
        <v>80</v>
      </c>
      <c r="D2422">
        <v>78.028739928999997</v>
      </c>
      <c r="E2422">
        <v>50</v>
      </c>
      <c r="F2422">
        <v>49.981983184999997</v>
      </c>
      <c r="G2422">
        <v>1326.559082</v>
      </c>
      <c r="H2422">
        <v>1323.9440918</v>
      </c>
      <c r="I2422">
        <v>1344.3161620999999</v>
      </c>
      <c r="J2422">
        <v>1340.0264893000001</v>
      </c>
      <c r="K2422">
        <v>0</v>
      </c>
      <c r="L2422">
        <v>2400</v>
      </c>
      <c r="M2422">
        <v>2400</v>
      </c>
      <c r="N2422">
        <v>0</v>
      </c>
    </row>
    <row r="2423" spans="1:14" x14ac:dyDescent="0.25">
      <c r="A2423">
        <v>1674.641803</v>
      </c>
      <c r="B2423" s="1">
        <f>DATE(2014,11,30) + TIME(15,24,11)</f>
        <v>41973.641793981478</v>
      </c>
      <c r="C2423">
        <v>80</v>
      </c>
      <c r="D2423">
        <v>77.978096007999994</v>
      </c>
      <c r="E2423">
        <v>50</v>
      </c>
      <c r="F2423">
        <v>49.981975554999998</v>
      </c>
      <c r="G2423">
        <v>1326.5214844</v>
      </c>
      <c r="H2423">
        <v>1323.8913574000001</v>
      </c>
      <c r="I2423">
        <v>1344.3098144999999</v>
      </c>
      <c r="J2423">
        <v>1340.0233154</v>
      </c>
      <c r="K2423">
        <v>0</v>
      </c>
      <c r="L2423">
        <v>2400</v>
      </c>
      <c r="M2423">
        <v>2400</v>
      </c>
      <c r="N2423">
        <v>0</v>
      </c>
    </row>
    <row r="2424" spans="1:14" x14ac:dyDescent="0.25">
      <c r="A2424">
        <v>1675</v>
      </c>
      <c r="B2424" s="1">
        <f>DATE(2014,12,1) + TIME(0,0,0)</f>
        <v>41974</v>
      </c>
      <c r="C2424">
        <v>80</v>
      </c>
      <c r="D2424">
        <v>77.949600219999994</v>
      </c>
      <c r="E2424">
        <v>50</v>
      </c>
      <c r="F2424">
        <v>49.981971741000002</v>
      </c>
      <c r="G2424">
        <v>1326.4866943</v>
      </c>
      <c r="H2424">
        <v>1323.8439940999999</v>
      </c>
      <c r="I2424">
        <v>1344.3033447</v>
      </c>
      <c r="J2424">
        <v>1340.0200195</v>
      </c>
      <c r="K2424">
        <v>0</v>
      </c>
      <c r="L2424">
        <v>2400</v>
      </c>
      <c r="M2424">
        <v>2400</v>
      </c>
      <c r="N2424">
        <v>0</v>
      </c>
    </row>
    <row r="2425" spans="1:14" x14ac:dyDescent="0.25">
      <c r="A2425">
        <v>1676.0005610000001</v>
      </c>
      <c r="B2425" s="1">
        <f>DATE(2014,12,2) + TIME(0,0,48)</f>
        <v>41975.000555555554</v>
      </c>
      <c r="C2425">
        <v>80</v>
      </c>
      <c r="D2425">
        <v>77.904029846</v>
      </c>
      <c r="E2425">
        <v>50</v>
      </c>
      <c r="F2425">
        <v>49.981964111000003</v>
      </c>
      <c r="G2425">
        <v>1326.4664307</v>
      </c>
      <c r="H2425">
        <v>1323.8133545000001</v>
      </c>
      <c r="I2425">
        <v>1344.3012695</v>
      </c>
      <c r="J2425">
        <v>1340.0191649999999</v>
      </c>
      <c r="K2425">
        <v>0</v>
      </c>
      <c r="L2425">
        <v>2400</v>
      </c>
      <c r="M2425">
        <v>2400</v>
      </c>
      <c r="N2425">
        <v>0</v>
      </c>
    </row>
    <row r="2426" spans="1:14" x14ac:dyDescent="0.25">
      <c r="A2426">
        <v>1677.0385269999999</v>
      </c>
      <c r="B2426" s="1">
        <f>DATE(2014,12,3) + TIME(0,55,28)</f>
        <v>41976.038518518515</v>
      </c>
      <c r="C2426">
        <v>80</v>
      </c>
      <c r="D2426">
        <v>77.854621886999993</v>
      </c>
      <c r="E2426">
        <v>50</v>
      </c>
      <c r="F2426">
        <v>49.981960297000001</v>
      </c>
      <c r="G2426">
        <v>1326.4290771000001</v>
      </c>
      <c r="H2426">
        <v>1323.7612305</v>
      </c>
      <c r="I2426">
        <v>1344.2951660000001</v>
      </c>
      <c r="J2426">
        <v>1340.0159911999999</v>
      </c>
      <c r="K2426">
        <v>0</v>
      </c>
      <c r="L2426">
        <v>2400</v>
      </c>
      <c r="M2426">
        <v>2400</v>
      </c>
      <c r="N2426">
        <v>0</v>
      </c>
    </row>
    <row r="2427" spans="1:14" x14ac:dyDescent="0.25">
      <c r="A2427">
        <v>1678.1069259999999</v>
      </c>
      <c r="B2427" s="1">
        <f>DATE(2014,12,4) + TIME(2,33,58)</f>
        <v>41977.106921296298</v>
      </c>
      <c r="C2427">
        <v>80</v>
      </c>
      <c r="D2427">
        <v>77.802909850999995</v>
      </c>
      <c r="E2427">
        <v>50</v>
      </c>
      <c r="F2427">
        <v>49.981952667000002</v>
      </c>
      <c r="G2427">
        <v>1326.3896483999999</v>
      </c>
      <c r="H2427">
        <v>1323.7061768000001</v>
      </c>
      <c r="I2427">
        <v>1344.2889404</v>
      </c>
      <c r="J2427">
        <v>1340.0129394999999</v>
      </c>
      <c r="K2427">
        <v>0</v>
      </c>
      <c r="L2427">
        <v>2400</v>
      </c>
      <c r="M2427">
        <v>2400</v>
      </c>
      <c r="N2427">
        <v>0</v>
      </c>
    </row>
    <row r="2428" spans="1:14" x14ac:dyDescent="0.25">
      <c r="A2428">
        <v>1679.2089450000001</v>
      </c>
      <c r="B2428" s="1">
        <f>DATE(2014,12,5) + TIME(5,0,52)</f>
        <v>41978.208935185183</v>
      </c>
      <c r="C2428">
        <v>80</v>
      </c>
      <c r="D2428">
        <v>77.749633789000001</v>
      </c>
      <c r="E2428">
        <v>50</v>
      </c>
      <c r="F2428">
        <v>49.981945037999999</v>
      </c>
      <c r="G2428">
        <v>1326.3488769999999</v>
      </c>
      <c r="H2428">
        <v>1323.6491699000001</v>
      </c>
      <c r="I2428">
        <v>1344.2827147999999</v>
      </c>
      <c r="J2428">
        <v>1340.0100098</v>
      </c>
      <c r="K2428">
        <v>0</v>
      </c>
      <c r="L2428">
        <v>2400</v>
      </c>
      <c r="M2428">
        <v>2400</v>
      </c>
      <c r="N2428">
        <v>0</v>
      </c>
    </row>
    <row r="2429" spans="1:14" x14ac:dyDescent="0.25">
      <c r="A2429">
        <v>1680.347957</v>
      </c>
      <c r="B2429" s="1">
        <f>DATE(2014,12,6) + TIME(8,21,3)</f>
        <v>41979.347951388889</v>
      </c>
      <c r="C2429">
        <v>80</v>
      </c>
      <c r="D2429">
        <v>77.695053100999999</v>
      </c>
      <c r="E2429">
        <v>50</v>
      </c>
      <c r="F2429">
        <v>49.981941223</v>
      </c>
      <c r="G2429">
        <v>1326.3068848</v>
      </c>
      <c r="H2429">
        <v>1323.590332</v>
      </c>
      <c r="I2429">
        <v>1344.2766113</v>
      </c>
      <c r="J2429">
        <v>1340.0069579999999</v>
      </c>
      <c r="K2429">
        <v>0</v>
      </c>
      <c r="L2429">
        <v>2400</v>
      </c>
      <c r="M2429">
        <v>2400</v>
      </c>
      <c r="N2429">
        <v>0</v>
      </c>
    </row>
    <row r="2430" spans="1:14" x14ac:dyDescent="0.25">
      <c r="A2430">
        <v>1681.5275670000001</v>
      </c>
      <c r="B2430" s="1">
        <f>DATE(2014,12,7) + TIME(12,39,41)</f>
        <v>41980.527557870373</v>
      </c>
      <c r="C2430">
        <v>80</v>
      </c>
      <c r="D2430">
        <v>77.639190674000005</v>
      </c>
      <c r="E2430">
        <v>50</v>
      </c>
      <c r="F2430">
        <v>49.981933593999997</v>
      </c>
      <c r="G2430">
        <v>1326.2636719</v>
      </c>
      <c r="H2430">
        <v>1323.5299072</v>
      </c>
      <c r="I2430">
        <v>1344.2705077999999</v>
      </c>
      <c r="J2430">
        <v>1340.0040283000001</v>
      </c>
      <c r="K2430">
        <v>0</v>
      </c>
      <c r="L2430">
        <v>2400</v>
      </c>
      <c r="M2430">
        <v>2400</v>
      </c>
      <c r="N2430">
        <v>0</v>
      </c>
    </row>
    <row r="2431" spans="1:14" x14ac:dyDescent="0.25">
      <c r="A2431">
        <v>1682.7517479999999</v>
      </c>
      <c r="B2431" s="1">
        <f>DATE(2014,12,8) + TIME(18,2,31)</f>
        <v>41981.751747685186</v>
      </c>
      <c r="C2431">
        <v>80</v>
      </c>
      <c r="D2431">
        <v>77.581977843999994</v>
      </c>
      <c r="E2431">
        <v>50</v>
      </c>
      <c r="F2431">
        <v>49.981929778999998</v>
      </c>
      <c r="G2431">
        <v>1326.2192382999999</v>
      </c>
      <c r="H2431">
        <v>1323.4676514</v>
      </c>
      <c r="I2431">
        <v>1344.2642822</v>
      </c>
      <c r="J2431">
        <v>1340.0009766000001</v>
      </c>
      <c r="K2431">
        <v>0</v>
      </c>
      <c r="L2431">
        <v>2400</v>
      </c>
      <c r="M2431">
        <v>2400</v>
      </c>
      <c r="N2431">
        <v>0</v>
      </c>
    </row>
    <row r="2432" spans="1:14" x14ac:dyDescent="0.25">
      <c r="A2432">
        <v>1684.0248939999999</v>
      </c>
      <c r="B2432" s="1">
        <f>DATE(2014,12,10) + TIME(0,35,50)</f>
        <v>41983.024884259263</v>
      </c>
      <c r="C2432">
        <v>80</v>
      </c>
      <c r="D2432">
        <v>77.523292541999993</v>
      </c>
      <c r="E2432">
        <v>50</v>
      </c>
      <c r="F2432">
        <v>49.981922150000003</v>
      </c>
      <c r="G2432">
        <v>1326.1733397999999</v>
      </c>
      <c r="H2432">
        <v>1323.4035644999999</v>
      </c>
      <c r="I2432">
        <v>1344.2580565999999</v>
      </c>
      <c r="J2432">
        <v>1339.9980469</v>
      </c>
      <c r="K2432">
        <v>0</v>
      </c>
      <c r="L2432">
        <v>2400</v>
      </c>
      <c r="M2432">
        <v>2400</v>
      </c>
      <c r="N2432">
        <v>0</v>
      </c>
    </row>
    <row r="2433" spans="1:14" x14ac:dyDescent="0.25">
      <c r="A2433">
        <v>1685.3518979999999</v>
      </c>
      <c r="B2433" s="1">
        <f>DATE(2014,12,11) + TIME(8,26,43)</f>
        <v>41984.351886574077</v>
      </c>
      <c r="C2433">
        <v>80</v>
      </c>
      <c r="D2433">
        <v>77.462982178000004</v>
      </c>
      <c r="E2433">
        <v>50</v>
      </c>
      <c r="F2433">
        <v>49.981918335000003</v>
      </c>
      <c r="G2433">
        <v>1326.1259766000001</v>
      </c>
      <c r="H2433">
        <v>1323.3374022999999</v>
      </c>
      <c r="I2433">
        <v>1344.2518310999999</v>
      </c>
      <c r="J2433">
        <v>1339.9949951000001</v>
      </c>
      <c r="K2433">
        <v>0</v>
      </c>
      <c r="L2433">
        <v>2400</v>
      </c>
      <c r="M2433">
        <v>2400</v>
      </c>
      <c r="N2433">
        <v>0</v>
      </c>
    </row>
    <row r="2434" spans="1:14" x14ac:dyDescent="0.25">
      <c r="A2434">
        <v>1686.7382270000001</v>
      </c>
      <c r="B2434" s="1">
        <f>DATE(2014,12,12) + TIME(17,43,2)</f>
        <v>41985.738217592596</v>
      </c>
      <c r="C2434">
        <v>80</v>
      </c>
      <c r="D2434">
        <v>77.400856017999999</v>
      </c>
      <c r="E2434">
        <v>50</v>
      </c>
      <c r="F2434">
        <v>49.981910706000001</v>
      </c>
      <c r="G2434">
        <v>1326.0769043</v>
      </c>
      <c r="H2434">
        <v>1323.2689209</v>
      </c>
      <c r="I2434">
        <v>1344.2456055</v>
      </c>
      <c r="J2434">
        <v>1339.9920654</v>
      </c>
      <c r="K2434">
        <v>0</v>
      </c>
      <c r="L2434">
        <v>2400</v>
      </c>
      <c r="M2434">
        <v>2400</v>
      </c>
      <c r="N2434">
        <v>0</v>
      </c>
    </row>
    <row r="2435" spans="1:14" x14ac:dyDescent="0.25">
      <c r="A2435">
        <v>1688.174156</v>
      </c>
      <c r="B2435" s="1">
        <f>DATE(2014,12,14) + TIME(4,10,47)</f>
        <v>41987.174155092594</v>
      </c>
      <c r="C2435">
        <v>80</v>
      </c>
      <c r="D2435">
        <v>77.336936950999998</v>
      </c>
      <c r="E2435">
        <v>50</v>
      </c>
      <c r="F2435">
        <v>49.981906891000001</v>
      </c>
      <c r="G2435">
        <v>1326.0262451000001</v>
      </c>
      <c r="H2435">
        <v>1323.1981201000001</v>
      </c>
      <c r="I2435">
        <v>1344.2392577999999</v>
      </c>
      <c r="J2435">
        <v>1339.9890137</v>
      </c>
      <c r="K2435">
        <v>0</v>
      </c>
      <c r="L2435">
        <v>2400</v>
      </c>
      <c r="M2435">
        <v>2400</v>
      </c>
      <c r="N2435">
        <v>0</v>
      </c>
    </row>
    <row r="2436" spans="1:14" x14ac:dyDescent="0.25">
      <c r="A2436">
        <v>1689.6370400000001</v>
      </c>
      <c r="B2436" s="1">
        <f>DATE(2014,12,15) + TIME(15,17,20)</f>
        <v>41988.637037037035</v>
      </c>
      <c r="C2436">
        <v>80</v>
      </c>
      <c r="D2436">
        <v>77.271736145000006</v>
      </c>
      <c r="E2436">
        <v>50</v>
      </c>
      <c r="F2436">
        <v>49.981899261000002</v>
      </c>
      <c r="G2436">
        <v>1325.973999</v>
      </c>
      <c r="H2436">
        <v>1323.1253661999999</v>
      </c>
      <c r="I2436">
        <v>1344.2329102000001</v>
      </c>
      <c r="J2436">
        <v>1339.9860839999999</v>
      </c>
      <c r="K2436">
        <v>0</v>
      </c>
      <c r="L2436">
        <v>2400</v>
      </c>
      <c r="M2436">
        <v>2400</v>
      </c>
      <c r="N2436">
        <v>0</v>
      </c>
    </row>
    <row r="2437" spans="1:14" x14ac:dyDescent="0.25">
      <c r="A2437">
        <v>1691.1310510000001</v>
      </c>
      <c r="B2437" s="1">
        <f>DATE(2014,12,17) + TIME(3,8,42)</f>
        <v>41990.131041666667</v>
      </c>
      <c r="C2437">
        <v>80</v>
      </c>
      <c r="D2437">
        <v>77.205673218000001</v>
      </c>
      <c r="E2437">
        <v>50</v>
      </c>
      <c r="F2437">
        <v>49.981895446999999</v>
      </c>
      <c r="G2437">
        <v>1325.9210204999999</v>
      </c>
      <c r="H2437">
        <v>1323.0513916</v>
      </c>
      <c r="I2437">
        <v>1344.2266846</v>
      </c>
      <c r="J2437">
        <v>1339.9831543</v>
      </c>
      <c r="K2437">
        <v>0</v>
      </c>
      <c r="L2437">
        <v>2400</v>
      </c>
      <c r="M2437">
        <v>2400</v>
      </c>
      <c r="N2437">
        <v>0</v>
      </c>
    </row>
    <row r="2438" spans="1:14" x14ac:dyDescent="0.25">
      <c r="A2438">
        <v>1692.660079</v>
      </c>
      <c r="B2438" s="1">
        <f>DATE(2014,12,18) + TIME(15,50,30)</f>
        <v>41991.660069444442</v>
      </c>
      <c r="C2438">
        <v>80</v>
      </c>
      <c r="D2438">
        <v>77.138778686999999</v>
      </c>
      <c r="E2438">
        <v>50</v>
      </c>
      <c r="F2438">
        <v>49.981891632</v>
      </c>
      <c r="G2438">
        <v>1325.8671875</v>
      </c>
      <c r="H2438">
        <v>1322.9764404</v>
      </c>
      <c r="I2438">
        <v>1344.2204589999999</v>
      </c>
      <c r="J2438">
        <v>1339.9802245999999</v>
      </c>
      <c r="K2438">
        <v>0</v>
      </c>
      <c r="L2438">
        <v>2400</v>
      </c>
      <c r="M2438">
        <v>2400</v>
      </c>
      <c r="N2438">
        <v>0</v>
      </c>
    </row>
    <row r="2439" spans="1:14" x14ac:dyDescent="0.25">
      <c r="A2439">
        <v>1694.2283910000001</v>
      </c>
      <c r="B2439" s="1">
        <f>DATE(2014,12,20) + TIME(5,28,52)</f>
        <v>41993.228379629632</v>
      </c>
      <c r="C2439">
        <v>80</v>
      </c>
      <c r="D2439">
        <v>77.070930481000005</v>
      </c>
      <c r="E2439">
        <v>50</v>
      </c>
      <c r="F2439">
        <v>49.981887817</v>
      </c>
      <c r="G2439">
        <v>1325.8126221</v>
      </c>
      <c r="H2439">
        <v>1322.9003906</v>
      </c>
      <c r="I2439">
        <v>1344.2142334</v>
      </c>
      <c r="J2439">
        <v>1339.9774170000001</v>
      </c>
      <c r="K2439">
        <v>0</v>
      </c>
      <c r="L2439">
        <v>2400</v>
      </c>
      <c r="M2439">
        <v>2400</v>
      </c>
      <c r="N2439">
        <v>0</v>
      </c>
    </row>
    <row r="2440" spans="1:14" x14ac:dyDescent="0.25">
      <c r="A2440">
        <v>1695.840588</v>
      </c>
      <c r="B2440" s="1">
        <f>DATE(2014,12,21) + TIME(20,10,26)</f>
        <v>41994.840578703705</v>
      </c>
      <c r="C2440">
        <v>80</v>
      </c>
      <c r="D2440">
        <v>77.001930236999996</v>
      </c>
      <c r="E2440">
        <v>50</v>
      </c>
      <c r="F2440">
        <v>49.981884002999998</v>
      </c>
      <c r="G2440">
        <v>1325.7570800999999</v>
      </c>
      <c r="H2440">
        <v>1322.8229980000001</v>
      </c>
      <c r="I2440">
        <v>1344.2081298999999</v>
      </c>
      <c r="J2440">
        <v>1339.9746094</v>
      </c>
      <c r="K2440">
        <v>0</v>
      </c>
      <c r="L2440">
        <v>2400</v>
      </c>
      <c r="M2440">
        <v>2400</v>
      </c>
      <c r="N2440">
        <v>0</v>
      </c>
    </row>
    <row r="2441" spans="1:14" x14ac:dyDescent="0.25">
      <c r="A2441">
        <v>1697.501743</v>
      </c>
      <c r="B2441" s="1">
        <f>DATE(2014,12,23) + TIME(12,2,30)</f>
        <v>41996.501736111109</v>
      </c>
      <c r="C2441">
        <v>80</v>
      </c>
      <c r="D2441">
        <v>76.931556701999995</v>
      </c>
      <c r="E2441">
        <v>50</v>
      </c>
      <c r="F2441">
        <v>49.981880187999998</v>
      </c>
      <c r="G2441">
        <v>1325.7005615</v>
      </c>
      <c r="H2441">
        <v>1322.7443848</v>
      </c>
      <c r="I2441">
        <v>1344.2021483999999</v>
      </c>
      <c r="J2441">
        <v>1339.9719238</v>
      </c>
      <c r="K2441">
        <v>0</v>
      </c>
      <c r="L2441">
        <v>2400</v>
      </c>
      <c r="M2441">
        <v>2400</v>
      </c>
      <c r="N2441">
        <v>0</v>
      </c>
    </row>
    <row r="2442" spans="1:14" x14ac:dyDescent="0.25">
      <c r="A2442">
        <v>1699.216739</v>
      </c>
      <c r="B2442" s="1">
        <f>DATE(2014,12,25) + TIME(5,12,6)</f>
        <v>41998.216736111113</v>
      </c>
      <c r="C2442">
        <v>80</v>
      </c>
      <c r="D2442">
        <v>76.859573363999999</v>
      </c>
      <c r="E2442">
        <v>50</v>
      </c>
      <c r="F2442">
        <v>49.981876372999999</v>
      </c>
      <c r="G2442">
        <v>1325.6429443</v>
      </c>
      <c r="H2442">
        <v>1322.6641846</v>
      </c>
      <c r="I2442">
        <v>1344.1960449000001</v>
      </c>
      <c r="J2442">
        <v>1339.9691161999999</v>
      </c>
      <c r="K2442">
        <v>0</v>
      </c>
      <c r="L2442">
        <v>2400</v>
      </c>
      <c r="M2442">
        <v>2400</v>
      </c>
      <c r="N2442">
        <v>0</v>
      </c>
    </row>
    <row r="2443" spans="1:14" x14ac:dyDescent="0.25">
      <c r="A2443">
        <v>1700.991012</v>
      </c>
      <c r="B2443" s="1">
        <f>DATE(2014,12,26) + TIME(23,47,3)</f>
        <v>41999.991006944445</v>
      </c>
      <c r="C2443">
        <v>80</v>
      </c>
      <c r="D2443">
        <v>76.785713196000003</v>
      </c>
      <c r="E2443">
        <v>50</v>
      </c>
      <c r="F2443">
        <v>49.981872559000003</v>
      </c>
      <c r="G2443">
        <v>1325.5839844</v>
      </c>
      <c r="H2443">
        <v>1322.5822754000001</v>
      </c>
      <c r="I2443">
        <v>1344.1899414</v>
      </c>
      <c r="J2443">
        <v>1339.9663086</v>
      </c>
      <c r="K2443">
        <v>0</v>
      </c>
      <c r="L2443">
        <v>2400</v>
      </c>
      <c r="M2443">
        <v>2400</v>
      </c>
      <c r="N2443">
        <v>0</v>
      </c>
    </row>
    <row r="2444" spans="1:14" x14ac:dyDescent="0.25">
      <c r="A2444">
        <v>1702.830997</v>
      </c>
      <c r="B2444" s="1">
        <f>DATE(2014,12,28) + TIME(19,56,38)</f>
        <v>42001.830995370372</v>
      </c>
      <c r="C2444">
        <v>80</v>
      </c>
      <c r="D2444">
        <v>76.709709167</v>
      </c>
      <c r="E2444">
        <v>50</v>
      </c>
      <c r="F2444">
        <v>49.981868744000003</v>
      </c>
      <c r="G2444">
        <v>1325.5236815999999</v>
      </c>
      <c r="H2444">
        <v>1322.4985352000001</v>
      </c>
      <c r="I2444">
        <v>1344.1838379000001</v>
      </c>
      <c r="J2444">
        <v>1339.9636230000001</v>
      </c>
      <c r="K2444">
        <v>0</v>
      </c>
      <c r="L2444">
        <v>2400</v>
      </c>
      <c r="M2444">
        <v>2400</v>
      </c>
      <c r="N2444">
        <v>0</v>
      </c>
    </row>
    <row r="2445" spans="1:14" x14ac:dyDescent="0.25">
      <c r="A2445">
        <v>1704.7438279999999</v>
      </c>
      <c r="B2445" s="1">
        <f>DATE(2014,12,30) + TIME(17,51,6)</f>
        <v>42003.743819444448</v>
      </c>
      <c r="C2445">
        <v>80</v>
      </c>
      <c r="D2445">
        <v>76.631217957000004</v>
      </c>
      <c r="E2445">
        <v>50</v>
      </c>
      <c r="F2445">
        <v>49.981864928999997</v>
      </c>
      <c r="G2445">
        <v>1325.4617920000001</v>
      </c>
      <c r="H2445">
        <v>1322.4127197</v>
      </c>
      <c r="I2445">
        <v>1344.1776123</v>
      </c>
      <c r="J2445">
        <v>1339.9608154</v>
      </c>
      <c r="K2445">
        <v>0</v>
      </c>
      <c r="L2445">
        <v>2400</v>
      </c>
      <c r="M2445">
        <v>2400</v>
      </c>
      <c r="N2445">
        <v>0</v>
      </c>
    </row>
    <row r="2446" spans="1:14" x14ac:dyDescent="0.25">
      <c r="A2446">
        <v>1706</v>
      </c>
      <c r="B2446" s="1">
        <f>DATE(2015,1,1) + TIME(0,0,0)</f>
        <v>42005</v>
      </c>
      <c r="C2446">
        <v>80</v>
      </c>
      <c r="D2446">
        <v>76.560684203999998</v>
      </c>
      <c r="E2446">
        <v>50</v>
      </c>
      <c r="F2446">
        <v>49.981861115000001</v>
      </c>
      <c r="G2446">
        <v>1325.3999022999999</v>
      </c>
      <c r="H2446">
        <v>1322.3277588000001</v>
      </c>
      <c r="I2446">
        <v>1344.1713867000001</v>
      </c>
      <c r="J2446">
        <v>1339.9580077999999</v>
      </c>
      <c r="K2446">
        <v>0</v>
      </c>
      <c r="L2446">
        <v>2400</v>
      </c>
      <c r="M2446">
        <v>2400</v>
      </c>
      <c r="N2446">
        <v>0</v>
      </c>
    </row>
    <row r="2447" spans="1:14" x14ac:dyDescent="0.25">
      <c r="A2447">
        <v>1707.986414</v>
      </c>
      <c r="B2447" s="1">
        <f>DATE(2015,1,2) + TIME(23,40,26)</f>
        <v>42006.98641203704</v>
      </c>
      <c r="C2447">
        <v>80</v>
      </c>
      <c r="D2447">
        <v>76.492172241000006</v>
      </c>
      <c r="E2447">
        <v>50</v>
      </c>
      <c r="F2447">
        <v>49.981861115000001</v>
      </c>
      <c r="G2447">
        <v>1325.3518065999999</v>
      </c>
      <c r="H2447">
        <v>1322.2585449000001</v>
      </c>
      <c r="I2447">
        <v>1344.1674805</v>
      </c>
      <c r="J2447">
        <v>1339.9562988</v>
      </c>
      <c r="K2447">
        <v>0</v>
      </c>
      <c r="L2447">
        <v>2400</v>
      </c>
      <c r="M2447">
        <v>2400</v>
      </c>
      <c r="N2447">
        <v>0</v>
      </c>
    </row>
    <row r="2448" spans="1:14" x14ac:dyDescent="0.25">
      <c r="A2448">
        <v>1710.1203820000001</v>
      </c>
      <c r="B2448" s="1">
        <f>DATE(2015,1,5) + TIME(2,53,21)</f>
        <v>42009.120381944442</v>
      </c>
      <c r="C2448">
        <v>80</v>
      </c>
      <c r="D2448">
        <v>76.410644531000003</v>
      </c>
      <c r="E2448">
        <v>50</v>
      </c>
      <c r="F2448">
        <v>49.981861115000001</v>
      </c>
      <c r="G2448">
        <v>1325.2901611</v>
      </c>
      <c r="H2448">
        <v>1322.1741943</v>
      </c>
      <c r="I2448">
        <v>1344.1612548999999</v>
      </c>
      <c r="J2448">
        <v>1339.9536132999999</v>
      </c>
      <c r="K2448">
        <v>0</v>
      </c>
      <c r="L2448">
        <v>2400</v>
      </c>
      <c r="M2448">
        <v>2400</v>
      </c>
      <c r="N2448">
        <v>0</v>
      </c>
    </row>
    <row r="2449" spans="1:14" x14ac:dyDescent="0.25">
      <c r="A2449">
        <v>1712.3141439999999</v>
      </c>
      <c r="B2449" s="1">
        <f>DATE(2015,1,7) + TIME(7,32,22)</f>
        <v>42011.314143518517</v>
      </c>
      <c r="C2449">
        <v>80</v>
      </c>
      <c r="D2449">
        <v>76.321777343999997</v>
      </c>
      <c r="E2449">
        <v>50</v>
      </c>
      <c r="F2449">
        <v>49.981857300000001</v>
      </c>
      <c r="G2449">
        <v>1325.2229004000001</v>
      </c>
      <c r="H2449">
        <v>1322.0814209</v>
      </c>
      <c r="I2449">
        <v>1344.1549072</v>
      </c>
      <c r="J2449">
        <v>1339.9506836</v>
      </c>
      <c r="K2449">
        <v>0</v>
      </c>
      <c r="L2449">
        <v>2400</v>
      </c>
      <c r="M2449">
        <v>2400</v>
      </c>
      <c r="N2449">
        <v>0</v>
      </c>
    </row>
    <row r="2450" spans="1:14" x14ac:dyDescent="0.25">
      <c r="A2450">
        <v>1714.556877</v>
      </c>
      <c r="B2450" s="1">
        <f>DATE(2015,1,9) + TIME(13,21,54)</f>
        <v>42013.556875000002</v>
      </c>
      <c r="C2450">
        <v>80</v>
      </c>
      <c r="D2450">
        <v>76.229118346999996</v>
      </c>
      <c r="E2450">
        <v>50</v>
      </c>
      <c r="F2450">
        <v>49.981857300000001</v>
      </c>
      <c r="G2450">
        <v>1325.1531981999999</v>
      </c>
      <c r="H2450">
        <v>1321.9852295000001</v>
      </c>
      <c r="I2450">
        <v>1344.1484375</v>
      </c>
      <c r="J2450">
        <v>1339.947876</v>
      </c>
      <c r="K2450">
        <v>0</v>
      </c>
      <c r="L2450">
        <v>2400</v>
      </c>
      <c r="M2450">
        <v>2400</v>
      </c>
      <c r="N2450">
        <v>0</v>
      </c>
    </row>
    <row r="2451" spans="1:14" x14ac:dyDescent="0.25">
      <c r="A2451">
        <v>1716.867358</v>
      </c>
      <c r="B2451" s="1">
        <f>DATE(2015,1,11) + TIME(20,48,59)</f>
        <v>42015.867349537039</v>
      </c>
      <c r="C2451">
        <v>80</v>
      </c>
      <c r="D2451">
        <v>76.133537292</v>
      </c>
      <c r="E2451">
        <v>50</v>
      </c>
      <c r="F2451">
        <v>49.981853485000002</v>
      </c>
      <c r="G2451">
        <v>1325.0825195</v>
      </c>
      <c r="H2451">
        <v>1321.887207</v>
      </c>
      <c r="I2451">
        <v>1344.1419678</v>
      </c>
      <c r="J2451">
        <v>1339.9450684000001</v>
      </c>
      <c r="K2451">
        <v>0</v>
      </c>
      <c r="L2451">
        <v>2400</v>
      </c>
      <c r="M2451">
        <v>2400</v>
      </c>
      <c r="N2451">
        <v>0</v>
      </c>
    </row>
    <row r="2452" spans="1:14" x14ac:dyDescent="0.25">
      <c r="A2452">
        <v>1719.195596</v>
      </c>
      <c r="B2452" s="1">
        <f>DATE(2015,1,14) + TIME(4,41,39)</f>
        <v>42018.195590277777</v>
      </c>
      <c r="C2452">
        <v>80</v>
      </c>
      <c r="D2452">
        <v>76.035140991000006</v>
      </c>
      <c r="E2452">
        <v>50</v>
      </c>
      <c r="F2452">
        <v>49.981853485000002</v>
      </c>
      <c r="G2452">
        <v>1325.0106201000001</v>
      </c>
      <c r="H2452">
        <v>1321.7879639</v>
      </c>
      <c r="I2452">
        <v>1344.1356201000001</v>
      </c>
      <c r="J2452">
        <v>1339.9422606999999</v>
      </c>
      <c r="K2452">
        <v>0</v>
      </c>
      <c r="L2452">
        <v>2400</v>
      </c>
      <c r="M2452">
        <v>2400</v>
      </c>
      <c r="N2452">
        <v>0</v>
      </c>
    </row>
    <row r="2453" spans="1:14" x14ac:dyDescent="0.25">
      <c r="A2453">
        <v>1721.5519159999999</v>
      </c>
      <c r="B2453" s="1">
        <f>DATE(2015,1,16) + TIME(13,14,45)</f>
        <v>42020.55190972222</v>
      </c>
      <c r="C2453">
        <v>80</v>
      </c>
      <c r="D2453">
        <v>75.934921265</v>
      </c>
      <c r="E2453">
        <v>50</v>
      </c>
      <c r="F2453">
        <v>49.981853485000002</v>
      </c>
      <c r="G2453">
        <v>1324.9387207</v>
      </c>
      <c r="H2453">
        <v>1321.6884766000001</v>
      </c>
      <c r="I2453">
        <v>1344.1292725000001</v>
      </c>
      <c r="J2453">
        <v>1339.9394531</v>
      </c>
      <c r="K2453">
        <v>0</v>
      </c>
      <c r="L2453">
        <v>2400</v>
      </c>
      <c r="M2453">
        <v>2400</v>
      </c>
      <c r="N2453">
        <v>0</v>
      </c>
    </row>
    <row r="2454" spans="1:14" x14ac:dyDescent="0.25">
      <c r="A2454">
        <v>1723.9603199999999</v>
      </c>
      <c r="B2454" s="1">
        <f>DATE(2015,1,18) + TIME(23,2,51)</f>
        <v>42022.960312499999</v>
      </c>
      <c r="C2454">
        <v>80</v>
      </c>
      <c r="D2454">
        <v>75.832527161000002</v>
      </c>
      <c r="E2454">
        <v>50</v>
      </c>
      <c r="F2454">
        <v>49.981853485000002</v>
      </c>
      <c r="G2454">
        <v>1324.8669434000001</v>
      </c>
      <c r="H2454">
        <v>1321.5891113</v>
      </c>
      <c r="I2454">
        <v>1344.1230469</v>
      </c>
      <c r="J2454">
        <v>1339.9367675999999</v>
      </c>
      <c r="K2454">
        <v>0</v>
      </c>
      <c r="L2454">
        <v>2400</v>
      </c>
      <c r="M2454">
        <v>2400</v>
      </c>
      <c r="N2454">
        <v>0</v>
      </c>
    </row>
    <row r="2455" spans="1:14" x14ac:dyDescent="0.25">
      <c r="A2455">
        <v>1726.4407570000001</v>
      </c>
      <c r="B2455" s="1">
        <f>DATE(2015,1,21) + TIME(10,34,41)</f>
        <v>42025.440752314818</v>
      </c>
      <c r="C2455">
        <v>80</v>
      </c>
      <c r="D2455">
        <v>75.726974487000007</v>
      </c>
      <c r="E2455">
        <v>50</v>
      </c>
      <c r="F2455">
        <v>49.981853485000002</v>
      </c>
      <c r="G2455">
        <v>1324.7946777</v>
      </c>
      <c r="H2455">
        <v>1321.4892577999999</v>
      </c>
      <c r="I2455">
        <v>1344.1168213000001</v>
      </c>
      <c r="J2455">
        <v>1339.934082</v>
      </c>
      <c r="K2455">
        <v>0</v>
      </c>
      <c r="L2455">
        <v>2400</v>
      </c>
      <c r="M2455">
        <v>2400</v>
      </c>
      <c r="N2455">
        <v>0</v>
      </c>
    </row>
    <row r="2456" spans="1:14" x14ac:dyDescent="0.25">
      <c r="A2456">
        <v>1729.0138260000001</v>
      </c>
      <c r="B2456" s="1">
        <f>DATE(2015,1,24) + TIME(0,19,54)</f>
        <v>42028.013819444444</v>
      </c>
      <c r="C2456">
        <v>80</v>
      </c>
      <c r="D2456">
        <v>75.617233275999993</v>
      </c>
      <c r="E2456">
        <v>50</v>
      </c>
      <c r="F2456">
        <v>49.981853485000002</v>
      </c>
      <c r="G2456">
        <v>1324.7214355000001</v>
      </c>
      <c r="H2456">
        <v>1321.3883057</v>
      </c>
      <c r="I2456">
        <v>1344.1105957</v>
      </c>
      <c r="J2456">
        <v>1339.9312743999999</v>
      </c>
      <c r="K2456">
        <v>0</v>
      </c>
      <c r="L2456">
        <v>2400</v>
      </c>
      <c r="M2456">
        <v>2400</v>
      </c>
      <c r="N2456">
        <v>0</v>
      </c>
    </row>
    <row r="2457" spans="1:14" x14ac:dyDescent="0.25">
      <c r="A2457">
        <v>1731.659862</v>
      </c>
      <c r="B2457" s="1">
        <f>DATE(2015,1,26) + TIME(15,50,12)</f>
        <v>42030.659861111111</v>
      </c>
      <c r="C2457">
        <v>80</v>
      </c>
      <c r="D2457">
        <v>75.502510071000003</v>
      </c>
      <c r="E2457">
        <v>50</v>
      </c>
      <c r="F2457">
        <v>49.981853485000002</v>
      </c>
      <c r="G2457">
        <v>1324.6468506000001</v>
      </c>
      <c r="H2457">
        <v>1321.2855225000001</v>
      </c>
      <c r="I2457">
        <v>1344.1042480000001</v>
      </c>
      <c r="J2457">
        <v>1339.9284668</v>
      </c>
      <c r="K2457">
        <v>0</v>
      </c>
      <c r="L2457">
        <v>2400</v>
      </c>
      <c r="M2457">
        <v>2400</v>
      </c>
      <c r="N2457">
        <v>0</v>
      </c>
    </row>
    <row r="2458" spans="1:14" x14ac:dyDescent="0.25">
      <c r="A2458">
        <v>1734.3665060000001</v>
      </c>
      <c r="B2458" s="1">
        <f>DATE(2015,1,29) + TIME(8,47,46)</f>
        <v>42033.36650462963</v>
      </c>
      <c r="C2458">
        <v>80</v>
      </c>
      <c r="D2458">
        <v>75.383087157999995</v>
      </c>
      <c r="E2458">
        <v>50</v>
      </c>
      <c r="F2458">
        <v>49.981853485000002</v>
      </c>
      <c r="G2458">
        <v>1324.5711670000001</v>
      </c>
      <c r="H2458">
        <v>1321.1811522999999</v>
      </c>
      <c r="I2458">
        <v>1344.0979004000001</v>
      </c>
      <c r="J2458">
        <v>1339.9256591999999</v>
      </c>
      <c r="K2458">
        <v>0</v>
      </c>
      <c r="L2458">
        <v>2400</v>
      </c>
      <c r="M2458">
        <v>2400</v>
      </c>
      <c r="N2458">
        <v>0</v>
      </c>
    </row>
    <row r="2459" spans="1:14" x14ac:dyDescent="0.25">
      <c r="A2459">
        <v>1737</v>
      </c>
      <c r="B2459" s="1">
        <f>DATE(2015,2,1) + TIME(0,0,0)</f>
        <v>42036</v>
      </c>
      <c r="C2459">
        <v>80</v>
      </c>
      <c r="D2459">
        <v>75.260368346999996</v>
      </c>
      <c r="E2459">
        <v>50</v>
      </c>
      <c r="F2459">
        <v>49.981853485000002</v>
      </c>
      <c r="G2459">
        <v>1324.4949951000001</v>
      </c>
      <c r="H2459">
        <v>1321.0761719</v>
      </c>
      <c r="I2459">
        <v>1344.0914307</v>
      </c>
      <c r="J2459">
        <v>1339.9228516000001</v>
      </c>
      <c r="K2459">
        <v>0</v>
      </c>
      <c r="L2459">
        <v>2400</v>
      </c>
      <c r="M2459">
        <v>2400</v>
      </c>
      <c r="N2459">
        <v>0</v>
      </c>
    </row>
    <row r="2460" spans="1:14" x14ac:dyDescent="0.25">
      <c r="A2460">
        <v>1739.7902899999999</v>
      </c>
      <c r="B2460" s="1">
        <f>DATE(2015,2,3) + TIME(18,58,1)</f>
        <v>42038.790289351855</v>
      </c>
      <c r="C2460">
        <v>80</v>
      </c>
      <c r="D2460">
        <v>75.136329650999997</v>
      </c>
      <c r="E2460">
        <v>50</v>
      </c>
      <c r="F2460">
        <v>49.981857300000001</v>
      </c>
      <c r="G2460">
        <v>1324.4207764</v>
      </c>
      <c r="H2460">
        <v>1320.9735106999999</v>
      </c>
      <c r="I2460">
        <v>1344.0853271000001</v>
      </c>
      <c r="J2460">
        <v>1339.9200439000001</v>
      </c>
      <c r="K2460">
        <v>0</v>
      </c>
      <c r="L2460">
        <v>2400</v>
      </c>
      <c r="M2460">
        <v>2400</v>
      </c>
      <c r="N2460">
        <v>0</v>
      </c>
    </row>
    <row r="2461" spans="1:14" x14ac:dyDescent="0.25">
      <c r="A2461">
        <v>1742.717273</v>
      </c>
      <c r="B2461" s="1">
        <f>DATE(2015,2,6) + TIME(17,12,52)</f>
        <v>42041.717268518521</v>
      </c>
      <c r="C2461">
        <v>80</v>
      </c>
      <c r="D2461">
        <v>75.004859924000002</v>
      </c>
      <c r="E2461">
        <v>50</v>
      </c>
      <c r="F2461">
        <v>49.981857300000001</v>
      </c>
      <c r="G2461">
        <v>1324.3448486</v>
      </c>
      <c r="H2461">
        <v>1320.8691406</v>
      </c>
      <c r="I2461">
        <v>1344.0789795000001</v>
      </c>
      <c r="J2461">
        <v>1339.9172363</v>
      </c>
      <c r="K2461">
        <v>0</v>
      </c>
      <c r="L2461">
        <v>2400</v>
      </c>
      <c r="M2461">
        <v>2400</v>
      </c>
      <c r="N2461">
        <v>0</v>
      </c>
    </row>
    <row r="2462" spans="1:14" x14ac:dyDescent="0.25">
      <c r="A2462">
        <v>1745.6816200000001</v>
      </c>
      <c r="B2462" s="1">
        <f>DATE(2015,2,9) + TIME(16,21,31)</f>
        <v>42044.681608796294</v>
      </c>
      <c r="C2462">
        <v>80</v>
      </c>
      <c r="D2462">
        <v>74.865562439000001</v>
      </c>
      <c r="E2462">
        <v>50</v>
      </c>
      <c r="F2462">
        <v>49.981861115000001</v>
      </c>
      <c r="G2462">
        <v>1324.2666016000001</v>
      </c>
      <c r="H2462">
        <v>1320.7618408000001</v>
      </c>
      <c r="I2462">
        <v>1344.0725098</v>
      </c>
      <c r="J2462">
        <v>1339.9143065999999</v>
      </c>
      <c r="K2462">
        <v>0</v>
      </c>
      <c r="L2462">
        <v>2400</v>
      </c>
      <c r="M2462">
        <v>2400</v>
      </c>
      <c r="N2462">
        <v>0</v>
      </c>
    </row>
    <row r="2463" spans="1:14" x14ac:dyDescent="0.25">
      <c r="A2463">
        <v>1748.705588</v>
      </c>
      <c r="B2463" s="1">
        <f>DATE(2015,2,12) + TIME(16,56,2)</f>
        <v>42047.705578703702</v>
      </c>
      <c r="C2463">
        <v>80</v>
      </c>
      <c r="D2463">
        <v>74.721229553000001</v>
      </c>
      <c r="E2463">
        <v>50</v>
      </c>
      <c r="F2463">
        <v>49.981864928999997</v>
      </c>
      <c r="G2463">
        <v>1324.1881103999999</v>
      </c>
      <c r="H2463">
        <v>1320.6538086</v>
      </c>
      <c r="I2463">
        <v>1344.065918</v>
      </c>
      <c r="J2463">
        <v>1339.9112548999999</v>
      </c>
      <c r="K2463">
        <v>0</v>
      </c>
      <c r="L2463">
        <v>2400</v>
      </c>
      <c r="M2463">
        <v>2400</v>
      </c>
      <c r="N2463">
        <v>0</v>
      </c>
    </row>
    <row r="2464" spans="1:14" x14ac:dyDescent="0.25">
      <c r="A2464">
        <v>1751.8295350000001</v>
      </c>
      <c r="B2464" s="1">
        <f>DATE(2015,2,15) + TIME(19,54,31)</f>
        <v>42050.829525462963</v>
      </c>
      <c r="C2464">
        <v>80</v>
      </c>
      <c r="D2464">
        <v>74.571220397999994</v>
      </c>
      <c r="E2464">
        <v>50</v>
      </c>
      <c r="F2464">
        <v>49.981868744000003</v>
      </c>
      <c r="G2464">
        <v>1324.109375</v>
      </c>
      <c r="H2464">
        <v>1320.5454102000001</v>
      </c>
      <c r="I2464">
        <v>1344.0594481999999</v>
      </c>
      <c r="J2464">
        <v>1339.9083252</v>
      </c>
      <c r="K2464">
        <v>0</v>
      </c>
      <c r="L2464">
        <v>2400</v>
      </c>
      <c r="M2464">
        <v>2400</v>
      </c>
      <c r="N2464">
        <v>0</v>
      </c>
    </row>
    <row r="2465" spans="1:14" x14ac:dyDescent="0.25">
      <c r="A2465">
        <v>1755.014222</v>
      </c>
      <c r="B2465" s="1">
        <f>DATE(2015,2,19) + TIME(0,20,28)</f>
        <v>42054.01421296296</v>
      </c>
      <c r="C2465">
        <v>80</v>
      </c>
      <c r="D2465">
        <v>74.414184570000003</v>
      </c>
      <c r="E2465">
        <v>50</v>
      </c>
      <c r="F2465">
        <v>49.981868744000003</v>
      </c>
      <c r="G2465">
        <v>1324.0296631000001</v>
      </c>
      <c r="H2465">
        <v>1320.4360352000001</v>
      </c>
      <c r="I2465">
        <v>1344.0527344</v>
      </c>
      <c r="J2465">
        <v>1339.9052733999999</v>
      </c>
      <c r="K2465">
        <v>0</v>
      </c>
      <c r="L2465">
        <v>2400</v>
      </c>
      <c r="M2465">
        <v>2400</v>
      </c>
      <c r="N2465">
        <v>0</v>
      </c>
    </row>
    <row r="2466" spans="1:14" x14ac:dyDescent="0.25">
      <c r="A2466">
        <v>1758.2759920000001</v>
      </c>
      <c r="B2466" s="1">
        <f>DATE(2015,2,22) + TIME(6,37,25)</f>
        <v>42057.275983796295</v>
      </c>
      <c r="C2466">
        <v>80</v>
      </c>
      <c r="D2466">
        <v>74.250785828000005</v>
      </c>
      <c r="E2466">
        <v>50</v>
      </c>
      <c r="F2466">
        <v>49.981872559000003</v>
      </c>
      <c r="G2466">
        <v>1323.949707</v>
      </c>
      <c r="H2466">
        <v>1320.3261719</v>
      </c>
      <c r="I2466">
        <v>1344.0461425999999</v>
      </c>
      <c r="J2466">
        <v>1339.9020995999999</v>
      </c>
      <c r="K2466">
        <v>0</v>
      </c>
      <c r="L2466">
        <v>2400</v>
      </c>
      <c r="M2466">
        <v>2400</v>
      </c>
      <c r="N2466">
        <v>0</v>
      </c>
    </row>
    <row r="2467" spans="1:14" x14ac:dyDescent="0.25">
      <c r="A2467">
        <v>1761.6428450000001</v>
      </c>
      <c r="B2467" s="1">
        <f>DATE(2015,2,25) + TIME(15,25,41)</f>
        <v>42060.642835648148</v>
      </c>
      <c r="C2467">
        <v>80</v>
      </c>
      <c r="D2467">
        <v>74.080230713000006</v>
      </c>
      <c r="E2467">
        <v>50</v>
      </c>
      <c r="F2467">
        <v>49.981880187999998</v>
      </c>
      <c r="G2467">
        <v>1323.8693848</v>
      </c>
      <c r="H2467">
        <v>1320.2158202999999</v>
      </c>
      <c r="I2467">
        <v>1344.0394286999999</v>
      </c>
      <c r="J2467">
        <v>1339.8989257999999</v>
      </c>
      <c r="K2467">
        <v>0</v>
      </c>
      <c r="L2467">
        <v>2400</v>
      </c>
      <c r="M2467">
        <v>2400</v>
      </c>
      <c r="N2467">
        <v>0</v>
      </c>
    </row>
    <row r="2468" spans="1:14" x14ac:dyDescent="0.25">
      <c r="A2468">
        <v>1765</v>
      </c>
      <c r="B2468" s="1">
        <f>DATE(2015,3,1) + TIME(0,0,0)</f>
        <v>42064</v>
      </c>
      <c r="C2468">
        <v>80</v>
      </c>
      <c r="D2468">
        <v>73.902000427000004</v>
      </c>
      <c r="E2468">
        <v>50</v>
      </c>
      <c r="F2468">
        <v>49.981884002999998</v>
      </c>
      <c r="G2468">
        <v>1323.7880858999999</v>
      </c>
      <c r="H2468">
        <v>1320.1044922000001</v>
      </c>
      <c r="I2468">
        <v>1344.0325928</v>
      </c>
      <c r="J2468">
        <v>1339.8956298999999</v>
      </c>
      <c r="K2468">
        <v>0</v>
      </c>
      <c r="L2468">
        <v>2400</v>
      </c>
      <c r="M2468">
        <v>2400</v>
      </c>
      <c r="N2468">
        <v>0</v>
      </c>
    </row>
    <row r="2469" spans="1:14" x14ac:dyDescent="0.25">
      <c r="A2469">
        <v>1768.503123</v>
      </c>
      <c r="B2469" s="1">
        <f>DATE(2015,3,4) + TIME(12,4,29)</f>
        <v>42067.503113425926</v>
      </c>
      <c r="C2469">
        <v>80</v>
      </c>
      <c r="D2469">
        <v>73.718894958000007</v>
      </c>
      <c r="E2469">
        <v>50</v>
      </c>
      <c r="F2469">
        <v>49.981887817</v>
      </c>
      <c r="G2469">
        <v>1323.7078856999999</v>
      </c>
      <c r="H2469">
        <v>1319.9942627</v>
      </c>
      <c r="I2469">
        <v>1344.0258789</v>
      </c>
      <c r="J2469">
        <v>1339.8923339999999</v>
      </c>
      <c r="K2469">
        <v>0</v>
      </c>
      <c r="L2469">
        <v>2400</v>
      </c>
      <c r="M2469">
        <v>2400</v>
      </c>
      <c r="N2469">
        <v>0</v>
      </c>
    </row>
    <row r="2470" spans="1:14" x14ac:dyDescent="0.25">
      <c r="A2470">
        <v>1772.20715</v>
      </c>
      <c r="B2470" s="1">
        <f>DATE(2015,3,8) + TIME(4,58,17)</f>
        <v>42071.207141203704</v>
      </c>
      <c r="C2470">
        <v>80</v>
      </c>
      <c r="D2470">
        <v>73.524894713999998</v>
      </c>
      <c r="E2470">
        <v>50</v>
      </c>
      <c r="F2470">
        <v>49.981895446999999</v>
      </c>
      <c r="G2470">
        <v>1323.6267089999999</v>
      </c>
      <c r="H2470">
        <v>1319.8828125</v>
      </c>
      <c r="I2470">
        <v>1344.0189209</v>
      </c>
      <c r="J2470">
        <v>1339.8889160000001</v>
      </c>
      <c r="K2470">
        <v>0</v>
      </c>
      <c r="L2470">
        <v>2400</v>
      </c>
      <c r="M2470">
        <v>2400</v>
      </c>
      <c r="N2470">
        <v>0</v>
      </c>
    </row>
    <row r="2471" spans="1:14" x14ac:dyDescent="0.25">
      <c r="A2471">
        <v>1775.927379</v>
      </c>
      <c r="B2471" s="1">
        <f>DATE(2015,3,11) + TIME(22,15,25)</f>
        <v>42074.927372685182</v>
      </c>
      <c r="C2471">
        <v>80</v>
      </c>
      <c r="D2471">
        <v>73.317764281999999</v>
      </c>
      <c r="E2471">
        <v>50</v>
      </c>
      <c r="F2471">
        <v>49.981899261000002</v>
      </c>
      <c r="G2471">
        <v>1323.5429687999999</v>
      </c>
      <c r="H2471">
        <v>1319.7684326000001</v>
      </c>
      <c r="I2471">
        <v>1344.0115966999999</v>
      </c>
      <c r="J2471">
        <v>1339.885376</v>
      </c>
      <c r="K2471">
        <v>0</v>
      </c>
      <c r="L2471">
        <v>2400</v>
      </c>
      <c r="M2471">
        <v>2400</v>
      </c>
      <c r="N2471">
        <v>0</v>
      </c>
    </row>
    <row r="2472" spans="1:14" x14ac:dyDescent="0.25">
      <c r="A2472">
        <v>1779.6732689999999</v>
      </c>
      <c r="B2472" s="1">
        <f>DATE(2015,3,15) + TIME(16,9,30)</f>
        <v>42078.673263888886</v>
      </c>
      <c r="C2472">
        <v>80</v>
      </c>
      <c r="D2472">
        <v>73.104339600000003</v>
      </c>
      <c r="E2472">
        <v>50</v>
      </c>
      <c r="F2472">
        <v>49.981906891000001</v>
      </c>
      <c r="G2472">
        <v>1323.4597168</v>
      </c>
      <c r="H2472">
        <v>1319.6541748</v>
      </c>
      <c r="I2472">
        <v>1344.0043945</v>
      </c>
      <c r="J2472">
        <v>1339.8817139</v>
      </c>
      <c r="K2472">
        <v>0</v>
      </c>
      <c r="L2472">
        <v>2400</v>
      </c>
      <c r="M2472">
        <v>2400</v>
      </c>
      <c r="N2472">
        <v>0</v>
      </c>
    </row>
    <row r="2473" spans="1:14" x14ac:dyDescent="0.25">
      <c r="A2473">
        <v>1783.4965219999999</v>
      </c>
      <c r="B2473" s="1">
        <f>DATE(2015,3,19) + TIME(11,54,59)</f>
        <v>42082.496516203704</v>
      </c>
      <c r="C2473">
        <v>80</v>
      </c>
      <c r="D2473">
        <v>72.884788513000004</v>
      </c>
      <c r="E2473">
        <v>50</v>
      </c>
      <c r="F2473">
        <v>49.981914519999997</v>
      </c>
      <c r="G2473">
        <v>1323.3774414</v>
      </c>
      <c r="H2473">
        <v>1319.5412598</v>
      </c>
      <c r="I2473">
        <v>1343.9971923999999</v>
      </c>
      <c r="J2473">
        <v>1339.8780518000001</v>
      </c>
      <c r="K2473">
        <v>0</v>
      </c>
      <c r="L2473">
        <v>2400</v>
      </c>
      <c r="M2473">
        <v>2400</v>
      </c>
      <c r="N2473">
        <v>0</v>
      </c>
    </row>
    <row r="2474" spans="1:14" x14ac:dyDescent="0.25">
      <c r="A2474">
        <v>1787.4389060000001</v>
      </c>
      <c r="B2474" s="1">
        <f>DATE(2015,3,23) + TIME(10,32,1)</f>
        <v>42086.438900462963</v>
      </c>
      <c r="C2474">
        <v>80</v>
      </c>
      <c r="D2474">
        <v>72.656425475999995</v>
      </c>
      <c r="E2474">
        <v>50</v>
      </c>
      <c r="F2474">
        <v>49.981922150000003</v>
      </c>
      <c r="G2474">
        <v>1323.2955322</v>
      </c>
      <c r="H2474">
        <v>1319.4288329999999</v>
      </c>
      <c r="I2474">
        <v>1343.9899902</v>
      </c>
      <c r="J2474">
        <v>1339.8742675999999</v>
      </c>
      <c r="K2474">
        <v>0</v>
      </c>
      <c r="L2474">
        <v>2400</v>
      </c>
      <c r="M2474">
        <v>2400</v>
      </c>
      <c r="N2474">
        <v>0</v>
      </c>
    </row>
    <row r="2475" spans="1:14" x14ac:dyDescent="0.25">
      <c r="A2475">
        <v>1791.5370869999999</v>
      </c>
      <c r="B2475" s="1">
        <f>DATE(2015,3,27) + TIME(12,53,24)</f>
        <v>42090.537083333336</v>
      </c>
      <c r="C2475">
        <v>80</v>
      </c>
      <c r="D2475">
        <v>72.416549683</v>
      </c>
      <c r="E2475">
        <v>50</v>
      </c>
      <c r="F2475">
        <v>49.981929778999998</v>
      </c>
      <c r="G2475">
        <v>1323.2130127</v>
      </c>
      <c r="H2475">
        <v>1319.315918</v>
      </c>
      <c r="I2475">
        <v>1343.9825439000001</v>
      </c>
      <c r="J2475">
        <v>1339.8703613</v>
      </c>
      <c r="K2475">
        <v>0</v>
      </c>
      <c r="L2475">
        <v>2400</v>
      </c>
      <c r="M2475">
        <v>2400</v>
      </c>
      <c r="N2475">
        <v>0</v>
      </c>
    </row>
    <row r="2476" spans="1:14" x14ac:dyDescent="0.25">
      <c r="A2476">
        <v>1793.7685429999999</v>
      </c>
      <c r="B2476" s="1">
        <f>DATE(2015,3,29) + TIME(18,26,42)</f>
        <v>42092.768541666665</v>
      </c>
      <c r="C2476">
        <v>80</v>
      </c>
      <c r="D2476">
        <v>72.187759399000001</v>
      </c>
      <c r="E2476">
        <v>50</v>
      </c>
      <c r="F2476">
        <v>49.981929778999998</v>
      </c>
      <c r="G2476">
        <v>1323.1306152</v>
      </c>
      <c r="H2476">
        <v>1319.2049560999999</v>
      </c>
      <c r="I2476">
        <v>1343.9748535000001</v>
      </c>
      <c r="J2476">
        <v>1339.8662108999999</v>
      </c>
      <c r="K2476">
        <v>0</v>
      </c>
      <c r="L2476">
        <v>2400</v>
      </c>
      <c r="M2476">
        <v>2400</v>
      </c>
      <c r="N2476">
        <v>0</v>
      </c>
    </row>
    <row r="2477" spans="1:14" x14ac:dyDescent="0.25">
      <c r="A2477">
        <v>1796</v>
      </c>
      <c r="B2477" s="1">
        <f>DATE(2015,4,1) + TIME(0,0,0)</f>
        <v>42095</v>
      </c>
      <c r="C2477">
        <v>80</v>
      </c>
      <c r="D2477">
        <v>72.028175353999998</v>
      </c>
      <c r="E2477">
        <v>50</v>
      </c>
      <c r="F2477">
        <v>49.981933593999997</v>
      </c>
      <c r="G2477">
        <v>1323.0766602000001</v>
      </c>
      <c r="H2477">
        <v>1319.1263428</v>
      </c>
      <c r="I2477">
        <v>1343.9708252</v>
      </c>
      <c r="J2477">
        <v>1339.8638916</v>
      </c>
      <c r="K2477">
        <v>0</v>
      </c>
      <c r="L2477">
        <v>2400</v>
      </c>
      <c r="M2477">
        <v>2400</v>
      </c>
      <c r="N24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Griendt, Toon van de</dc:creator>
  <cp:lastModifiedBy>Griendt, Toon van de</cp:lastModifiedBy>
  <dcterms:created xsi:type="dcterms:W3CDTF">2022-05-31T07:36:23Z</dcterms:created>
  <dcterms:modified xsi:type="dcterms:W3CDTF">2022-05-31T07:37:03Z</dcterms:modified>
</cp:coreProperties>
</file>